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43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BT10 .B47 1969</t>
        </is>
      </c>
      <c r="C2" t="inlineStr">
        <is>
          <t>0                      BT 0010000B  47          1969</t>
        </is>
      </c>
      <c r="D2" t="inlineStr">
        <is>
          <t>Biblical revelation and African beliefs / edited by Kwesi A. Dickson &amp; Paul Ellingworth.</t>
        </is>
      </c>
      <c r="F2" t="inlineStr">
        <is>
          <t>No</t>
        </is>
      </c>
      <c r="G2" t="inlineStr">
        <is>
          <t>1</t>
        </is>
      </c>
      <c r="H2" t="inlineStr">
        <is>
          <t>No</t>
        </is>
      </c>
      <c r="I2" t="inlineStr">
        <is>
          <t>No</t>
        </is>
      </c>
      <c r="J2" t="inlineStr">
        <is>
          <t>0</t>
        </is>
      </c>
      <c r="L2" t="inlineStr">
        <is>
          <t>Maryknoll, N. Y. : Orbis Books, 1969.</t>
        </is>
      </c>
      <c r="M2" t="inlineStr">
        <is>
          <t>1969</t>
        </is>
      </c>
      <c r="O2" t="inlineStr">
        <is>
          <t>eng</t>
        </is>
      </c>
      <c r="P2" t="inlineStr">
        <is>
          <t>___</t>
        </is>
      </c>
      <c r="R2" t="inlineStr">
        <is>
          <t xml:space="preserve">BT </t>
        </is>
      </c>
      <c r="S2" t="n">
        <v>5</v>
      </c>
      <c r="T2" t="n">
        <v>5</v>
      </c>
      <c r="U2" t="inlineStr">
        <is>
          <t>2000-04-14</t>
        </is>
      </c>
      <c r="V2" t="inlineStr">
        <is>
          <t>2000-04-14</t>
        </is>
      </c>
      <c r="W2" t="inlineStr">
        <is>
          <t>1990-02-20</t>
        </is>
      </c>
      <c r="X2" t="inlineStr">
        <is>
          <t>1990-02-20</t>
        </is>
      </c>
      <c r="Y2" t="n">
        <v>380</v>
      </c>
      <c r="Z2" t="n">
        <v>339</v>
      </c>
      <c r="AA2" t="n">
        <v>550</v>
      </c>
      <c r="AB2" t="n">
        <v>2</v>
      </c>
      <c r="AC2" t="n">
        <v>3</v>
      </c>
      <c r="AD2" t="n">
        <v>19</v>
      </c>
      <c r="AE2" t="n">
        <v>31</v>
      </c>
      <c r="AF2" t="n">
        <v>7</v>
      </c>
      <c r="AG2" t="n">
        <v>12</v>
      </c>
      <c r="AH2" t="n">
        <v>5</v>
      </c>
      <c r="AI2" t="n">
        <v>6</v>
      </c>
      <c r="AJ2" t="n">
        <v>12</v>
      </c>
      <c r="AK2" t="n">
        <v>20</v>
      </c>
      <c r="AL2" t="n">
        <v>1</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HYPERLINK("https://creighton-primo.hosted.exlibrisgroup.com/primo-explore/search?tab=default_tab&amp;search_scope=EVERYTHING&amp;vid=01CRU&amp;lang=en_US&amp;offset=0&amp;query=any,contains,991003089239702656","Catalog Record")</f>
        <v/>
      </c>
      <c r="AT2">
        <f>HYPERLINK("http://www.worldcat.org/oclc/535745","WorldCat Record")</f>
        <v/>
      </c>
      <c r="AU2" t="inlineStr">
        <is>
          <t>375571640:eng</t>
        </is>
      </c>
      <c r="AV2" t="inlineStr">
        <is>
          <t>535745</t>
        </is>
      </c>
      <c r="AW2" t="inlineStr">
        <is>
          <t>991003089239702656</t>
        </is>
      </c>
      <c r="AX2" t="inlineStr">
        <is>
          <t>991003089239702656</t>
        </is>
      </c>
      <c r="AY2" t="inlineStr">
        <is>
          <t>2258187470002656</t>
        </is>
      </c>
      <c r="AZ2" t="inlineStr">
        <is>
          <t>BOOK</t>
        </is>
      </c>
      <c r="BB2" t="inlineStr">
        <is>
          <t>9780718816520</t>
        </is>
      </c>
      <c r="BC2" t="inlineStr">
        <is>
          <t>32285000055664</t>
        </is>
      </c>
      <c r="BD2" t="inlineStr">
        <is>
          <t>893893366</t>
        </is>
      </c>
    </row>
    <row r="3">
      <c r="A3" t="inlineStr">
        <is>
          <t>No</t>
        </is>
      </c>
      <c r="B3" t="inlineStr">
        <is>
          <t>BT10 .C3</t>
        </is>
      </c>
      <c r="C3" t="inlineStr">
        <is>
          <t>0                      BT 0010000C  3</t>
        </is>
      </c>
      <c r="D3" t="inlineStr">
        <is>
          <t>God, Jesus, and Spirit / Edited by Daniel Callahan.</t>
        </is>
      </c>
      <c r="F3" t="inlineStr">
        <is>
          <t>No</t>
        </is>
      </c>
      <c r="G3" t="inlineStr">
        <is>
          <t>1</t>
        </is>
      </c>
      <c r="H3" t="inlineStr">
        <is>
          <t>No</t>
        </is>
      </c>
      <c r="I3" t="inlineStr">
        <is>
          <t>No</t>
        </is>
      </c>
      <c r="J3" t="inlineStr">
        <is>
          <t>0</t>
        </is>
      </c>
      <c r="K3" t="inlineStr">
        <is>
          <t>Callahan, Daniel, 1930-2019 compiler.</t>
        </is>
      </c>
      <c r="L3" t="inlineStr">
        <is>
          <t>[New York] Herder and Herder [1969]</t>
        </is>
      </c>
      <c r="M3" t="inlineStr">
        <is>
          <t>1969</t>
        </is>
      </c>
      <c r="O3" t="inlineStr">
        <is>
          <t>eng</t>
        </is>
      </c>
      <c r="P3" t="inlineStr">
        <is>
          <t>nyu</t>
        </is>
      </c>
      <c r="R3" t="inlineStr">
        <is>
          <t xml:space="preserve">BT </t>
        </is>
      </c>
      <c r="S3" t="n">
        <v>5</v>
      </c>
      <c r="T3" t="n">
        <v>5</v>
      </c>
      <c r="U3" t="inlineStr">
        <is>
          <t>2005-02-11</t>
        </is>
      </c>
      <c r="V3" t="inlineStr">
        <is>
          <t>2005-02-11</t>
        </is>
      </c>
      <c r="W3" t="inlineStr">
        <is>
          <t>1991-06-12</t>
        </is>
      </c>
      <c r="X3" t="inlineStr">
        <is>
          <t>1991-06-12</t>
        </is>
      </c>
      <c r="Y3" t="n">
        <v>307</v>
      </c>
      <c r="Z3" t="n">
        <v>275</v>
      </c>
      <c r="AA3" t="n">
        <v>289</v>
      </c>
      <c r="AB3" t="n">
        <v>3</v>
      </c>
      <c r="AC3" t="n">
        <v>3</v>
      </c>
      <c r="AD3" t="n">
        <v>31</v>
      </c>
      <c r="AE3" t="n">
        <v>33</v>
      </c>
      <c r="AF3" t="n">
        <v>12</v>
      </c>
      <c r="AG3" t="n">
        <v>13</v>
      </c>
      <c r="AH3" t="n">
        <v>9</v>
      </c>
      <c r="AI3" t="n">
        <v>9</v>
      </c>
      <c r="AJ3" t="n">
        <v>21</v>
      </c>
      <c r="AK3" t="n">
        <v>22</v>
      </c>
      <c r="AL3" t="n">
        <v>1</v>
      </c>
      <c r="AM3" t="n">
        <v>1</v>
      </c>
      <c r="AN3" t="n">
        <v>0</v>
      </c>
      <c r="AO3" t="n">
        <v>0</v>
      </c>
      <c r="AP3" t="inlineStr">
        <is>
          <t>No</t>
        </is>
      </c>
      <c r="AQ3" t="inlineStr">
        <is>
          <t>Yes</t>
        </is>
      </c>
      <c r="AR3">
        <f>HYPERLINK("http://catalog.hathitrust.org/Record/007124231","HathiTrust Record")</f>
        <v/>
      </c>
      <c r="AS3">
        <f>HYPERLINK("https://creighton-primo.hosted.exlibrisgroup.com/primo-explore/search?tab=default_tab&amp;search_scope=EVERYTHING&amp;vid=01CRU&amp;lang=en_US&amp;offset=0&amp;query=any,contains,991005439429702656","Catalog Record")</f>
        <v/>
      </c>
      <c r="AT3">
        <f>HYPERLINK("http://www.worldcat.org/oclc/6734","WorldCat Record")</f>
        <v/>
      </c>
      <c r="AU3" t="inlineStr">
        <is>
          <t>1129937:eng</t>
        </is>
      </c>
      <c r="AV3" t="inlineStr">
        <is>
          <t>6734</t>
        </is>
      </c>
      <c r="AW3" t="inlineStr">
        <is>
          <t>991005439429702656</t>
        </is>
      </c>
      <c r="AX3" t="inlineStr">
        <is>
          <t>991005439429702656</t>
        </is>
      </c>
      <c r="AY3" t="inlineStr">
        <is>
          <t>2265401430002656</t>
        </is>
      </c>
      <c r="AZ3" t="inlineStr">
        <is>
          <t>BOOK</t>
        </is>
      </c>
      <c r="BC3" t="inlineStr">
        <is>
          <t>32285000685346</t>
        </is>
      </c>
      <c r="BD3" t="inlineStr">
        <is>
          <t>893236838</t>
        </is>
      </c>
    </row>
    <row r="4">
      <c r="A4" t="inlineStr">
        <is>
          <t>No</t>
        </is>
      </c>
      <c r="B4" t="inlineStr">
        <is>
          <t>BT10 .R68 1969</t>
        </is>
      </c>
      <c r="C4" t="inlineStr">
        <is>
          <t>0                      BT 0010000R  68          1969</t>
        </is>
      </c>
      <c r="D4" t="inlineStr">
        <is>
          <t>Talk of God.</t>
        </is>
      </c>
      <c r="F4" t="inlineStr">
        <is>
          <t>No</t>
        </is>
      </c>
      <c r="G4" t="inlineStr">
        <is>
          <t>1</t>
        </is>
      </c>
      <c r="H4" t="inlineStr">
        <is>
          <t>No</t>
        </is>
      </c>
      <c r="I4" t="inlineStr">
        <is>
          <t>No</t>
        </is>
      </c>
      <c r="J4" t="inlineStr">
        <is>
          <t>0</t>
        </is>
      </c>
      <c r="L4" t="inlineStr">
        <is>
          <t>London, Melbourne [etc.] Macmillan; New York, St. Martin's P., 1969.</t>
        </is>
      </c>
      <c r="M4" t="inlineStr">
        <is>
          <t>1969</t>
        </is>
      </c>
      <c r="O4" t="inlineStr">
        <is>
          <t>eng</t>
        </is>
      </c>
      <c r="P4" t="inlineStr">
        <is>
          <t>enk</t>
        </is>
      </c>
      <c r="Q4" t="inlineStr">
        <is>
          <t>Royal Institute of Philosophy lectures ; v. 2, 1967-1968</t>
        </is>
      </c>
      <c r="R4" t="inlineStr">
        <is>
          <t xml:space="preserve">BT </t>
        </is>
      </c>
      <c r="S4" t="n">
        <v>3</v>
      </c>
      <c r="T4" t="n">
        <v>3</v>
      </c>
      <c r="U4" t="inlineStr">
        <is>
          <t>1992-11-18</t>
        </is>
      </c>
      <c r="V4" t="inlineStr">
        <is>
          <t>1992-11-18</t>
        </is>
      </c>
      <c r="W4" t="inlineStr">
        <is>
          <t>1991-06-12</t>
        </is>
      </c>
      <c r="X4" t="inlineStr">
        <is>
          <t>1991-06-12</t>
        </is>
      </c>
      <c r="Y4" t="n">
        <v>658</v>
      </c>
      <c r="Z4" t="n">
        <v>549</v>
      </c>
      <c r="AA4" t="n">
        <v>549</v>
      </c>
      <c r="AB4" t="n">
        <v>6</v>
      </c>
      <c r="AC4" t="n">
        <v>6</v>
      </c>
      <c r="AD4" t="n">
        <v>34</v>
      </c>
      <c r="AE4" t="n">
        <v>34</v>
      </c>
      <c r="AF4" t="n">
        <v>14</v>
      </c>
      <c r="AG4" t="n">
        <v>14</v>
      </c>
      <c r="AH4" t="n">
        <v>7</v>
      </c>
      <c r="AI4" t="n">
        <v>7</v>
      </c>
      <c r="AJ4" t="n">
        <v>20</v>
      </c>
      <c r="AK4" t="n">
        <v>20</v>
      </c>
      <c r="AL4" t="n">
        <v>5</v>
      </c>
      <c r="AM4" t="n">
        <v>5</v>
      </c>
      <c r="AN4" t="n">
        <v>0</v>
      </c>
      <c r="AO4" t="n">
        <v>0</v>
      </c>
      <c r="AP4" t="inlineStr">
        <is>
          <t>No</t>
        </is>
      </c>
      <c r="AQ4" t="inlineStr">
        <is>
          <t>Yes</t>
        </is>
      </c>
      <c r="AR4">
        <f>HYPERLINK("http://catalog.hathitrust.org/Record/007127138","HathiTrust Record")</f>
        <v/>
      </c>
      <c r="AS4">
        <f>HYPERLINK("https://creighton-primo.hosted.exlibrisgroup.com/primo-explore/search?tab=default_tab&amp;search_scope=EVERYTHING&amp;vid=01CRU&amp;lang=en_US&amp;offset=0&amp;query=any,contains,991000083999702656","Catalog Record")</f>
        <v/>
      </c>
      <c r="AT4">
        <f>HYPERLINK("http://www.worldcat.org/oclc/32723","WorldCat Record")</f>
        <v/>
      </c>
      <c r="AU4" t="inlineStr">
        <is>
          <t>3769557373:eng</t>
        </is>
      </c>
      <c r="AV4" t="inlineStr">
        <is>
          <t>32723</t>
        </is>
      </c>
      <c r="AW4" t="inlineStr">
        <is>
          <t>991000083999702656</t>
        </is>
      </c>
      <c r="AX4" t="inlineStr">
        <is>
          <t>991000083999702656</t>
        </is>
      </c>
      <c r="AY4" t="inlineStr">
        <is>
          <t>2261716340002656</t>
        </is>
      </c>
      <c r="AZ4" t="inlineStr">
        <is>
          <t>BOOK</t>
        </is>
      </c>
      <c r="BC4" t="inlineStr">
        <is>
          <t>32285000685379</t>
        </is>
      </c>
      <c r="BD4" t="inlineStr">
        <is>
          <t>893601437</t>
        </is>
      </c>
    </row>
    <row r="5">
      <c r="A5" t="inlineStr">
        <is>
          <t>No</t>
        </is>
      </c>
      <c r="B5" t="inlineStr">
        <is>
          <t>BT100 .B4513 1989</t>
        </is>
      </c>
      <c r="C5" t="inlineStr">
        <is>
          <t>0                      BT 0100000B  4513        1989</t>
        </is>
      </c>
      <c r="D5" t="inlineStr">
        <is>
          <t>Spiritual writings / Robert Bellarmine ; translated and edited by John Patrick Donnelly with an introduction by John Patrick Donnelly and Roland J. Teske ; preface by John W. O'Malley.</t>
        </is>
      </c>
      <c r="F5" t="inlineStr">
        <is>
          <t>No</t>
        </is>
      </c>
      <c r="G5" t="inlineStr">
        <is>
          <t>1</t>
        </is>
      </c>
      <c r="H5" t="inlineStr">
        <is>
          <t>No</t>
        </is>
      </c>
      <c r="I5" t="inlineStr">
        <is>
          <t>No</t>
        </is>
      </c>
      <c r="J5" t="inlineStr">
        <is>
          <t>0</t>
        </is>
      </c>
      <c r="K5" t="inlineStr">
        <is>
          <t>Bellarmino, Roberto Francesco Romolo, Saint, 1542-1621.</t>
        </is>
      </c>
      <c r="L5" t="inlineStr">
        <is>
          <t>New York : Paulist Press, c1989.</t>
        </is>
      </c>
      <c r="M5" t="inlineStr">
        <is>
          <t>1989</t>
        </is>
      </c>
      <c r="O5" t="inlineStr">
        <is>
          <t>eng</t>
        </is>
      </c>
      <c r="P5" t="inlineStr">
        <is>
          <t>nyu</t>
        </is>
      </c>
      <c r="Q5" t="inlineStr">
        <is>
          <t>The Classics of Western spirituality</t>
        </is>
      </c>
      <c r="R5" t="inlineStr">
        <is>
          <t xml:space="preserve">BT </t>
        </is>
      </c>
      <c r="S5" t="n">
        <v>5</v>
      </c>
      <c r="T5" t="n">
        <v>5</v>
      </c>
      <c r="U5" t="inlineStr">
        <is>
          <t>2008-11-20</t>
        </is>
      </c>
      <c r="V5" t="inlineStr">
        <is>
          <t>2008-11-20</t>
        </is>
      </c>
      <c r="W5" t="inlineStr">
        <is>
          <t>1991-07-29</t>
        </is>
      </c>
      <c r="X5" t="inlineStr">
        <is>
          <t>1991-07-29</t>
        </is>
      </c>
      <c r="Y5" t="n">
        <v>600</v>
      </c>
      <c r="Z5" t="n">
        <v>527</v>
      </c>
      <c r="AA5" t="n">
        <v>542</v>
      </c>
      <c r="AB5" t="n">
        <v>8</v>
      </c>
      <c r="AC5" t="n">
        <v>8</v>
      </c>
      <c r="AD5" t="n">
        <v>43</v>
      </c>
      <c r="AE5" t="n">
        <v>43</v>
      </c>
      <c r="AF5" t="n">
        <v>18</v>
      </c>
      <c r="AG5" t="n">
        <v>18</v>
      </c>
      <c r="AH5" t="n">
        <v>8</v>
      </c>
      <c r="AI5" t="n">
        <v>8</v>
      </c>
      <c r="AJ5" t="n">
        <v>24</v>
      </c>
      <c r="AK5" t="n">
        <v>24</v>
      </c>
      <c r="AL5" t="n">
        <v>5</v>
      </c>
      <c r="AM5" t="n">
        <v>5</v>
      </c>
      <c r="AN5" t="n">
        <v>0</v>
      </c>
      <c r="AO5" t="n">
        <v>0</v>
      </c>
      <c r="AP5" t="inlineStr">
        <is>
          <t>No</t>
        </is>
      </c>
      <c r="AQ5" t="inlineStr">
        <is>
          <t>Yes</t>
        </is>
      </c>
      <c r="AR5">
        <f>HYPERLINK("http://catalog.hathitrust.org/Record/002817370","HathiTrust Record")</f>
        <v/>
      </c>
      <c r="AS5">
        <f>HYPERLINK("https://creighton-primo.hosted.exlibrisgroup.com/primo-explore/search?tab=default_tab&amp;search_scope=EVERYTHING&amp;vid=01CRU&amp;lang=en_US&amp;offset=0&amp;query=any,contains,991001398899702656","Catalog Record")</f>
        <v/>
      </c>
      <c r="AT5">
        <f>HYPERLINK("http://www.worldcat.org/oclc/18815096","WorldCat Record")</f>
        <v/>
      </c>
      <c r="AU5" t="inlineStr">
        <is>
          <t>903073878:eng</t>
        </is>
      </c>
      <c r="AV5" t="inlineStr">
        <is>
          <t>18815096</t>
        </is>
      </c>
      <c r="AW5" t="inlineStr">
        <is>
          <t>991001398899702656</t>
        </is>
      </c>
      <c r="AX5" t="inlineStr">
        <is>
          <t>991001398899702656</t>
        </is>
      </c>
      <c r="AY5" t="inlineStr">
        <is>
          <t>2263010500002656</t>
        </is>
      </c>
      <c r="AZ5" t="inlineStr">
        <is>
          <t>BOOK</t>
        </is>
      </c>
      <c r="BB5" t="inlineStr">
        <is>
          <t>9780809128754</t>
        </is>
      </c>
      <c r="BC5" t="inlineStr">
        <is>
          <t>32285000679547</t>
        </is>
      </c>
      <c r="BD5" t="inlineStr">
        <is>
          <t>893903411</t>
        </is>
      </c>
    </row>
    <row r="6">
      <c r="A6" t="inlineStr">
        <is>
          <t>No</t>
        </is>
      </c>
      <c r="B6" t="inlineStr">
        <is>
          <t>BT100 .B56</t>
        </is>
      </c>
      <c r="C6" t="inlineStr">
        <is>
          <t>0                      BT 0100000B  56</t>
        </is>
      </c>
      <c r="D6" t="inlineStr">
        <is>
          <t>The mind's road to God / translated, with an introduction, by George Boas.</t>
        </is>
      </c>
      <c r="F6" t="inlineStr">
        <is>
          <t>No</t>
        </is>
      </c>
      <c r="G6" t="inlineStr">
        <is>
          <t>1</t>
        </is>
      </c>
      <c r="H6" t="inlineStr">
        <is>
          <t>No</t>
        </is>
      </c>
      <c r="I6" t="inlineStr">
        <is>
          <t>No</t>
        </is>
      </c>
      <c r="J6" t="inlineStr">
        <is>
          <t>0</t>
        </is>
      </c>
      <c r="K6" t="inlineStr">
        <is>
          <t>Bonaventure, Saint, Cardinal, approximately 1217-1274.</t>
        </is>
      </c>
      <c r="L6" t="inlineStr">
        <is>
          <t>New York : Liberal Arts Press, [c1953]</t>
        </is>
      </c>
      <c r="M6" t="inlineStr">
        <is>
          <t>1953</t>
        </is>
      </c>
      <c r="O6" t="inlineStr">
        <is>
          <t>eng</t>
        </is>
      </c>
      <c r="P6" t="inlineStr">
        <is>
          <t>|||</t>
        </is>
      </c>
      <c r="Q6" t="inlineStr">
        <is>
          <t>The Library of Liberal Arts, no.32.</t>
        </is>
      </c>
      <c r="R6" t="inlineStr">
        <is>
          <t xml:space="preserve">BT </t>
        </is>
      </c>
      <c r="S6" t="n">
        <v>6</v>
      </c>
      <c r="T6" t="n">
        <v>6</v>
      </c>
      <c r="U6" t="inlineStr">
        <is>
          <t>2005-03-09</t>
        </is>
      </c>
      <c r="V6" t="inlineStr">
        <is>
          <t>2005-03-09</t>
        </is>
      </c>
      <c r="W6" t="inlineStr">
        <is>
          <t>1991-06-28</t>
        </is>
      </c>
      <c r="X6" t="inlineStr">
        <is>
          <t>1991-06-28</t>
        </is>
      </c>
      <c r="Y6" t="n">
        <v>458</v>
      </c>
      <c r="Z6" t="n">
        <v>422</v>
      </c>
      <c r="AA6" t="n">
        <v>633</v>
      </c>
      <c r="AB6" t="n">
        <v>2</v>
      </c>
      <c r="AC6" t="n">
        <v>4</v>
      </c>
      <c r="AD6" t="n">
        <v>28</v>
      </c>
      <c r="AE6" t="n">
        <v>41</v>
      </c>
      <c r="AF6" t="n">
        <v>11</v>
      </c>
      <c r="AG6" t="n">
        <v>19</v>
      </c>
      <c r="AH6" t="n">
        <v>4</v>
      </c>
      <c r="AI6" t="n">
        <v>6</v>
      </c>
      <c r="AJ6" t="n">
        <v>20</v>
      </c>
      <c r="AK6" t="n">
        <v>25</v>
      </c>
      <c r="AL6" t="n">
        <v>1</v>
      </c>
      <c r="AM6" t="n">
        <v>2</v>
      </c>
      <c r="AN6" t="n">
        <v>0</v>
      </c>
      <c r="AO6" t="n">
        <v>0</v>
      </c>
      <c r="AP6" t="inlineStr">
        <is>
          <t>No</t>
        </is>
      </c>
      <c r="AQ6" t="inlineStr">
        <is>
          <t>No</t>
        </is>
      </c>
      <c r="AR6">
        <f>HYPERLINK("http://catalog.hathitrust.org/Record/001400479","HathiTrust Record")</f>
        <v/>
      </c>
      <c r="AS6">
        <f>HYPERLINK("https://creighton-primo.hosted.exlibrisgroup.com/primo-explore/search?tab=default_tab&amp;search_scope=EVERYTHING&amp;vid=01CRU&amp;lang=en_US&amp;offset=0&amp;query=any,contains,991003358969702656","Catalog Record")</f>
        <v/>
      </c>
      <c r="AT6">
        <f>HYPERLINK("http://www.worldcat.org/oclc/894498","WorldCat Record")</f>
        <v/>
      </c>
      <c r="AU6" t="inlineStr">
        <is>
          <t>1047466491:eng</t>
        </is>
      </c>
      <c r="AV6" t="inlineStr">
        <is>
          <t>894498</t>
        </is>
      </c>
      <c r="AW6" t="inlineStr">
        <is>
          <t>991003358969702656</t>
        </is>
      </c>
      <c r="AX6" t="inlineStr">
        <is>
          <t>991003358969702656</t>
        </is>
      </c>
      <c r="AY6" t="inlineStr">
        <is>
          <t>2260391740002656</t>
        </is>
      </c>
      <c r="AZ6" t="inlineStr">
        <is>
          <t>BOOK</t>
        </is>
      </c>
      <c r="BC6" t="inlineStr">
        <is>
          <t>32285000690452</t>
        </is>
      </c>
      <c r="BD6" t="inlineStr">
        <is>
          <t>893441221</t>
        </is>
      </c>
    </row>
    <row r="7">
      <c r="A7" t="inlineStr">
        <is>
          <t>No</t>
        </is>
      </c>
      <c r="B7" t="inlineStr">
        <is>
          <t>BT100.T4 H83 1989</t>
        </is>
      </c>
      <c r="C7" t="inlineStr">
        <is>
          <t>0                      BT 0100000T  4                  H  83          1989</t>
        </is>
      </c>
      <c r="D7" t="inlineStr">
        <is>
          <t>On a complex theory of a simple God : an investigation in Aquinas' philosophical theology / Christopher Hughes.</t>
        </is>
      </c>
      <c r="F7" t="inlineStr">
        <is>
          <t>No</t>
        </is>
      </c>
      <c r="G7" t="inlineStr">
        <is>
          <t>1</t>
        </is>
      </c>
      <c r="H7" t="inlineStr">
        <is>
          <t>No</t>
        </is>
      </c>
      <c r="I7" t="inlineStr">
        <is>
          <t>No</t>
        </is>
      </c>
      <c r="J7" t="inlineStr">
        <is>
          <t>0</t>
        </is>
      </c>
      <c r="K7" t="inlineStr">
        <is>
          <t>Hughes, Christopher, 1955-</t>
        </is>
      </c>
      <c r="L7" t="inlineStr">
        <is>
          <t>Ithaca : Cornell University Press, 1989.</t>
        </is>
      </c>
      <c r="M7" t="inlineStr">
        <is>
          <t>1989</t>
        </is>
      </c>
      <c r="O7" t="inlineStr">
        <is>
          <t>eng</t>
        </is>
      </c>
      <c r="P7" t="inlineStr">
        <is>
          <t>nyu</t>
        </is>
      </c>
      <c r="Q7" t="inlineStr">
        <is>
          <t>Cornell studies in the philosophy of religion</t>
        </is>
      </c>
      <c r="R7" t="inlineStr">
        <is>
          <t xml:space="preserve">BT </t>
        </is>
      </c>
      <c r="S7" t="n">
        <v>6</v>
      </c>
      <c r="T7" t="n">
        <v>6</v>
      </c>
      <c r="U7" t="inlineStr">
        <is>
          <t>2000-09-28</t>
        </is>
      </c>
      <c r="V7" t="inlineStr">
        <is>
          <t>2000-09-28</t>
        </is>
      </c>
      <c r="W7" t="inlineStr">
        <is>
          <t>1991-03-11</t>
        </is>
      </c>
      <c r="X7" t="inlineStr">
        <is>
          <t>1991-03-11</t>
        </is>
      </c>
      <c r="Y7" t="n">
        <v>392</v>
      </c>
      <c r="Z7" t="n">
        <v>312</v>
      </c>
      <c r="AA7" t="n">
        <v>318</v>
      </c>
      <c r="AB7" t="n">
        <v>3</v>
      </c>
      <c r="AC7" t="n">
        <v>3</v>
      </c>
      <c r="AD7" t="n">
        <v>27</v>
      </c>
      <c r="AE7" t="n">
        <v>27</v>
      </c>
      <c r="AF7" t="n">
        <v>9</v>
      </c>
      <c r="AG7" t="n">
        <v>9</v>
      </c>
      <c r="AH7" t="n">
        <v>6</v>
      </c>
      <c r="AI7" t="n">
        <v>6</v>
      </c>
      <c r="AJ7" t="n">
        <v>18</v>
      </c>
      <c r="AK7" t="n">
        <v>18</v>
      </c>
      <c r="AL7" t="n">
        <v>2</v>
      </c>
      <c r="AM7" t="n">
        <v>2</v>
      </c>
      <c r="AN7" t="n">
        <v>0</v>
      </c>
      <c r="AO7" t="n">
        <v>0</v>
      </c>
      <c r="AP7" t="inlineStr">
        <is>
          <t>No</t>
        </is>
      </c>
      <c r="AQ7" t="inlineStr">
        <is>
          <t>No</t>
        </is>
      </c>
      <c r="AS7">
        <f>HYPERLINK("https://creighton-primo.hosted.exlibrisgroup.com/primo-explore/search?tab=default_tab&amp;search_scope=EVERYTHING&amp;vid=01CRU&amp;lang=en_US&amp;offset=0&amp;query=any,contains,991001499859702656","Catalog Record")</f>
        <v/>
      </c>
      <c r="AT7">
        <f>HYPERLINK("http://www.worldcat.org/oclc/19779304","WorldCat Record")</f>
        <v/>
      </c>
      <c r="AU7" t="inlineStr">
        <is>
          <t>918389045:eng</t>
        </is>
      </c>
      <c r="AV7" t="inlineStr">
        <is>
          <t>19779304</t>
        </is>
      </c>
      <c r="AW7" t="inlineStr">
        <is>
          <t>991001499859702656</t>
        </is>
      </c>
      <c r="AX7" t="inlineStr">
        <is>
          <t>991001499859702656</t>
        </is>
      </c>
      <c r="AY7" t="inlineStr">
        <is>
          <t>2262972530002656</t>
        </is>
      </c>
      <c r="AZ7" t="inlineStr">
        <is>
          <t>BOOK</t>
        </is>
      </c>
      <c r="BB7" t="inlineStr">
        <is>
          <t>9780801417597</t>
        </is>
      </c>
      <c r="BC7" t="inlineStr">
        <is>
          <t>32285000511302</t>
        </is>
      </c>
      <c r="BD7" t="inlineStr">
        <is>
          <t>893721037</t>
        </is>
      </c>
    </row>
    <row r="8">
      <c r="A8" t="inlineStr">
        <is>
          <t>No</t>
        </is>
      </c>
      <c r="B8" t="inlineStr">
        <is>
          <t>BT101 .G262 1949</t>
        </is>
      </c>
      <c r="C8" t="inlineStr">
        <is>
          <t>0                      BT 0101000G  262         1949</t>
        </is>
      </c>
      <c r="D8" t="inlineStr">
        <is>
          <t>God, His existence and His nature : a Thomistic solution of certain agnostic antinomies / by the Rev. R. Garrigou-Lagrange, translated from the fifth French edition by Dom Bede Rose.</t>
        </is>
      </c>
      <c r="E8" t="inlineStr">
        <is>
          <t>V.1</t>
        </is>
      </c>
      <c r="F8" t="inlineStr">
        <is>
          <t>Yes</t>
        </is>
      </c>
      <c r="G8" t="inlineStr">
        <is>
          <t>1</t>
        </is>
      </c>
      <c r="H8" t="inlineStr">
        <is>
          <t>No</t>
        </is>
      </c>
      <c r="I8" t="inlineStr">
        <is>
          <t>No</t>
        </is>
      </c>
      <c r="J8" t="inlineStr">
        <is>
          <t>0</t>
        </is>
      </c>
      <c r="K8" t="inlineStr">
        <is>
          <t>Garrigou-Lagrange, Réginald, 1877-1964.</t>
        </is>
      </c>
      <c r="L8" t="inlineStr">
        <is>
          <t>St. Louis, Mo. ; London : B. Herder book co., 1949.</t>
        </is>
      </c>
      <c r="M8" t="inlineStr">
        <is>
          <t>1949</t>
        </is>
      </c>
      <c r="O8" t="inlineStr">
        <is>
          <t>eng</t>
        </is>
      </c>
      <c r="P8" t="inlineStr">
        <is>
          <t>mou</t>
        </is>
      </c>
      <c r="R8" t="inlineStr">
        <is>
          <t xml:space="preserve">BT </t>
        </is>
      </c>
      <c r="S8" t="n">
        <v>8</v>
      </c>
      <c r="T8" t="n">
        <v>9</v>
      </c>
      <c r="U8" t="inlineStr">
        <is>
          <t>2008-03-04</t>
        </is>
      </c>
      <c r="V8" t="inlineStr">
        <is>
          <t>2008-03-04</t>
        </is>
      </c>
      <c r="W8" t="inlineStr">
        <is>
          <t>1991-06-28</t>
        </is>
      </c>
      <c r="X8" t="inlineStr">
        <is>
          <t>1991-06-28</t>
        </is>
      </c>
      <c r="Y8" t="n">
        <v>39</v>
      </c>
      <c r="Z8" t="n">
        <v>33</v>
      </c>
      <c r="AA8" t="n">
        <v>349</v>
      </c>
      <c r="AB8" t="n">
        <v>1</v>
      </c>
      <c r="AC8" t="n">
        <v>3</v>
      </c>
      <c r="AD8" t="n">
        <v>2</v>
      </c>
      <c r="AE8" t="n">
        <v>41</v>
      </c>
      <c r="AF8" t="n">
        <v>0</v>
      </c>
      <c r="AG8" t="n">
        <v>16</v>
      </c>
      <c r="AH8" t="n">
        <v>1</v>
      </c>
      <c r="AI8" t="n">
        <v>9</v>
      </c>
      <c r="AJ8" t="n">
        <v>2</v>
      </c>
      <c r="AK8" t="n">
        <v>28</v>
      </c>
      <c r="AL8" t="n">
        <v>0</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HYPERLINK("https://creighton-primo.hosted.exlibrisgroup.com/primo-explore/search?tab=default_tab&amp;search_scope=EVERYTHING&amp;vid=01CRU&amp;lang=en_US&amp;offset=0&amp;query=any,contains,991005149179702656","Catalog Record")</f>
        <v/>
      </c>
      <c r="AT8">
        <f>HYPERLINK("http://www.worldcat.org/oclc/7701962","WorldCat Record")</f>
        <v/>
      </c>
      <c r="AU8" t="inlineStr">
        <is>
          <t>2908450658:eng</t>
        </is>
      </c>
      <c r="AV8" t="inlineStr">
        <is>
          <t>7701962</t>
        </is>
      </c>
      <c r="AW8" t="inlineStr">
        <is>
          <t>991005149179702656</t>
        </is>
      </c>
      <c r="AX8" t="inlineStr">
        <is>
          <t>991005149179702656</t>
        </is>
      </c>
      <c r="AY8" t="inlineStr">
        <is>
          <t>2259709340002656</t>
        </is>
      </c>
      <c r="AZ8" t="inlineStr">
        <is>
          <t>BOOK</t>
        </is>
      </c>
      <c r="BC8" t="inlineStr">
        <is>
          <t>32285000690643</t>
        </is>
      </c>
      <c r="BD8" t="inlineStr">
        <is>
          <t>893883409</t>
        </is>
      </c>
    </row>
    <row r="9">
      <c r="A9" t="inlineStr">
        <is>
          <t>No</t>
        </is>
      </c>
      <c r="B9" t="inlineStr">
        <is>
          <t>BT101 .G262 1949</t>
        </is>
      </c>
      <c r="C9" t="inlineStr">
        <is>
          <t>0                      BT 0101000G  262         1949</t>
        </is>
      </c>
      <c r="D9" t="inlineStr">
        <is>
          <t>God, His existence and His nature : a Thomistic solution of certain agnostic antinomies / by the Rev. R. Garrigou-Lagrange, translated from the fifth French edition by Dom Bede Rose.</t>
        </is>
      </c>
      <c r="E9" t="inlineStr">
        <is>
          <t>V.2</t>
        </is>
      </c>
      <c r="F9" t="inlineStr">
        <is>
          <t>Yes</t>
        </is>
      </c>
      <c r="G9" t="inlineStr">
        <is>
          <t>1</t>
        </is>
      </c>
      <c r="H9" t="inlineStr">
        <is>
          <t>No</t>
        </is>
      </c>
      <c r="I9" t="inlineStr">
        <is>
          <t>No</t>
        </is>
      </c>
      <c r="J9" t="inlineStr">
        <is>
          <t>0</t>
        </is>
      </c>
      <c r="K9" t="inlineStr">
        <is>
          <t>Garrigou-Lagrange, Réginald, 1877-1964.</t>
        </is>
      </c>
      <c r="L9" t="inlineStr">
        <is>
          <t>St. Louis, Mo. ; London : B. Herder book co., 1949.</t>
        </is>
      </c>
      <c r="M9" t="inlineStr">
        <is>
          <t>1949</t>
        </is>
      </c>
      <c r="O9" t="inlineStr">
        <is>
          <t>eng</t>
        </is>
      </c>
      <c r="P9" t="inlineStr">
        <is>
          <t>mou</t>
        </is>
      </c>
      <c r="R9" t="inlineStr">
        <is>
          <t xml:space="preserve">BT </t>
        </is>
      </c>
      <c r="S9" t="n">
        <v>1</v>
      </c>
      <c r="T9" t="n">
        <v>9</v>
      </c>
      <c r="V9" t="inlineStr">
        <is>
          <t>2008-03-04</t>
        </is>
      </c>
      <c r="W9" t="inlineStr">
        <is>
          <t>1991-06-28</t>
        </is>
      </c>
      <c r="X9" t="inlineStr">
        <is>
          <t>1991-06-28</t>
        </is>
      </c>
      <c r="Y9" t="n">
        <v>39</v>
      </c>
      <c r="Z9" t="n">
        <v>33</v>
      </c>
      <c r="AA9" t="n">
        <v>349</v>
      </c>
      <c r="AB9" t="n">
        <v>1</v>
      </c>
      <c r="AC9" t="n">
        <v>3</v>
      </c>
      <c r="AD9" t="n">
        <v>2</v>
      </c>
      <c r="AE9" t="n">
        <v>41</v>
      </c>
      <c r="AF9" t="n">
        <v>0</v>
      </c>
      <c r="AG9" t="n">
        <v>16</v>
      </c>
      <c r="AH9" t="n">
        <v>1</v>
      </c>
      <c r="AI9" t="n">
        <v>9</v>
      </c>
      <c r="AJ9" t="n">
        <v>2</v>
      </c>
      <c r="AK9" t="n">
        <v>28</v>
      </c>
      <c r="AL9" t="n">
        <v>0</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HYPERLINK("https://creighton-primo.hosted.exlibrisgroup.com/primo-explore/search?tab=default_tab&amp;search_scope=EVERYTHING&amp;vid=01CRU&amp;lang=en_US&amp;offset=0&amp;query=any,contains,991005149179702656","Catalog Record")</f>
        <v/>
      </c>
      <c r="AT9">
        <f>HYPERLINK("http://www.worldcat.org/oclc/7701962","WorldCat Record")</f>
        <v/>
      </c>
      <c r="AU9" t="inlineStr">
        <is>
          <t>2908450658:eng</t>
        </is>
      </c>
      <c r="AV9" t="inlineStr">
        <is>
          <t>7701962</t>
        </is>
      </c>
      <c r="AW9" t="inlineStr">
        <is>
          <t>991005149179702656</t>
        </is>
      </c>
      <c r="AX9" t="inlineStr">
        <is>
          <t>991005149179702656</t>
        </is>
      </c>
      <c r="AY9" t="inlineStr">
        <is>
          <t>2259709340002656</t>
        </is>
      </c>
      <c r="AZ9" t="inlineStr">
        <is>
          <t>BOOK</t>
        </is>
      </c>
      <c r="BC9" t="inlineStr">
        <is>
          <t>32285000690650</t>
        </is>
      </c>
      <c r="BD9" t="inlineStr">
        <is>
          <t>893870596</t>
        </is>
      </c>
    </row>
    <row r="10">
      <c r="A10" t="inlineStr">
        <is>
          <t>No</t>
        </is>
      </c>
      <c r="B10" t="inlineStr">
        <is>
          <t>BT101 .G53</t>
        </is>
      </c>
      <c r="C10" t="inlineStr">
        <is>
          <t>0                      BT 0101000G  53</t>
        </is>
      </c>
      <c r="D10" t="inlineStr">
        <is>
          <t>God and philosophy / by Etienne Gilson.</t>
        </is>
      </c>
      <c r="F10" t="inlineStr">
        <is>
          <t>No</t>
        </is>
      </c>
      <c r="G10" t="inlineStr">
        <is>
          <t>1</t>
        </is>
      </c>
      <c r="H10" t="inlineStr">
        <is>
          <t>No</t>
        </is>
      </c>
      <c r="I10" t="inlineStr">
        <is>
          <t>Yes</t>
        </is>
      </c>
      <c r="J10" t="inlineStr">
        <is>
          <t>0</t>
        </is>
      </c>
      <c r="K10" t="inlineStr">
        <is>
          <t>Gilson, Étienne, 1884-1978.</t>
        </is>
      </c>
      <c r="L10" t="inlineStr">
        <is>
          <t>New Haven, Yale University Press, 1941.</t>
        </is>
      </c>
      <c r="M10" t="inlineStr">
        <is>
          <t>1941</t>
        </is>
      </c>
      <c r="O10" t="inlineStr">
        <is>
          <t>eng</t>
        </is>
      </c>
      <c r="P10" t="inlineStr">
        <is>
          <t xml:space="preserve">xx </t>
        </is>
      </c>
      <c r="Q10" t="inlineStr">
        <is>
          <t>Powell lectures on philosophy at Indiana University.</t>
        </is>
      </c>
      <c r="R10" t="inlineStr">
        <is>
          <t xml:space="preserve">BT </t>
        </is>
      </c>
      <c r="S10" t="n">
        <v>7</v>
      </c>
      <c r="T10" t="n">
        <v>7</v>
      </c>
      <c r="U10" t="inlineStr">
        <is>
          <t>2009-04-14</t>
        </is>
      </c>
      <c r="V10" t="inlineStr">
        <is>
          <t>2009-04-14</t>
        </is>
      </c>
      <c r="W10" t="inlineStr">
        <is>
          <t>1991-06-28</t>
        </is>
      </c>
      <c r="X10" t="inlineStr">
        <is>
          <t>1991-06-28</t>
        </is>
      </c>
      <c r="Y10" t="n">
        <v>821</v>
      </c>
      <c r="Z10" t="n">
        <v>680</v>
      </c>
      <c r="AA10" t="n">
        <v>1242</v>
      </c>
      <c r="AB10" t="n">
        <v>7</v>
      </c>
      <c r="AC10" t="n">
        <v>11</v>
      </c>
      <c r="AD10" t="n">
        <v>36</v>
      </c>
      <c r="AE10" t="n">
        <v>61</v>
      </c>
      <c r="AF10" t="n">
        <v>16</v>
      </c>
      <c r="AG10" t="n">
        <v>26</v>
      </c>
      <c r="AH10" t="n">
        <v>8</v>
      </c>
      <c r="AI10" t="n">
        <v>10</v>
      </c>
      <c r="AJ10" t="n">
        <v>16</v>
      </c>
      <c r="AK10" t="n">
        <v>28</v>
      </c>
      <c r="AL10" t="n">
        <v>4</v>
      </c>
      <c r="AM10" t="n">
        <v>8</v>
      </c>
      <c r="AN10" t="n">
        <v>0</v>
      </c>
      <c r="AO10" t="n">
        <v>2</v>
      </c>
      <c r="AP10" t="inlineStr">
        <is>
          <t>No</t>
        </is>
      </c>
      <c r="AQ10" t="inlineStr">
        <is>
          <t>Yes</t>
        </is>
      </c>
      <c r="AR10">
        <f>HYPERLINK("http://catalog.hathitrust.org/Record/001388966","HathiTrust Record")</f>
        <v/>
      </c>
      <c r="AS10">
        <f>HYPERLINK("https://creighton-primo.hosted.exlibrisgroup.com/primo-explore/search?tab=default_tab&amp;search_scope=EVERYTHING&amp;vid=01CRU&amp;lang=en_US&amp;offset=0&amp;query=any,contains,991004400689702656","Catalog Record")</f>
        <v/>
      </c>
      <c r="AT10">
        <f>HYPERLINK("http://www.worldcat.org/oclc/3297140","WorldCat Record")</f>
        <v/>
      </c>
      <c r="AU10" t="inlineStr">
        <is>
          <t>1485876:eng</t>
        </is>
      </c>
      <c r="AV10" t="inlineStr">
        <is>
          <t>3297140</t>
        </is>
      </c>
      <c r="AW10" t="inlineStr">
        <is>
          <t>991004400689702656</t>
        </is>
      </c>
      <c r="AX10" t="inlineStr">
        <is>
          <t>991004400689702656</t>
        </is>
      </c>
      <c r="AY10" t="inlineStr">
        <is>
          <t>2259179110002656</t>
        </is>
      </c>
      <c r="AZ10" t="inlineStr">
        <is>
          <t>BOOK</t>
        </is>
      </c>
      <c r="BC10" t="inlineStr">
        <is>
          <t>32285000690668</t>
        </is>
      </c>
      <c r="BD10" t="inlineStr">
        <is>
          <t>893319176</t>
        </is>
      </c>
    </row>
    <row r="11">
      <c r="A11" t="inlineStr">
        <is>
          <t>No</t>
        </is>
      </c>
      <c r="B11" t="inlineStr">
        <is>
          <t>BT101 .G85 1957</t>
        </is>
      </c>
      <c r="C11" t="inlineStr">
        <is>
          <t>0                      BT 0101000G  85          1957</t>
        </is>
      </c>
      <c r="D11" t="inlineStr">
        <is>
          <t>The living God / Romano Guardini. Translated by Stanley Godman.</t>
        </is>
      </c>
      <c r="F11" t="inlineStr">
        <is>
          <t>No</t>
        </is>
      </c>
      <c r="G11" t="inlineStr">
        <is>
          <t>1</t>
        </is>
      </c>
      <c r="H11" t="inlineStr">
        <is>
          <t>No</t>
        </is>
      </c>
      <c r="I11" t="inlineStr">
        <is>
          <t>No</t>
        </is>
      </c>
      <c r="J11" t="inlineStr">
        <is>
          <t>0</t>
        </is>
      </c>
      <c r="K11" t="inlineStr">
        <is>
          <t>Guardini, Romano, 1885-1968.</t>
        </is>
      </c>
      <c r="L11" t="inlineStr">
        <is>
          <t>[New York] : Pantheon, [1957]</t>
        </is>
      </c>
      <c r="M11" t="inlineStr">
        <is>
          <t>1957</t>
        </is>
      </c>
      <c r="O11" t="inlineStr">
        <is>
          <t>eng</t>
        </is>
      </c>
      <c r="P11" t="inlineStr">
        <is>
          <t>nyu</t>
        </is>
      </c>
      <c r="R11" t="inlineStr">
        <is>
          <t xml:space="preserve">BT </t>
        </is>
      </c>
      <c r="S11" t="n">
        <v>2</v>
      </c>
      <c r="T11" t="n">
        <v>2</v>
      </c>
      <c r="U11" t="inlineStr">
        <is>
          <t>1999-04-16</t>
        </is>
      </c>
      <c r="V11" t="inlineStr">
        <is>
          <t>1999-04-16</t>
        </is>
      </c>
      <c r="W11" t="inlineStr">
        <is>
          <t>1990-06-26</t>
        </is>
      </c>
      <c r="X11" t="inlineStr">
        <is>
          <t>1990-06-26</t>
        </is>
      </c>
      <c r="Y11" t="n">
        <v>255</v>
      </c>
      <c r="Z11" t="n">
        <v>231</v>
      </c>
      <c r="AA11" t="n">
        <v>283</v>
      </c>
      <c r="AB11" t="n">
        <v>2</v>
      </c>
      <c r="AC11" t="n">
        <v>2</v>
      </c>
      <c r="AD11" t="n">
        <v>27</v>
      </c>
      <c r="AE11" t="n">
        <v>31</v>
      </c>
      <c r="AF11" t="n">
        <v>9</v>
      </c>
      <c r="AG11" t="n">
        <v>10</v>
      </c>
      <c r="AH11" t="n">
        <v>7</v>
      </c>
      <c r="AI11" t="n">
        <v>8</v>
      </c>
      <c r="AJ11" t="n">
        <v>21</v>
      </c>
      <c r="AK11" t="n">
        <v>24</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HYPERLINK("https://creighton-primo.hosted.exlibrisgroup.com/primo-explore/search?tab=default_tab&amp;search_scope=EVERYTHING&amp;vid=01CRU&amp;lang=en_US&amp;offset=0&amp;query=any,contains,991003124629702656","Catalog Record")</f>
        <v/>
      </c>
      <c r="AT11">
        <f>HYPERLINK("http://www.worldcat.org/oclc/669511","WorldCat Record")</f>
        <v/>
      </c>
      <c r="AU11" t="inlineStr">
        <is>
          <t>4494892722:eng</t>
        </is>
      </c>
      <c r="AV11" t="inlineStr">
        <is>
          <t>669511</t>
        </is>
      </c>
      <c r="AW11" t="inlineStr">
        <is>
          <t>991003124629702656</t>
        </is>
      </c>
      <c r="AX11" t="inlineStr">
        <is>
          <t>991003124629702656</t>
        </is>
      </c>
      <c r="AY11" t="inlineStr">
        <is>
          <t>2256218290002656</t>
        </is>
      </c>
      <c r="AZ11" t="inlineStr">
        <is>
          <t>BOOK</t>
        </is>
      </c>
      <c r="BC11" t="inlineStr">
        <is>
          <t>32285000214998</t>
        </is>
      </c>
      <c r="BD11" t="inlineStr">
        <is>
          <t>893434669</t>
        </is>
      </c>
    </row>
    <row r="12">
      <c r="A12" t="inlineStr">
        <is>
          <t>No</t>
        </is>
      </c>
      <c r="B12" t="inlineStr">
        <is>
          <t>BT101 .M42953</t>
        </is>
      </c>
      <c r="C12" t="inlineStr">
        <is>
          <t>0                      BT 0101000M  42953</t>
        </is>
      </c>
      <c r="D12" t="inlineStr">
        <is>
          <t>Approaches to God / Jacques Maritain. Translated from the French by Peter 0'Reilly.</t>
        </is>
      </c>
      <c r="F12" t="inlineStr">
        <is>
          <t>No</t>
        </is>
      </c>
      <c r="G12" t="inlineStr">
        <is>
          <t>1</t>
        </is>
      </c>
      <c r="H12" t="inlineStr">
        <is>
          <t>No</t>
        </is>
      </c>
      <c r="I12" t="inlineStr">
        <is>
          <t>No</t>
        </is>
      </c>
      <c r="J12" t="inlineStr">
        <is>
          <t>0</t>
        </is>
      </c>
      <c r="K12" t="inlineStr">
        <is>
          <t>Maritain, Jacques, 1882-1973.</t>
        </is>
      </c>
      <c r="L12" t="inlineStr">
        <is>
          <t>New York, Harper [1954]</t>
        </is>
      </c>
      <c r="M12" t="inlineStr">
        <is>
          <t>1954</t>
        </is>
      </c>
      <c r="N12" t="inlineStr">
        <is>
          <t>[1st ed.]</t>
        </is>
      </c>
      <c r="O12" t="inlineStr">
        <is>
          <t>eng</t>
        </is>
      </c>
      <c r="P12" t="inlineStr">
        <is>
          <t>nyu</t>
        </is>
      </c>
      <c r="Q12" t="inlineStr">
        <is>
          <t>World perspectives ; v. 1</t>
        </is>
      </c>
      <c r="R12" t="inlineStr">
        <is>
          <t xml:space="preserve">BT </t>
        </is>
      </c>
      <c r="S12" t="n">
        <v>5</v>
      </c>
      <c r="T12" t="n">
        <v>5</v>
      </c>
      <c r="U12" t="inlineStr">
        <is>
          <t>1997-02-12</t>
        </is>
      </c>
      <c r="V12" t="inlineStr">
        <is>
          <t>1997-02-12</t>
        </is>
      </c>
      <c r="W12" t="inlineStr">
        <is>
          <t>1991-06-28</t>
        </is>
      </c>
      <c r="X12" t="inlineStr">
        <is>
          <t>1991-06-28</t>
        </is>
      </c>
      <c r="Y12" t="n">
        <v>817</v>
      </c>
      <c r="Z12" t="n">
        <v>766</v>
      </c>
      <c r="AA12" t="n">
        <v>947</v>
      </c>
      <c r="AB12" t="n">
        <v>7</v>
      </c>
      <c r="AC12" t="n">
        <v>8</v>
      </c>
      <c r="AD12" t="n">
        <v>38</v>
      </c>
      <c r="AE12" t="n">
        <v>49</v>
      </c>
      <c r="AF12" t="n">
        <v>13</v>
      </c>
      <c r="AG12" t="n">
        <v>20</v>
      </c>
      <c r="AH12" t="n">
        <v>7</v>
      </c>
      <c r="AI12" t="n">
        <v>9</v>
      </c>
      <c r="AJ12" t="n">
        <v>25</v>
      </c>
      <c r="AK12" t="n">
        <v>27</v>
      </c>
      <c r="AL12" t="n">
        <v>4</v>
      </c>
      <c r="AM12" t="n">
        <v>5</v>
      </c>
      <c r="AN12" t="n">
        <v>0</v>
      </c>
      <c r="AO12" t="n">
        <v>0</v>
      </c>
      <c r="AP12" t="inlineStr">
        <is>
          <t>No</t>
        </is>
      </c>
      <c r="AQ12" t="inlineStr">
        <is>
          <t>No</t>
        </is>
      </c>
      <c r="AR12">
        <f>HYPERLINK("http://catalog.hathitrust.org/Record/001400488","HathiTrust Record")</f>
        <v/>
      </c>
      <c r="AS12">
        <f>HYPERLINK("https://creighton-primo.hosted.exlibrisgroup.com/primo-explore/search?tab=default_tab&amp;search_scope=EVERYTHING&amp;vid=01CRU&amp;lang=en_US&amp;offset=0&amp;query=any,contains,991002640129702656","Catalog Record")</f>
        <v/>
      </c>
      <c r="AT12">
        <f>HYPERLINK("http://www.worldcat.org/oclc/383787","WorldCat Record")</f>
        <v/>
      </c>
      <c r="AU12" t="inlineStr">
        <is>
          <t>4095457934:eng</t>
        </is>
      </c>
      <c r="AV12" t="inlineStr">
        <is>
          <t>383787</t>
        </is>
      </c>
      <c r="AW12" t="inlineStr">
        <is>
          <t>991002640129702656</t>
        </is>
      </c>
      <c r="AX12" t="inlineStr">
        <is>
          <t>991002640129702656</t>
        </is>
      </c>
      <c r="AY12" t="inlineStr">
        <is>
          <t>2260557350002656</t>
        </is>
      </c>
      <c r="AZ12" t="inlineStr">
        <is>
          <t>BOOK</t>
        </is>
      </c>
      <c r="BC12" t="inlineStr">
        <is>
          <t>32285000690734</t>
        </is>
      </c>
      <c r="BD12" t="inlineStr">
        <is>
          <t>893892798</t>
        </is>
      </c>
    </row>
    <row r="13">
      <c r="A13" t="inlineStr">
        <is>
          <t>No</t>
        </is>
      </c>
      <c r="B13" t="inlineStr">
        <is>
          <t>BT101 .M43 1937</t>
        </is>
      </c>
      <c r="C13" t="inlineStr">
        <is>
          <t>0                      BT 0101000M  43          1937</t>
        </is>
      </c>
      <c r="D13" t="inlineStr">
        <is>
          <t>Does God matter for me? / by C.C. Martindale.</t>
        </is>
      </c>
      <c r="F13" t="inlineStr">
        <is>
          <t>No</t>
        </is>
      </c>
      <c r="G13" t="inlineStr">
        <is>
          <t>1</t>
        </is>
      </c>
      <c r="H13" t="inlineStr">
        <is>
          <t>No</t>
        </is>
      </c>
      <c r="I13" t="inlineStr">
        <is>
          <t>No</t>
        </is>
      </c>
      <c r="J13" t="inlineStr">
        <is>
          <t>0</t>
        </is>
      </c>
      <c r="K13" t="inlineStr">
        <is>
          <t>Martindale, C. C. (Cyril Charlie), 1879-1963.</t>
        </is>
      </c>
      <c r="L13" t="inlineStr">
        <is>
          <t>N. Y. : Sheed &amp; Ward, 1937.</t>
        </is>
      </c>
      <c r="M13" t="inlineStr">
        <is>
          <t>1937</t>
        </is>
      </c>
      <c r="O13" t="inlineStr">
        <is>
          <t>eng</t>
        </is>
      </c>
      <c r="P13" t="inlineStr">
        <is>
          <t>___</t>
        </is>
      </c>
      <c r="R13" t="inlineStr">
        <is>
          <t xml:space="preserve">BT </t>
        </is>
      </c>
      <c r="S13" t="n">
        <v>3</v>
      </c>
      <c r="T13" t="n">
        <v>3</v>
      </c>
      <c r="U13" t="inlineStr">
        <is>
          <t>1996-11-27</t>
        </is>
      </c>
      <c r="V13" t="inlineStr">
        <is>
          <t>1996-11-27</t>
        </is>
      </c>
      <c r="W13" t="inlineStr">
        <is>
          <t>1991-06-28</t>
        </is>
      </c>
      <c r="X13" t="inlineStr">
        <is>
          <t>1991-06-28</t>
        </is>
      </c>
      <c r="Y13" t="n">
        <v>64</v>
      </c>
      <c r="Z13" t="n">
        <v>62</v>
      </c>
      <c r="AA13" t="n">
        <v>77</v>
      </c>
      <c r="AB13" t="n">
        <v>1</v>
      </c>
      <c r="AC13" t="n">
        <v>1</v>
      </c>
      <c r="AD13" t="n">
        <v>14</v>
      </c>
      <c r="AE13" t="n">
        <v>16</v>
      </c>
      <c r="AF13" t="n">
        <v>4</v>
      </c>
      <c r="AG13" t="n">
        <v>4</v>
      </c>
      <c r="AH13" t="n">
        <v>3</v>
      </c>
      <c r="AI13" t="n">
        <v>4</v>
      </c>
      <c r="AJ13" t="n">
        <v>12</v>
      </c>
      <c r="AK13" t="n">
        <v>14</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HYPERLINK("https://creighton-primo.hosted.exlibrisgroup.com/primo-explore/search?tab=default_tab&amp;search_scope=EVERYTHING&amp;vid=01CRU&amp;lang=en_US&amp;offset=0&amp;query=any,contains,991003476439702656","Catalog Record")</f>
        <v/>
      </c>
      <c r="AT13">
        <f>HYPERLINK("http://www.worldcat.org/oclc/1021322","WorldCat Record")</f>
        <v/>
      </c>
      <c r="AU13" t="inlineStr">
        <is>
          <t>9232695011:eng</t>
        </is>
      </c>
      <c r="AV13" t="inlineStr">
        <is>
          <t>1021322</t>
        </is>
      </c>
      <c r="AW13" t="inlineStr">
        <is>
          <t>991003476439702656</t>
        </is>
      </c>
      <c r="AX13" t="inlineStr">
        <is>
          <t>991003476439702656</t>
        </is>
      </c>
      <c r="AY13" t="inlineStr">
        <is>
          <t>2271092420002656</t>
        </is>
      </c>
      <c r="AZ13" t="inlineStr">
        <is>
          <t>BOOK</t>
        </is>
      </c>
      <c r="BC13" t="inlineStr">
        <is>
          <t>32285000690759</t>
        </is>
      </c>
      <c r="BD13" t="inlineStr">
        <is>
          <t>893598614</t>
        </is>
      </c>
    </row>
    <row r="14">
      <c r="A14" t="inlineStr">
        <is>
          <t>No</t>
        </is>
      </c>
      <c r="B14" t="inlineStr">
        <is>
          <t>BT101 .M945</t>
        </is>
      </c>
      <c r="C14" t="inlineStr">
        <is>
          <t>0                      BT 0101000M  945</t>
        </is>
      </c>
      <c r="D14" t="inlineStr">
        <is>
          <t>God and His creation / by William B. Murphy [and others]</t>
        </is>
      </c>
      <c r="F14" t="inlineStr">
        <is>
          <t>No</t>
        </is>
      </c>
      <c r="G14" t="inlineStr">
        <is>
          <t>1</t>
        </is>
      </c>
      <c r="H14" t="inlineStr">
        <is>
          <t>No</t>
        </is>
      </c>
      <c r="I14" t="inlineStr">
        <is>
          <t>No</t>
        </is>
      </c>
      <c r="J14" t="inlineStr">
        <is>
          <t>0</t>
        </is>
      </c>
      <c r="K14" t="inlineStr">
        <is>
          <t>Murphy, William B.</t>
        </is>
      </c>
      <c r="L14" t="inlineStr">
        <is>
          <t>Dubuque [Iowa] Priory Press, 1958.</t>
        </is>
      </c>
      <c r="M14" t="inlineStr">
        <is>
          <t>1958</t>
        </is>
      </c>
      <c r="O14" t="inlineStr">
        <is>
          <t>eng</t>
        </is>
      </c>
      <c r="P14" t="inlineStr">
        <is>
          <t>___</t>
        </is>
      </c>
      <c r="Q14" t="inlineStr">
        <is>
          <t>College texts in theology</t>
        </is>
      </c>
      <c r="R14" t="inlineStr">
        <is>
          <t xml:space="preserve">BT </t>
        </is>
      </c>
      <c r="S14" t="n">
        <v>1</v>
      </c>
      <c r="T14" t="n">
        <v>1</v>
      </c>
      <c r="U14" t="inlineStr">
        <is>
          <t>2002-09-28</t>
        </is>
      </c>
      <c r="V14" t="inlineStr">
        <is>
          <t>2002-09-28</t>
        </is>
      </c>
      <c r="W14" t="inlineStr">
        <is>
          <t>1991-06-28</t>
        </is>
      </c>
      <c r="X14" t="inlineStr">
        <is>
          <t>1991-06-28</t>
        </is>
      </c>
      <c r="Y14" t="n">
        <v>197</v>
      </c>
      <c r="Z14" t="n">
        <v>173</v>
      </c>
      <c r="AA14" t="n">
        <v>174</v>
      </c>
      <c r="AB14" t="n">
        <v>3</v>
      </c>
      <c r="AC14" t="n">
        <v>3</v>
      </c>
      <c r="AD14" t="n">
        <v>22</v>
      </c>
      <c r="AE14" t="n">
        <v>22</v>
      </c>
      <c r="AF14" t="n">
        <v>6</v>
      </c>
      <c r="AG14" t="n">
        <v>6</v>
      </c>
      <c r="AH14" t="n">
        <v>6</v>
      </c>
      <c r="AI14" t="n">
        <v>6</v>
      </c>
      <c r="AJ14" t="n">
        <v>17</v>
      </c>
      <c r="AK14" t="n">
        <v>17</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HYPERLINK("https://creighton-primo.hosted.exlibrisgroup.com/primo-explore/search?tab=default_tab&amp;search_scope=EVERYTHING&amp;vid=01CRU&amp;lang=en_US&amp;offset=0&amp;query=any,contains,991003672269702656","Catalog Record")</f>
        <v/>
      </c>
      <c r="AT14">
        <f>HYPERLINK("http://www.worldcat.org/oclc/1289771","WorldCat Record")</f>
        <v/>
      </c>
      <c r="AU14" t="inlineStr">
        <is>
          <t>2226287:eng</t>
        </is>
      </c>
      <c r="AV14" t="inlineStr">
        <is>
          <t>1289771</t>
        </is>
      </c>
      <c r="AW14" t="inlineStr">
        <is>
          <t>991003672269702656</t>
        </is>
      </c>
      <c r="AX14" t="inlineStr">
        <is>
          <t>991003672269702656</t>
        </is>
      </c>
      <c r="AY14" t="inlineStr">
        <is>
          <t>2261335590002656</t>
        </is>
      </c>
      <c r="AZ14" t="inlineStr">
        <is>
          <t>BOOK</t>
        </is>
      </c>
      <c r="BC14" t="inlineStr">
        <is>
          <t>32285000690767</t>
        </is>
      </c>
      <c r="BD14" t="inlineStr">
        <is>
          <t>893324332</t>
        </is>
      </c>
    </row>
    <row r="15">
      <c r="A15" t="inlineStr">
        <is>
          <t>No</t>
        </is>
      </c>
      <c r="B15" t="inlineStr">
        <is>
          <t>BT101 .O8</t>
        </is>
      </c>
      <c r="C15" t="inlineStr">
        <is>
          <t>0                      BT 0101000O  8</t>
        </is>
      </c>
      <c r="D15" t="inlineStr">
        <is>
          <t>Why I know there is a God / Fulton Oursler.</t>
        </is>
      </c>
      <c r="F15" t="inlineStr">
        <is>
          <t>No</t>
        </is>
      </c>
      <c r="G15" t="inlineStr">
        <is>
          <t>1</t>
        </is>
      </c>
      <c r="H15" t="inlineStr">
        <is>
          <t>No</t>
        </is>
      </c>
      <c r="I15" t="inlineStr">
        <is>
          <t>No</t>
        </is>
      </c>
      <c r="J15" t="inlineStr">
        <is>
          <t>0</t>
        </is>
      </c>
      <c r="K15" t="inlineStr">
        <is>
          <t>Oursler, Fulton, 1893-1952.</t>
        </is>
      </c>
      <c r="L15" t="inlineStr">
        <is>
          <t>Garden City, N.Y. : Doubleday, [1950]</t>
        </is>
      </c>
      <c r="M15" t="inlineStr">
        <is>
          <t>1950</t>
        </is>
      </c>
      <c r="N15" t="inlineStr">
        <is>
          <t>1st ed.</t>
        </is>
      </c>
      <c r="O15" t="inlineStr">
        <is>
          <t>eng</t>
        </is>
      </c>
      <c r="P15" t="inlineStr">
        <is>
          <t>|||</t>
        </is>
      </c>
      <c r="R15" t="inlineStr">
        <is>
          <t xml:space="preserve">BT </t>
        </is>
      </c>
      <c r="S15" t="n">
        <v>2</v>
      </c>
      <c r="T15" t="n">
        <v>2</v>
      </c>
      <c r="U15" t="inlineStr">
        <is>
          <t>1995-11-07</t>
        </is>
      </c>
      <c r="V15" t="inlineStr">
        <is>
          <t>1995-11-07</t>
        </is>
      </c>
      <c r="W15" t="inlineStr">
        <is>
          <t>1991-06-28</t>
        </is>
      </c>
      <c r="X15" t="inlineStr">
        <is>
          <t>1991-06-28</t>
        </is>
      </c>
      <c r="Y15" t="n">
        <v>415</v>
      </c>
      <c r="Z15" t="n">
        <v>400</v>
      </c>
      <c r="AA15" t="n">
        <v>415</v>
      </c>
      <c r="AB15" t="n">
        <v>10</v>
      </c>
      <c r="AC15" t="n">
        <v>10</v>
      </c>
      <c r="AD15" t="n">
        <v>28</v>
      </c>
      <c r="AE15" t="n">
        <v>28</v>
      </c>
      <c r="AF15" t="n">
        <v>8</v>
      </c>
      <c r="AG15" t="n">
        <v>8</v>
      </c>
      <c r="AH15" t="n">
        <v>6</v>
      </c>
      <c r="AI15" t="n">
        <v>6</v>
      </c>
      <c r="AJ15" t="n">
        <v>17</v>
      </c>
      <c r="AK15" t="n">
        <v>17</v>
      </c>
      <c r="AL15" t="n">
        <v>5</v>
      </c>
      <c r="AM15" t="n">
        <v>5</v>
      </c>
      <c r="AN15" t="n">
        <v>0</v>
      </c>
      <c r="AO15" t="n">
        <v>0</v>
      </c>
      <c r="AP15" t="inlineStr">
        <is>
          <t>No</t>
        </is>
      </c>
      <c r="AQ15" t="inlineStr">
        <is>
          <t>No</t>
        </is>
      </c>
      <c r="AR15">
        <f>HYPERLINK("http://catalog.hathitrust.org/Record/005776279","HathiTrust Record")</f>
        <v/>
      </c>
      <c r="AS15">
        <f>HYPERLINK("https://creighton-primo.hosted.exlibrisgroup.com/primo-explore/search?tab=default_tab&amp;search_scope=EVERYTHING&amp;vid=01CRU&amp;lang=en_US&amp;offset=0&amp;query=any,contains,991003326769702656","Catalog Record")</f>
        <v/>
      </c>
      <c r="AT15">
        <f>HYPERLINK("http://www.worldcat.org/oclc/856595","WorldCat Record")</f>
        <v/>
      </c>
      <c r="AU15" t="inlineStr">
        <is>
          <t>1806499:eng</t>
        </is>
      </c>
      <c r="AV15" t="inlineStr">
        <is>
          <t>856595</t>
        </is>
      </c>
      <c r="AW15" t="inlineStr">
        <is>
          <t>991003326769702656</t>
        </is>
      </c>
      <c r="AX15" t="inlineStr">
        <is>
          <t>991003326769702656</t>
        </is>
      </c>
      <c r="AY15" t="inlineStr">
        <is>
          <t>2268500800002656</t>
        </is>
      </c>
      <c r="AZ15" t="inlineStr">
        <is>
          <t>BOOK</t>
        </is>
      </c>
      <c r="BC15" t="inlineStr">
        <is>
          <t>32285000690775</t>
        </is>
      </c>
      <c r="BD15" t="inlineStr">
        <is>
          <t>893505477</t>
        </is>
      </c>
    </row>
    <row r="16">
      <c r="A16" t="inlineStr">
        <is>
          <t>No</t>
        </is>
      </c>
      <c r="B16" t="inlineStr">
        <is>
          <t>BT101 .P81</t>
        </is>
      </c>
      <c r="C16" t="inlineStr">
        <is>
          <t>0                      BT 0101000P  81</t>
        </is>
      </c>
      <c r="D16" t="inlineStr">
        <is>
          <t>The existence of God; a Thomist essay.</t>
        </is>
      </c>
      <c r="F16" t="inlineStr">
        <is>
          <t>No</t>
        </is>
      </c>
      <c r="G16" t="inlineStr">
        <is>
          <t>1</t>
        </is>
      </c>
      <c r="H16" t="inlineStr">
        <is>
          <t>No</t>
        </is>
      </c>
      <c r="I16" t="inlineStr">
        <is>
          <t>No</t>
        </is>
      </c>
      <c r="J16" t="inlineStr">
        <is>
          <t>0</t>
        </is>
      </c>
      <c r="K16" t="inlineStr">
        <is>
          <t>Pontifex, Mark, 1896-1981.</t>
        </is>
      </c>
      <c r="L16" t="inlineStr">
        <is>
          <t>London, Longmans, Green and Co., [1947]</t>
        </is>
      </c>
      <c r="M16" t="inlineStr">
        <is>
          <t>1947</t>
        </is>
      </c>
      <c r="O16" t="inlineStr">
        <is>
          <t>eng</t>
        </is>
      </c>
      <c r="P16" t="inlineStr">
        <is>
          <t>___</t>
        </is>
      </c>
      <c r="R16" t="inlineStr">
        <is>
          <t xml:space="preserve">BT </t>
        </is>
      </c>
      <c r="S16" t="n">
        <v>3</v>
      </c>
      <c r="T16" t="n">
        <v>3</v>
      </c>
      <c r="U16" t="inlineStr">
        <is>
          <t>1994-04-07</t>
        </is>
      </c>
      <c r="V16" t="inlineStr">
        <is>
          <t>1994-04-07</t>
        </is>
      </c>
      <c r="W16" t="inlineStr">
        <is>
          <t>1990-05-01</t>
        </is>
      </c>
      <c r="X16" t="inlineStr">
        <is>
          <t>1990-05-01</t>
        </is>
      </c>
      <c r="Y16" t="n">
        <v>181</v>
      </c>
      <c r="Z16" t="n">
        <v>135</v>
      </c>
      <c r="AA16" t="n">
        <v>149</v>
      </c>
      <c r="AB16" t="n">
        <v>1</v>
      </c>
      <c r="AC16" t="n">
        <v>1</v>
      </c>
      <c r="AD16" t="n">
        <v>21</v>
      </c>
      <c r="AE16" t="n">
        <v>21</v>
      </c>
      <c r="AF16" t="n">
        <v>6</v>
      </c>
      <c r="AG16" t="n">
        <v>6</v>
      </c>
      <c r="AH16" t="n">
        <v>5</v>
      </c>
      <c r="AI16" t="n">
        <v>5</v>
      </c>
      <c r="AJ16" t="n">
        <v>16</v>
      </c>
      <c r="AK16" t="n">
        <v>16</v>
      </c>
      <c r="AL16" t="n">
        <v>0</v>
      </c>
      <c r="AM16" t="n">
        <v>0</v>
      </c>
      <c r="AN16" t="n">
        <v>0</v>
      </c>
      <c r="AO16" t="n">
        <v>0</v>
      </c>
      <c r="AP16" t="inlineStr">
        <is>
          <t>No</t>
        </is>
      </c>
      <c r="AQ16" t="inlineStr">
        <is>
          <t>Yes</t>
        </is>
      </c>
      <c r="AR16">
        <f>HYPERLINK("http://catalog.hathitrust.org/Record/001939309","HathiTrust Record")</f>
        <v/>
      </c>
      <c r="AS16">
        <f>HYPERLINK("https://creighton-primo.hosted.exlibrisgroup.com/primo-explore/search?tab=default_tab&amp;search_scope=EVERYTHING&amp;vid=01CRU&amp;lang=en_US&amp;offset=0&amp;query=any,contains,991003404429702656","Catalog Record")</f>
        <v/>
      </c>
      <c r="AT16">
        <f>HYPERLINK("http://www.worldcat.org/oclc/943982","WorldCat Record")</f>
        <v/>
      </c>
      <c r="AU16" t="inlineStr">
        <is>
          <t>375753445:eng</t>
        </is>
      </c>
      <c r="AV16" t="inlineStr">
        <is>
          <t>943982</t>
        </is>
      </c>
      <c r="AW16" t="inlineStr">
        <is>
          <t>991003404429702656</t>
        </is>
      </c>
      <c r="AX16" t="inlineStr">
        <is>
          <t>991003404429702656</t>
        </is>
      </c>
      <c r="AY16" t="inlineStr">
        <is>
          <t>2266558710002656</t>
        </is>
      </c>
      <c r="AZ16" t="inlineStr">
        <is>
          <t>BOOK</t>
        </is>
      </c>
      <c r="BC16" t="inlineStr">
        <is>
          <t>32285000145309</t>
        </is>
      </c>
      <c r="BD16" t="inlineStr">
        <is>
          <t>893717626</t>
        </is>
      </c>
    </row>
    <row r="17">
      <c r="A17" t="inlineStr">
        <is>
          <t>No</t>
        </is>
      </c>
      <c r="B17" t="inlineStr">
        <is>
          <t>BT101 .V38 1902</t>
        </is>
      </c>
      <c r="C17" t="inlineStr">
        <is>
          <t>0                      BT 0101000V  38          1902</t>
        </is>
      </c>
      <c r="D17" t="inlineStr">
        <is>
          <t>Earth to heaven / by John S. Vaughan.</t>
        </is>
      </c>
      <c r="F17" t="inlineStr">
        <is>
          <t>No</t>
        </is>
      </c>
      <c r="G17" t="inlineStr">
        <is>
          <t>1</t>
        </is>
      </c>
      <c r="H17" t="inlineStr">
        <is>
          <t>No</t>
        </is>
      </c>
      <c r="I17" t="inlineStr">
        <is>
          <t>No</t>
        </is>
      </c>
      <c r="J17" t="inlineStr">
        <is>
          <t>0</t>
        </is>
      </c>
      <c r="K17" t="inlineStr">
        <is>
          <t>Vaughan, John S. (John Stephen), 1853-1925.</t>
        </is>
      </c>
      <c r="L17" t="inlineStr">
        <is>
          <t>St. Louis, Mo. : B. Herder ; London : Sands &amp; Co., 1902.</t>
        </is>
      </c>
      <c r="M17" t="inlineStr">
        <is>
          <t>1902</t>
        </is>
      </c>
      <c r="O17" t="inlineStr">
        <is>
          <t>eng</t>
        </is>
      </c>
      <c r="P17" t="inlineStr">
        <is>
          <t xml:space="preserve">xx </t>
        </is>
      </c>
      <c r="R17" t="inlineStr">
        <is>
          <t xml:space="preserve">BT </t>
        </is>
      </c>
      <c r="S17" t="n">
        <v>5</v>
      </c>
      <c r="T17" t="n">
        <v>5</v>
      </c>
      <c r="U17" t="inlineStr">
        <is>
          <t>1999-12-13</t>
        </is>
      </c>
      <c r="V17" t="inlineStr">
        <is>
          <t>1999-12-13</t>
        </is>
      </c>
      <c r="W17" t="inlineStr">
        <is>
          <t>1991-06-28</t>
        </is>
      </c>
      <c r="X17" t="inlineStr">
        <is>
          <t>1991-06-28</t>
        </is>
      </c>
      <c r="Y17" t="n">
        <v>14</v>
      </c>
      <c r="Z17" t="n">
        <v>13</v>
      </c>
      <c r="AA17" t="n">
        <v>48</v>
      </c>
      <c r="AB17" t="n">
        <v>1</v>
      </c>
      <c r="AC17" t="n">
        <v>1</v>
      </c>
      <c r="AD17" t="n">
        <v>5</v>
      </c>
      <c r="AE17" t="n">
        <v>13</v>
      </c>
      <c r="AF17" t="n">
        <v>1</v>
      </c>
      <c r="AG17" t="n">
        <v>2</v>
      </c>
      <c r="AH17" t="n">
        <v>2</v>
      </c>
      <c r="AI17" t="n">
        <v>7</v>
      </c>
      <c r="AJ17" t="n">
        <v>4</v>
      </c>
      <c r="AK17" t="n">
        <v>9</v>
      </c>
      <c r="AL17" t="n">
        <v>0</v>
      </c>
      <c r="AM17" t="n">
        <v>0</v>
      </c>
      <c r="AN17" t="n">
        <v>0</v>
      </c>
      <c r="AO17" t="n">
        <v>0</v>
      </c>
      <c r="AP17" t="inlineStr">
        <is>
          <t>No</t>
        </is>
      </c>
      <c r="AQ17" t="inlineStr">
        <is>
          <t>No</t>
        </is>
      </c>
      <c r="AS17">
        <f>HYPERLINK("https://creighton-primo.hosted.exlibrisgroup.com/primo-explore/search?tab=default_tab&amp;search_scope=EVERYTHING&amp;vid=01CRU&amp;lang=en_US&amp;offset=0&amp;query=any,contains,991000900529702656","Catalog Record")</f>
        <v/>
      </c>
      <c r="AT17">
        <f>HYPERLINK("http://www.worldcat.org/oclc/14055356","WorldCat Record")</f>
        <v/>
      </c>
      <c r="AU17" t="inlineStr">
        <is>
          <t>4266840:eng</t>
        </is>
      </c>
      <c r="AV17" t="inlineStr">
        <is>
          <t>14055356</t>
        </is>
      </c>
      <c r="AW17" t="inlineStr">
        <is>
          <t>991000900529702656</t>
        </is>
      </c>
      <c r="AX17" t="inlineStr">
        <is>
          <t>991000900529702656</t>
        </is>
      </c>
      <c r="AY17" t="inlineStr">
        <is>
          <t>2267444900002656</t>
        </is>
      </c>
      <c r="AZ17" t="inlineStr">
        <is>
          <t>BOOK</t>
        </is>
      </c>
      <c r="BC17" t="inlineStr">
        <is>
          <t>32285000690825</t>
        </is>
      </c>
      <c r="BD17" t="inlineStr">
        <is>
          <t>893509208</t>
        </is>
      </c>
    </row>
    <row r="18">
      <c r="A18" t="inlineStr">
        <is>
          <t>No</t>
        </is>
      </c>
      <c r="B18" t="inlineStr">
        <is>
          <t>BT101.B2718 J813</t>
        </is>
      </c>
      <c r="C18" t="inlineStr">
        <is>
          <t>0                      BT 0101000B  2718               J  813</t>
        </is>
      </c>
      <c r="D18" t="inlineStr">
        <is>
          <t>The doctrine of the Trinity : God's being is in becoming / Eberhard Jüngel ; [translated by Horton Harris].</t>
        </is>
      </c>
      <c r="F18" t="inlineStr">
        <is>
          <t>No</t>
        </is>
      </c>
      <c r="G18" t="inlineStr">
        <is>
          <t>1</t>
        </is>
      </c>
      <c r="H18" t="inlineStr">
        <is>
          <t>No</t>
        </is>
      </c>
      <c r="I18" t="inlineStr">
        <is>
          <t>No</t>
        </is>
      </c>
      <c r="J18" t="inlineStr">
        <is>
          <t>0</t>
        </is>
      </c>
      <c r="K18" t="inlineStr">
        <is>
          <t>Jüngel, Eberhard.</t>
        </is>
      </c>
      <c r="L18" t="inlineStr">
        <is>
          <t>Grand Rapids, Mich. : W. B. Eerdmans Pub. Co., 1976.</t>
        </is>
      </c>
      <c r="M18" t="inlineStr">
        <is>
          <t>1976</t>
        </is>
      </c>
      <c r="O18" t="inlineStr">
        <is>
          <t>eng</t>
        </is>
      </c>
      <c r="P18" t="inlineStr">
        <is>
          <t>miu</t>
        </is>
      </c>
      <c r="Q18" t="inlineStr">
        <is>
          <t>Monograph supplements to the Scottish journal of theology ; 4</t>
        </is>
      </c>
      <c r="R18" t="inlineStr">
        <is>
          <t xml:space="preserve">BT </t>
        </is>
      </c>
      <c r="S18" t="n">
        <v>0</v>
      </c>
      <c r="T18" t="n">
        <v>0</v>
      </c>
      <c r="U18" t="inlineStr">
        <is>
          <t>2003-09-02</t>
        </is>
      </c>
      <c r="V18" t="inlineStr">
        <is>
          <t>2003-09-02</t>
        </is>
      </c>
      <c r="W18" t="inlineStr">
        <is>
          <t>1991-06-28</t>
        </is>
      </c>
      <c r="X18" t="inlineStr">
        <is>
          <t>1991-06-28</t>
        </is>
      </c>
      <c r="Y18" t="n">
        <v>349</v>
      </c>
      <c r="Z18" t="n">
        <v>307</v>
      </c>
      <c r="AA18" t="n">
        <v>664</v>
      </c>
      <c r="AB18" t="n">
        <v>4</v>
      </c>
      <c r="AC18" t="n">
        <v>7</v>
      </c>
      <c r="AD18" t="n">
        <v>21</v>
      </c>
      <c r="AE18" t="n">
        <v>35</v>
      </c>
      <c r="AF18" t="n">
        <v>5</v>
      </c>
      <c r="AG18" t="n">
        <v>12</v>
      </c>
      <c r="AH18" t="n">
        <v>4</v>
      </c>
      <c r="AI18" t="n">
        <v>7</v>
      </c>
      <c r="AJ18" t="n">
        <v>13</v>
      </c>
      <c r="AK18" t="n">
        <v>19</v>
      </c>
      <c r="AL18" t="n">
        <v>3</v>
      </c>
      <c r="AM18" t="n">
        <v>6</v>
      </c>
      <c r="AN18" t="n">
        <v>0</v>
      </c>
      <c r="AO18" t="n">
        <v>0</v>
      </c>
      <c r="AP18" t="inlineStr">
        <is>
          <t>No</t>
        </is>
      </c>
      <c r="AQ18" t="inlineStr">
        <is>
          <t>No</t>
        </is>
      </c>
      <c r="AS18">
        <f>HYPERLINK("https://creighton-primo.hosted.exlibrisgroup.com/primo-explore/search?tab=default_tab&amp;search_scope=EVERYTHING&amp;vid=01CRU&amp;lang=en_US&amp;offset=0&amp;query=any,contains,991004077319702656","Catalog Record")</f>
        <v/>
      </c>
      <c r="AT18">
        <f>HYPERLINK("http://www.worldcat.org/oclc/2318412","WorldCat Record")</f>
        <v/>
      </c>
      <c r="AU18" t="inlineStr">
        <is>
          <t>4654665:eng</t>
        </is>
      </c>
      <c r="AV18" t="inlineStr">
        <is>
          <t>2318412</t>
        </is>
      </c>
      <c r="AW18" t="inlineStr">
        <is>
          <t>991004077319702656</t>
        </is>
      </c>
      <c r="AX18" t="inlineStr">
        <is>
          <t>991004077319702656</t>
        </is>
      </c>
      <c r="AY18" t="inlineStr">
        <is>
          <t>2266402720002656</t>
        </is>
      </c>
      <c r="AZ18" t="inlineStr">
        <is>
          <t>BOOK</t>
        </is>
      </c>
      <c r="BB18" t="inlineStr">
        <is>
          <t>9780802834904</t>
        </is>
      </c>
      <c r="BC18" t="inlineStr">
        <is>
          <t>32285000690593</t>
        </is>
      </c>
      <c r="BD18" t="inlineStr">
        <is>
          <t>893775581</t>
        </is>
      </c>
    </row>
    <row r="19">
      <c r="A19" t="inlineStr">
        <is>
          <t>No</t>
        </is>
      </c>
      <c r="B19" t="inlineStr">
        <is>
          <t>BT101.S144 W54</t>
        </is>
      </c>
      <c r="C19" t="inlineStr">
        <is>
          <t>0                      BT 0101000S  144                W  54</t>
        </is>
      </c>
      <c r="D19" t="inlineStr">
        <is>
          <t>Schleiermacher the theologian : the construction of the doctrine of God / Robert R. Williams.</t>
        </is>
      </c>
      <c r="F19" t="inlineStr">
        <is>
          <t>No</t>
        </is>
      </c>
      <c r="G19" t="inlineStr">
        <is>
          <t>1</t>
        </is>
      </c>
      <c r="H19" t="inlineStr">
        <is>
          <t>No</t>
        </is>
      </c>
      <c r="I19" t="inlineStr">
        <is>
          <t>No</t>
        </is>
      </c>
      <c r="J19" t="inlineStr">
        <is>
          <t>0</t>
        </is>
      </c>
      <c r="K19" t="inlineStr">
        <is>
          <t>Williams, Robert R.</t>
        </is>
      </c>
      <c r="L19" t="inlineStr">
        <is>
          <t>Philadelphia : Fortress Press, c1978.</t>
        </is>
      </c>
      <c r="M19" t="inlineStr">
        <is>
          <t>1978</t>
        </is>
      </c>
      <c r="O19" t="inlineStr">
        <is>
          <t>eng</t>
        </is>
      </c>
      <c r="P19" t="inlineStr">
        <is>
          <t>pau</t>
        </is>
      </c>
      <c r="R19" t="inlineStr">
        <is>
          <t xml:space="preserve">BT </t>
        </is>
      </c>
      <c r="S19" t="n">
        <v>3</v>
      </c>
      <c r="T19" t="n">
        <v>3</v>
      </c>
      <c r="U19" t="inlineStr">
        <is>
          <t>1993-02-17</t>
        </is>
      </c>
      <c r="V19" t="inlineStr">
        <is>
          <t>1993-02-17</t>
        </is>
      </c>
      <c r="W19" t="inlineStr">
        <is>
          <t>1991-06-28</t>
        </is>
      </c>
      <c r="X19" t="inlineStr">
        <is>
          <t>1991-06-28</t>
        </is>
      </c>
      <c r="Y19" t="n">
        <v>530</v>
      </c>
      <c r="Z19" t="n">
        <v>426</v>
      </c>
      <c r="AA19" t="n">
        <v>431</v>
      </c>
      <c r="AB19" t="n">
        <v>5</v>
      </c>
      <c r="AC19" t="n">
        <v>5</v>
      </c>
      <c r="AD19" t="n">
        <v>34</v>
      </c>
      <c r="AE19" t="n">
        <v>34</v>
      </c>
      <c r="AF19" t="n">
        <v>12</v>
      </c>
      <c r="AG19" t="n">
        <v>12</v>
      </c>
      <c r="AH19" t="n">
        <v>8</v>
      </c>
      <c r="AI19" t="n">
        <v>8</v>
      </c>
      <c r="AJ19" t="n">
        <v>19</v>
      </c>
      <c r="AK19" t="n">
        <v>19</v>
      </c>
      <c r="AL19" t="n">
        <v>4</v>
      </c>
      <c r="AM19" t="n">
        <v>4</v>
      </c>
      <c r="AN19" t="n">
        <v>0</v>
      </c>
      <c r="AO19" t="n">
        <v>0</v>
      </c>
      <c r="AP19" t="inlineStr">
        <is>
          <t>No</t>
        </is>
      </c>
      <c r="AQ19" t="inlineStr">
        <is>
          <t>No</t>
        </is>
      </c>
      <c r="AS19">
        <f>HYPERLINK("https://creighton-primo.hosted.exlibrisgroup.com/primo-explore/search?tab=default_tab&amp;search_scope=EVERYTHING&amp;vid=01CRU&amp;lang=en_US&amp;offset=0&amp;query=any,contains,991004473439702656","Catalog Record")</f>
        <v/>
      </c>
      <c r="AT19">
        <f>HYPERLINK("http://www.worldcat.org/oclc/3607939","WorldCat Record")</f>
        <v/>
      </c>
      <c r="AU19" t="inlineStr">
        <is>
          <t>890930364:eng</t>
        </is>
      </c>
      <c r="AV19" t="inlineStr">
        <is>
          <t>3607939</t>
        </is>
      </c>
      <c r="AW19" t="inlineStr">
        <is>
          <t>991004473439702656</t>
        </is>
      </c>
      <c r="AX19" t="inlineStr">
        <is>
          <t>991004473439702656</t>
        </is>
      </c>
      <c r="AY19" t="inlineStr">
        <is>
          <t>2272462140002656</t>
        </is>
      </c>
      <c r="AZ19" t="inlineStr">
        <is>
          <t>BOOK</t>
        </is>
      </c>
      <c r="BB19" t="inlineStr">
        <is>
          <t>9780800605131</t>
        </is>
      </c>
      <c r="BC19" t="inlineStr">
        <is>
          <t>32285000690817</t>
        </is>
      </c>
      <c r="BD19" t="inlineStr">
        <is>
          <t>893446230</t>
        </is>
      </c>
    </row>
    <row r="20">
      <c r="A20" t="inlineStr">
        <is>
          <t>No</t>
        </is>
      </c>
      <c r="B20" t="inlineStr">
        <is>
          <t>BT102 .A33</t>
        </is>
      </c>
      <c r="C20" t="inlineStr">
        <is>
          <t>0                      BT 0102000A  33</t>
        </is>
      </c>
      <c r="D20" t="inlineStr">
        <is>
          <t>How to think about God : a guide for the 20th-century pagan / Mortimer J. Adler.</t>
        </is>
      </c>
      <c r="F20" t="inlineStr">
        <is>
          <t>No</t>
        </is>
      </c>
      <c r="G20" t="inlineStr">
        <is>
          <t>1</t>
        </is>
      </c>
      <c r="H20" t="inlineStr">
        <is>
          <t>No</t>
        </is>
      </c>
      <c r="I20" t="inlineStr">
        <is>
          <t>No</t>
        </is>
      </c>
      <c r="J20" t="inlineStr">
        <is>
          <t>0</t>
        </is>
      </c>
      <c r="K20" t="inlineStr">
        <is>
          <t>Adler, Mortimer Jerome, 1902-2001.</t>
        </is>
      </c>
      <c r="L20" t="inlineStr">
        <is>
          <t>New York : Macmillan ; London : Collier Macmillan, c1980.</t>
        </is>
      </c>
      <c r="M20" t="inlineStr">
        <is>
          <t>1980</t>
        </is>
      </c>
      <c r="O20" t="inlineStr">
        <is>
          <t>eng</t>
        </is>
      </c>
      <c r="P20" t="inlineStr">
        <is>
          <t>nyu</t>
        </is>
      </c>
      <c r="R20" t="inlineStr">
        <is>
          <t xml:space="preserve">BT </t>
        </is>
      </c>
      <c r="S20" t="n">
        <v>8</v>
      </c>
      <c r="T20" t="n">
        <v>8</v>
      </c>
      <c r="U20" t="inlineStr">
        <is>
          <t>2009-05-29</t>
        </is>
      </c>
      <c r="V20" t="inlineStr">
        <is>
          <t>2009-05-29</t>
        </is>
      </c>
      <c r="W20" t="inlineStr">
        <is>
          <t>1991-07-26</t>
        </is>
      </c>
      <c r="X20" t="inlineStr">
        <is>
          <t>1991-07-26</t>
        </is>
      </c>
      <c r="Y20" t="n">
        <v>1245</v>
      </c>
      <c r="Z20" t="n">
        <v>1153</v>
      </c>
      <c r="AA20" t="n">
        <v>1194</v>
      </c>
      <c r="AB20" t="n">
        <v>11</v>
      </c>
      <c r="AC20" t="n">
        <v>12</v>
      </c>
      <c r="AD20" t="n">
        <v>42</v>
      </c>
      <c r="AE20" t="n">
        <v>43</v>
      </c>
      <c r="AF20" t="n">
        <v>18</v>
      </c>
      <c r="AG20" t="n">
        <v>18</v>
      </c>
      <c r="AH20" t="n">
        <v>6</v>
      </c>
      <c r="AI20" t="n">
        <v>6</v>
      </c>
      <c r="AJ20" t="n">
        <v>22</v>
      </c>
      <c r="AK20" t="n">
        <v>23</v>
      </c>
      <c r="AL20" t="n">
        <v>6</v>
      </c>
      <c r="AM20" t="n">
        <v>6</v>
      </c>
      <c r="AN20" t="n">
        <v>0</v>
      </c>
      <c r="AO20" t="n">
        <v>0</v>
      </c>
      <c r="AP20" t="inlineStr">
        <is>
          <t>No</t>
        </is>
      </c>
      <c r="AQ20" t="inlineStr">
        <is>
          <t>Yes</t>
        </is>
      </c>
      <c r="AR20">
        <f>HYPERLINK("http://catalog.hathitrust.org/Record/000041849","HathiTrust Record")</f>
        <v/>
      </c>
      <c r="AS20">
        <f>HYPERLINK("https://creighton-primo.hosted.exlibrisgroup.com/primo-explore/search?tab=default_tab&amp;search_scope=EVERYTHING&amp;vid=01CRU&amp;lang=en_US&amp;offset=0&amp;query=any,contains,991004870289702656","Catalog Record")</f>
        <v/>
      </c>
      <c r="AT20">
        <f>HYPERLINK("http://www.worldcat.org/oclc/5751170","WorldCat Record")</f>
        <v/>
      </c>
      <c r="AU20" t="inlineStr">
        <is>
          <t>47766359:eng</t>
        </is>
      </c>
      <c r="AV20" t="inlineStr">
        <is>
          <t>5751170</t>
        </is>
      </c>
      <c r="AW20" t="inlineStr">
        <is>
          <t>991004870289702656</t>
        </is>
      </c>
      <c r="AX20" t="inlineStr">
        <is>
          <t>991004870289702656</t>
        </is>
      </c>
      <c r="AY20" t="inlineStr">
        <is>
          <t>2270287190002656</t>
        </is>
      </c>
      <c r="AZ20" t="inlineStr">
        <is>
          <t>BOOK</t>
        </is>
      </c>
      <c r="BB20" t="inlineStr">
        <is>
          <t>9780025005402</t>
        </is>
      </c>
      <c r="BC20" t="inlineStr">
        <is>
          <t>32285000691880</t>
        </is>
      </c>
      <c r="BD20" t="inlineStr">
        <is>
          <t>893782749</t>
        </is>
      </c>
    </row>
    <row r="21">
      <c r="A21" t="inlineStr">
        <is>
          <t>No</t>
        </is>
      </c>
      <c r="B21" t="inlineStr">
        <is>
          <t>BT102 .A47 1993</t>
        </is>
      </c>
      <c r="C21" t="inlineStr">
        <is>
          <t>0                      BT 0102000A  47          1993</t>
        </is>
      </c>
      <c r="D21" t="inlineStr">
        <is>
          <t>The genesis of God : a theological genealogy / Thomas J.J. Altizer.</t>
        </is>
      </c>
      <c r="F21" t="inlineStr">
        <is>
          <t>No</t>
        </is>
      </c>
      <c r="G21" t="inlineStr">
        <is>
          <t>1</t>
        </is>
      </c>
      <c r="H21" t="inlineStr">
        <is>
          <t>No</t>
        </is>
      </c>
      <c r="I21" t="inlineStr">
        <is>
          <t>No</t>
        </is>
      </c>
      <c r="J21" t="inlineStr">
        <is>
          <t>0</t>
        </is>
      </c>
      <c r="K21" t="inlineStr">
        <is>
          <t>Altizer, Thomas J. J.</t>
        </is>
      </c>
      <c r="L21" t="inlineStr">
        <is>
          <t>Louisville, Ky. : Westminster/John Knox Press, c1993.</t>
        </is>
      </c>
      <c r="M21" t="inlineStr">
        <is>
          <t>1993</t>
        </is>
      </c>
      <c r="N21" t="inlineStr">
        <is>
          <t>1st ed.</t>
        </is>
      </c>
      <c r="O21" t="inlineStr">
        <is>
          <t>eng</t>
        </is>
      </c>
      <c r="P21" t="inlineStr">
        <is>
          <t>kyu</t>
        </is>
      </c>
      <c r="R21" t="inlineStr">
        <is>
          <t xml:space="preserve">BT </t>
        </is>
      </c>
      <c r="S21" t="n">
        <v>4</v>
      </c>
      <c r="T21" t="n">
        <v>4</v>
      </c>
      <c r="U21" t="inlineStr">
        <is>
          <t>2010-02-22</t>
        </is>
      </c>
      <c r="V21" t="inlineStr">
        <is>
          <t>2010-02-22</t>
        </is>
      </c>
      <c r="W21" t="inlineStr">
        <is>
          <t>1994-09-07</t>
        </is>
      </c>
      <c r="X21" t="inlineStr">
        <is>
          <t>1994-09-07</t>
        </is>
      </c>
      <c r="Y21" t="n">
        <v>260</v>
      </c>
      <c r="Z21" t="n">
        <v>220</v>
      </c>
      <c r="AA21" t="n">
        <v>222</v>
      </c>
      <c r="AB21" t="n">
        <v>2</v>
      </c>
      <c r="AC21" t="n">
        <v>2</v>
      </c>
      <c r="AD21" t="n">
        <v>17</v>
      </c>
      <c r="AE21" t="n">
        <v>17</v>
      </c>
      <c r="AF21" t="n">
        <v>7</v>
      </c>
      <c r="AG21" t="n">
        <v>7</v>
      </c>
      <c r="AH21" t="n">
        <v>6</v>
      </c>
      <c r="AI21" t="n">
        <v>6</v>
      </c>
      <c r="AJ21" t="n">
        <v>10</v>
      </c>
      <c r="AK21" t="n">
        <v>10</v>
      </c>
      <c r="AL21" t="n">
        <v>1</v>
      </c>
      <c r="AM21" t="n">
        <v>1</v>
      </c>
      <c r="AN21" t="n">
        <v>0</v>
      </c>
      <c r="AO21" t="n">
        <v>0</v>
      </c>
      <c r="AP21" t="inlineStr">
        <is>
          <t>No</t>
        </is>
      </c>
      <c r="AQ21" t="inlineStr">
        <is>
          <t>Yes</t>
        </is>
      </c>
      <c r="AR21">
        <f>HYPERLINK("http://catalog.hathitrust.org/Record/002753248","HathiTrust Record")</f>
        <v/>
      </c>
      <c r="AS21">
        <f>HYPERLINK("https://creighton-primo.hosted.exlibrisgroup.com/primo-explore/search?tab=default_tab&amp;search_scope=EVERYTHING&amp;vid=01CRU&amp;lang=en_US&amp;offset=0&amp;query=any,contains,991002176449702656","Catalog Record")</f>
        <v/>
      </c>
      <c r="AT21">
        <f>HYPERLINK("http://www.worldcat.org/oclc/28021622","WorldCat Record")</f>
        <v/>
      </c>
      <c r="AU21" t="inlineStr">
        <is>
          <t>889839288:eng</t>
        </is>
      </c>
      <c r="AV21" t="inlineStr">
        <is>
          <t>28021622</t>
        </is>
      </c>
      <c r="AW21" t="inlineStr">
        <is>
          <t>991002176449702656</t>
        </is>
      </c>
      <c r="AX21" t="inlineStr">
        <is>
          <t>991002176449702656</t>
        </is>
      </c>
      <c r="AY21" t="inlineStr">
        <is>
          <t>2265384440002656</t>
        </is>
      </c>
      <c r="AZ21" t="inlineStr">
        <is>
          <t>BOOK</t>
        </is>
      </c>
      <c r="BB21" t="inlineStr">
        <is>
          <t>9780664219963</t>
        </is>
      </c>
      <c r="BC21" t="inlineStr">
        <is>
          <t>32285001945137</t>
        </is>
      </c>
      <c r="BD21" t="inlineStr">
        <is>
          <t>893621992</t>
        </is>
      </c>
    </row>
    <row r="22">
      <c r="A22" t="inlineStr">
        <is>
          <t>No</t>
        </is>
      </c>
      <c r="B22" t="inlineStr">
        <is>
          <t>BT102 .B55</t>
        </is>
      </c>
      <c r="C22" t="inlineStr">
        <is>
          <t>0                      BT 0102000B  55</t>
        </is>
      </c>
      <c r="D22" t="inlineStr">
        <is>
          <t>God and atheism : a philosophical approach to the problem of God / by Bernardino M. Bonansea.</t>
        </is>
      </c>
      <c r="F22" t="inlineStr">
        <is>
          <t>No</t>
        </is>
      </c>
      <c r="G22" t="inlineStr">
        <is>
          <t>1</t>
        </is>
      </c>
      <c r="H22" t="inlineStr">
        <is>
          <t>No</t>
        </is>
      </c>
      <c r="I22" t="inlineStr">
        <is>
          <t>No</t>
        </is>
      </c>
      <c r="J22" t="inlineStr">
        <is>
          <t>0</t>
        </is>
      </c>
      <c r="K22" t="inlineStr">
        <is>
          <t>Bonansea, Bernardino M.</t>
        </is>
      </c>
      <c r="L22" t="inlineStr">
        <is>
          <t>Washington : Catholic University of America Press, c1979.</t>
        </is>
      </c>
      <c r="M22" t="inlineStr">
        <is>
          <t>1979</t>
        </is>
      </c>
      <c r="O22" t="inlineStr">
        <is>
          <t>eng</t>
        </is>
      </c>
      <c r="P22" t="inlineStr">
        <is>
          <t>dcu</t>
        </is>
      </c>
      <c r="R22" t="inlineStr">
        <is>
          <t xml:space="preserve">BT </t>
        </is>
      </c>
      <c r="S22" t="n">
        <v>2</v>
      </c>
      <c r="T22" t="n">
        <v>2</v>
      </c>
      <c r="U22" t="inlineStr">
        <is>
          <t>1996-02-22</t>
        </is>
      </c>
      <c r="V22" t="inlineStr">
        <is>
          <t>1996-02-22</t>
        </is>
      </c>
      <c r="W22" t="inlineStr">
        <is>
          <t>1991-07-26</t>
        </is>
      </c>
      <c r="X22" t="inlineStr">
        <is>
          <t>1991-07-26</t>
        </is>
      </c>
      <c r="Y22" t="n">
        <v>344</v>
      </c>
      <c r="Z22" t="n">
        <v>290</v>
      </c>
      <c r="AA22" t="n">
        <v>296</v>
      </c>
      <c r="AB22" t="n">
        <v>3</v>
      </c>
      <c r="AC22" t="n">
        <v>3</v>
      </c>
      <c r="AD22" t="n">
        <v>28</v>
      </c>
      <c r="AE22" t="n">
        <v>28</v>
      </c>
      <c r="AF22" t="n">
        <v>8</v>
      </c>
      <c r="AG22" t="n">
        <v>8</v>
      </c>
      <c r="AH22" t="n">
        <v>8</v>
      </c>
      <c r="AI22" t="n">
        <v>8</v>
      </c>
      <c r="AJ22" t="n">
        <v>20</v>
      </c>
      <c r="AK22" t="n">
        <v>20</v>
      </c>
      <c r="AL22" t="n">
        <v>1</v>
      </c>
      <c r="AM22" t="n">
        <v>1</v>
      </c>
      <c r="AN22" t="n">
        <v>0</v>
      </c>
      <c r="AO22" t="n">
        <v>0</v>
      </c>
      <c r="AP22" t="inlineStr">
        <is>
          <t>No</t>
        </is>
      </c>
      <c r="AQ22" t="inlineStr">
        <is>
          <t>Yes</t>
        </is>
      </c>
      <c r="AR22">
        <f>HYPERLINK("http://catalog.hathitrust.org/Record/000042043","HathiTrust Record")</f>
        <v/>
      </c>
      <c r="AS22">
        <f>HYPERLINK("https://creighton-primo.hosted.exlibrisgroup.com/primo-explore/search?tab=default_tab&amp;search_scope=EVERYTHING&amp;vid=01CRU&amp;lang=en_US&amp;offset=0&amp;query=any,contains,991004661959702656","Catalog Record")</f>
        <v/>
      </c>
      <c r="AT22">
        <f>HYPERLINK("http://www.worldcat.org/oclc/4497411","WorldCat Record")</f>
        <v/>
      </c>
      <c r="AU22" t="inlineStr">
        <is>
          <t>14778306:eng</t>
        </is>
      </c>
      <c r="AV22" t="inlineStr">
        <is>
          <t>4497411</t>
        </is>
      </c>
      <c r="AW22" t="inlineStr">
        <is>
          <t>991004661959702656</t>
        </is>
      </c>
      <c r="AX22" t="inlineStr">
        <is>
          <t>991004661959702656</t>
        </is>
      </c>
      <c r="AY22" t="inlineStr">
        <is>
          <t>2266871030002656</t>
        </is>
      </c>
      <c r="AZ22" t="inlineStr">
        <is>
          <t>BOOK</t>
        </is>
      </c>
      <c r="BB22" t="inlineStr">
        <is>
          <t>9780813205496</t>
        </is>
      </c>
      <c r="BC22" t="inlineStr">
        <is>
          <t>32285000691922</t>
        </is>
      </c>
      <c r="BD22" t="inlineStr">
        <is>
          <t>893795124</t>
        </is>
      </c>
    </row>
    <row r="23">
      <c r="A23" t="inlineStr">
        <is>
          <t>No</t>
        </is>
      </c>
      <c r="B23" t="inlineStr">
        <is>
          <t>BT102 .C36 1989</t>
        </is>
      </c>
      <c r="C23" t="inlineStr">
        <is>
          <t>0                      BT 0102000C  36          1989</t>
        </is>
      </c>
      <c r="D23" t="inlineStr">
        <is>
          <t>A pilgrim God for a pilgrim people / Denis Carroll.</t>
        </is>
      </c>
      <c r="F23" t="inlineStr">
        <is>
          <t>No</t>
        </is>
      </c>
      <c r="G23" t="inlineStr">
        <is>
          <t>1</t>
        </is>
      </c>
      <c r="H23" t="inlineStr">
        <is>
          <t>No</t>
        </is>
      </c>
      <c r="I23" t="inlineStr">
        <is>
          <t>No</t>
        </is>
      </c>
      <c r="J23" t="inlineStr">
        <is>
          <t>0</t>
        </is>
      </c>
      <c r="K23" t="inlineStr">
        <is>
          <t>Carroll, Denis.</t>
        </is>
      </c>
      <c r="L23" t="inlineStr">
        <is>
          <t>Wilmington, Del. : M. Glazier, 1989, c1988.</t>
        </is>
      </c>
      <c r="M23" t="inlineStr">
        <is>
          <t>1989</t>
        </is>
      </c>
      <c r="O23" t="inlineStr">
        <is>
          <t>eng</t>
        </is>
      </c>
      <c r="P23" t="inlineStr">
        <is>
          <t>deu</t>
        </is>
      </c>
      <c r="Q23" t="inlineStr">
        <is>
          <t>Theology and life series ; 24</t>
        </is>
      </c>
      <c r="R23" t="inlineStr">
        <is>
          <t xml:space="preserve">BT </t>
        </is>
      </c>
      <c r="S23" t="n">
        <v>2</v>
      </c>
      <c r="T23" t="n">
        <v>2</v>
      </c>
      <c r="U23" t="inlineStr">
        <is>
          <t>1995-05-03</t>
        </is>
      </c>
      <c r="V23" t="inlineStr">
        <is>
          <t>1995-05-03</t>
        </is>
      </c>
      <c r="W23" t="inlineStr">
        <is>
          <t>1990-11-20</t>
        </is>
      </c>
      <c r="X23" t="inlineStr">
        <is>
          <t>1990-11-20</t>
        </is>
      </c>
      <c r="Y23" t="n">
        <v>90</v>
      </c>
      <c r="Z23" t="n">
        <v>75</v>
      </c>
      <c r="AA23" t="n">
        <v>90</v>
      </c>
      <c r="AB23" t="n">
        <v>1</v>
      </c>
      <c r="AC23" t="n">
        <v>1</v>
      </c>
      <c r="AD23" t="n">
        <v>11</v>
      </c>
      <c r="AE23" t="n">
        <v>12</v>
      </c>
      <c r="AF23" t="n">
        <v>3</v>
      </c>
      <c r="AG23" t="n">
        <v>3</v>
      </c>
      <c r="AH23" t="n">
        <v>4</v>
      </c>
      <c r="AI23" t="n">
        <v>4</v>
      </c>
      <c r="AJ23" t="n">
        <v>7</v>
      </c>
      <c r="AK23" t="n">
        <v>8</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HYPERLINK("https://creighton-primo.hosted.exlibrisgroup.com/primo-explore/search?tab=default_tab&amp;search_scope=EVERYTHING&amp;vid=01CRU&amp;lang=en_US&amp;offset=0&amp;query=any,contains,991001355119702656","Catalog Record")</f>
        <v/>
      </c>
      <c r="AT23">
        <f>HYPERLINK("http://www.worldcat.org/oclc/18464462","WorldCat Record")</f>
        <v/>
      </c>
      <c r="AU23" t="inlineStr">
        <is>
          <t>17496285:eng</t>
        </is>
      </c>
      <c r="AV23" t="inlineStr">
        <is>
          <t>18464462</t>
        </is>
      </c>
      <c r="AW23" t="inlineStr">
        <is>
          <t>991001355119702656</t>
        </is>
      </c>
      <c r="AX23" t="inlineStr">
        <is>
          <t>991001355119702656</t>
        </is>
      </c>
      <c r="AY23" t="inlineStr">
        <is>
          <t>2268933040002656</t>
        </is>
      </c>
      <c r="AZ23" t="inlineStr">
        <is>
          <t>BOOK</t>
        </is>
      </c>
      <c r="BB23" t="inlineStr">
        <is>
          <t>9780894537493</t>
        </is>
      </c>
      <c r="BC23" t="inlineStr">
        <is>
          <t>32285000356062</t>
        </is>
      </c>
      <c r="BD23" t="inlineStr">
        <is>
          <t>893497019</t>
        </is>
      </c>
    </row>
    <row r="24">
      <c r="A24" t="inlineStr">
        <is>
          <t>No</t>
        </is>
      </c>
      <c r="B24" t="inlineStr">
        <is>
          <t>BT102 .C37 1998</t>
        </is>
      </c>
      <c r="C24" t="inlineStr">
        <is>
          <t>0                      BT 0102000C  37          1998</t>
        </is>
      </c>
      <c r="D24" t="inlineStr">
        <is>
          <t>God is : from question to proof to embracing the truth / Joseph H. Casey.</t>
        </is>
      </c>
      <c r="F24" t="inlineStr">
        <is>
          <t>No</t>
        </is>
      </c>
      <c r="G24" t="inlineStr">
        <is>
          <t>1</t>
        </is>
      </c>
      <c r="H24" t="inlineStr">
        <is>
          <t>No</t>
        </is>
      </c>
      <c r="I24" t="inlineStr">
        <is>
          <t>No</t>
        </is>
      </c>
      <c r="J24" t="inlineStr">
        <is>
          <t>0</t>
        </is>
      </c>
      <c r="K24" t="inlineStr">
        <is>
          <t>Casey, Joseph H.</t>
        </is>
      </c>
      <c r="L24" t="inlineStr">
        <is>
          <t>Lanham, Md. : University Press of America, c1998.</t>
        </is>
      </c>
      <c r="M24" t="inlineStr">
        <is>
          <t>1998</t>
        </is>
      </c>
      <c r="O24" t="inlineStr">
        <is>
          <t>eng</t>
        </is>
      </c>
      <c r="P24" t="inlineStr">
        <is>
          <t>mdu</t>
        </is>
      </c>
      <c r="R24" t="inlineStr">
        <is>
          <t xml:space="preserve">BT </t>
        </is>
      </c>
      <c r="S24" t="n">
        <v>5</v>
      </c>
      <c r="T24" t="n">
        <v>5</v>
      </c>
      <c r="U24" t="inlineStr">
        <is>
          <t>1999-05-03</t>
        </is>
      </c>
      <c r="V24" t="inlineStr">
        <is>
          <t>1999-05-03</t>
        </is>
      </c>
      <c r="W24" t="inlineStr">
        <is>
          <t>1998-12-01</t>
        </is>
      </c>
      <c r="X24" t="inlineStr">
        <is>
          <t>1998-12-01</t>
        </is>
      </c>
      <c r="Y24" t="n">
        <v>122</v>
      </c>
      <c r="Z24" t="n">
        <v>107</v>
      </c>
      <c r="AA24" t="n">
        <v>109</v>
      </c>
      <c r="AB24" t="n">
        <v>3</v>
      </c>
      <c r="AC24" t="n">
        <v>3</v>
      </c>
      <c r="AD24" t="n">
        <v>12</v>
      </c>
      <c r="AE24" t="n">
        <v>12</v>
      </c>
      <c r="AF24" t="n">
        <v>4</v>
      </c>
      <c r="AG24" t="n">
        <v>4</v>
      </c>
      <c r="AH24" t="n">
        <v>1</v>
      </c>
      <c r="AI24" t="n">
        <v>1</v>
      </c>
      <c r="AJ24" t="n">
        <v>7</v>
      </c>
      <c r="AK24" t="n">
        <v>7</v>
      </c>
      <c r="AL24" t="n">
        <v>2</v>
      </c>
      <c r="AM24" t="n">
        <v>2</v>
      </c>
      <c r="AN24" t="n">
        <v>0</v>
      </c>
      <c r="AO24" t="n">
        <v>0</v>
      </c>
      <c r="AP24" t="inlineStr">
        <is>
          <t>No</t>
        </is>
      </c>
      <c r="AQ24" t="inlineStr">
        <is>
          <t>Yes</t>
        </is>
      </c>
      <c r="AR24">
        <f>HYPERLINK("http://catalog.hathitrust.org/Record/003998156","HathiTrust Record")</f>
        <v/>
      </c>
      <c r="AS24">
        <f>HYPERLINK("https://creighton-primo.hosted.exlibrisgroup.com/primo-explore/search?tab=default_tab&amp;search_scope=EVERYTHING&amp;vid=01CRU&amp;lang=en_US&amp;offset=0&amp;query=any,contains,991002951649702656","Catalog Record")</f>
        <v/>
      </c>
      <c r="AT24">
        <f>HYPERLINK("http://www.worldcat.org/oclc/39335386","WorldCat Record")</f>
        <v/>
      </c>
      <c r="AU24" t="inlineStr">
        <is>
          <t>476236576:eng</t>
        </is>
      </c>
      <c r="AV24" t="inlineStr">
        <is>
          <t>39335386</t>
        </is>
      </c>
      <c r="AW24" t="inlineStr">
        <is>
          <t>991002951649702656</t>
        </is>
      </c>
      <c r="AX24" t="inlineStr">
        <is>
          <t>991002951649702656</t>
        </is>
      </c>
      <c r="AY24" t="inlineStr">
        <is>
          <t>2268086710002656</t>
        </is>
      </c>
      <c r="AZ24" t="inlineStr">
        <is>
          <t>BOOK</t>
        </is>
      </c>
      <c r="BB24" t="inlineStr">
        <is>
          <t>9780761812074</t>
        </is>
      </c>
      <c r="BC24" t="inlineStr">
        <is>
          <t>32285003481487</t>
        </is>
      </c>
      <c r="BD24" t="inlineStr">
        <is>
          <t>893899447</t>
        </is>
      </c>
    </row>
    <row r="25">
      <c r="A25" t="inlineStr">
        <is>
          <t>No</t>
        </is>
      </c>
      <c r="B25" t="inlineStr">
        <is>
          <t>BT102 .D42</t>
        </is>
      </c>
      <c r="C25" t="inlineStr">
        <is>
          <t>0                      BT 0102000D  42</t>
        </is>
      </c>
      <c r="D25" t="inlineStr">
        <is>
          <t>The future of belief : theism in a world come of age / Leslie Dewart.</t>
        </is>
      </c>
      <c r="F25" t="inlineStr">
        <is>
          <t>No</t>
        </is>
      </c>
      <c r="G25" t="inlineStr">
        <is>
          <t>1</t>
        </is>
      </c>
      <c r="H25" t="inlineStr">
        <is>
          <t>No</t>
        </is>
      </c>
      <c r="I25" t="inlineStr">
        <is>
          <t>No</t>
        </is>
      </c>
      <c r="J25" t="inlineStr">
        <is>
          <t>0</t>
        </is>
      </c>
      <c r="K25" t="inlineStr">
        <is>
          <t>Dewart, Leslie.</t>
        </is>
      </c>
      <c r="L25" t="inlineStr">
        <is>
          <t>[New York] Herder and Herder [1966]</t>
        </is>
      </c>
      <c r="M25" t="inlineStr">
        <is>
          <t>1966</t>
        </is>
      </c>
      <c r="O25" t="inlineStr">
        <is>
          <t>eng</t>
        </is>
      </c>
      <c r="P25" t="inlineStr">
        <is>
          <t>nyu</t>
        </is>
      </c>
      <c r="R25" t="inlineStr">
        <is>
          <t xml:space="preserve">BT </t>
        </is>
      </c>
      <c r="S25" t="n">
        <v>2</v>
      </c>
      <c r="T25" t="n">
        <v>2</v>
      </c>
      <c r="U25" t="inlineStr">
        <is>
          <t>1997-10-29</t>
        </is>
      </c>
      <c r="V25" t="inlineStr">
        <is>
          <t>1997-10-29</t>
        </is>
      </c>
      <c r="W25" t="inlineStr">
        <is>
          <t>1991-07-26</t>
        </is>
      </c>
      <c r="X25" t="inlineStr">
        <is>
          <t>1991-07-26</t>
        </is>
      </c>
      <c r="Y25" t="n">
        <v>818</v>
      </c>
      <c r="Z25" t="n">
        <v>719</v>
      </c>
      <c r="AA25" t="n">
        <v>732</v>
      </c>
      <c r="AB25" t="n">
        <v>9</v>
      </c>
      <c r="AC25" t="n">
        <v>9</v>
      </c>
      <c r="AD25" t="n">
        <v>43</v>
      </c>
      <c r="AE25" t="n">
        <v>43</v>
      </c>
      <c r="AF25" t="n">
        <v>16</v>
      </c>
      <c r="AG25" t="n">
        <v>16</v>
      </c>
      <c r="AH25" t="n">
        <v>7</v>
      </c>
      <c r="AI25" t="n">
        <v>7</v>
      </c>
      <c r="AJ25" t="n">
        <v>25</v>
      </c>
      <c r="AK25" t="n">
        <v>25</v>
      </c>
      <c r="AL25" t="n">
        <v>6</v>
      </c>
      <c r="AM25" t="n">
        <v>6</v>
      </c>
      <c r="AN25" t="n">
        <v>0</v>
      </c>
      <c r="AO25" t="n">
        <v>0</v>
      </c>
      <c r="AP25" t="inlineStr">
        <is>
          <t>No</t>
        </is>
      </c>
      <c r="AQ25" t="inlineStr">
        <is>
          <t>Yes</t>
        </is>
      </c>
      <c r="AR25">
        <f>HYPERLINK("http://catalog.hathitrust.org/Record/007887559","HathiTrust Record")</f>
        <v/>
      </c>
      <c r="AS25">
        <f>HYPERLINK("https://creighton-primo.hosted.exlibrisgroup.com/primo-explore/search?tab=default_tab&amp;search_scope=EVERYTHING&amp;vid=01CRU&amp;lang=en_US&amp;offset=0&amp;query=any,contains,991002138979702656","Catalog Record")</f>
        <v/>
      </c>
      <c r="AT25">
        <f>HYPERLINK("http://www.worldcat.org/oclc/270403","WorldCat Record")</f>
        <v/>
      </c>
      <c r="AU25" t="inlineStr">
        <is>
          <t>1397529:eng</t>
        </is>
      </c>
      <c r="AV25" t="inlineStr">
        <is>
          <t>270403</t>
        </is>
      </c>
      <c r="AW25" t="inlineStr">
        <is>
          <t>991002138979702656</t>
        </is>
      </c>
      <c r="AX25" t="inlineStr">
        <is>
          <t>991002138979702656</t>
        </is>
      </c>
      <c r="AY25" t="inlineStr">
        <is>
          <t>2263797140002656</t>
        </is>
      </c>
      <c r="AZ25" t="inlineStr">
        <is>
          <t>BOOK</t>
        </is>
      </c>
      <c r="BC25" t="inlineStr">
        <is>
          <t>32285000692003</t>
        </is>
      </c>
      <c r="BD25" t="inlineStr">
        <is>
          <t>893238675</t>
        </is>
      </c>
    </row>
    <row r="26">
      <c r="A26" t="inlineStr">
        <is>
          <t>No</t>
        </is>
      </c>
      <c r="B26" t="inlineStr">
        <is>
          <t>BT102 .D8 1977</t>
        </is>
      </c>
      <c r="C26" t="inlineStr">
        <is>
          <t>0                      BT 0102000D  8           1977</t>
        </is>
      </c>
      <c r="D26" t="inlineStr">
        <is>
          <t>A search for God in time and memory / John S. Dunne.</t>
        </is>
      </c>
      <c r="F26" t="inlineStr">
        <is>
          <t>No</t>
        </is>
      </c>
      <c r="G26" t="inlineStr">
        <is>
          <t>1</t>
        </is>
      </c>
      <c r="H26" t="inlineStr">
        <is>
          <t>No</t>
        </is>
      </c>
      <c r="I26" t="inlineStr">
        <is>
          <t>No</t>
        </is>
      </c>
      <c r="J26" t="inlineStr">
        <is>
          <t>0</t>
        </is>
      </c>
      <c r="K26" t="inlineStr">
        <is>
          <t>Dunne, John S., 1929-2013.</t>
        </is>
      </c>
      <c r="L26" t="inlineStr">
        <is>
          <t>Notre Dame, Ind. : University of Notre Dame Press, 1977, c1969.</t>
        </is>
      </c>
      <c r="M26" t="inlineStr">
        <is>
          <t>1977</t>
        </is>
      </c>
      <c r="O26" t="inlineStr">
        <is>
          <t>eng</t>
        </is>
      </c>
      <c r="P26" t="inlineStr">
        <is>
          <t>inu</t>
        </is>
      </c>
      <c r="R26" t="inlineStr">
        <is>
          <t xml:space="preserve">BT </t>
        </is>
      </c>
      <c r="S26" t="n">
        <v>6</v>
      </c>
      <c r="T26" t="n">
        <v>6</v>
      </c>
      <c r="U26" t="inlineStr">
        <is>
          <t>2006-12-13</t>
        </is>
      </c>
      <c r="V26" t="inlineStr">
        <is>
          <t>2006-12-13</t>
        </is>
      </c>
      <c r="W26" t="inlineStr">
        <is>
          <t>1991-07-26</t>
        </is>
      </c>
      <c r="X26" t="inlineStr">
        <is>
          <t>1991-07-26</t>
        </is>
      </c>
      <c r="Y26" t="n">
        <v>176</v>
      </c>
      <c r="Z26" t="n">
        <v>157</v>
      </c>
      <c r="AA26" t="n">
        <v>654</v>
      </c>
      <c r="AB26" t="n">
        <v>1</v>
      </c>
      <c r="AC26" t="n">
        <v>7</v>
      </c>
      <c r="AD26" t="n">
        <v>8</v>
      </c>
      <c r="AE26" t="n">
        <v>41</v>
      </c>
      <c r="AF26" t="n">
        <v>2</v>
      </c>
      <c r="AG26" t="n">
        <v>15</v>
      </c>
      <c r="AH26" t="n">
        <v>2</v>
      </c>
      <c r="AI26" t="n">
        <v>9</v>
      </c>
      <c r="AJ26" t="n">
        <v>7</v>
      </c>
      <c r="AK26" t="n">
        <v>25</v>
      </c>
      <c r="AL26" t="n">
        <v>0</v>
      </c>
      <c r="AM26" t="n">
        <v>5</v>
      </c>
      <c r="AN26" t="n">
        <v>0</v>
      </c>
      <c r="AO26" t="n">
        <v>0</v>
      </c>
      <c r="AP26" t="inlineStr">
        <is>
          <t>No</t>
        </is>
      </c>
      <c r="AQ26" t="inlineStr">
        <is>
          <t>No</t>
        </is>
      </c>
      <c r="AS26">
        <f>HYPERLINK("https://creighton-primo.hosted.exlibrisgroup.com/primo-explore/search?tab=default_tab&amp;search_scope=EVERYTHING&amp;vid=01CRU&amp;lang=en_US&amp;offset=0&amp;query=any,contains,991004175699702656","Catalog Record")</f>
        <v/>
      </c>
      <c r="AT26">
        <f>HYPERLINK("http://www.worldcat.org/oclc/2596962","WorldCat Record")</f>
        <v/>
      </c>
      <c r="AU26" t="inlineStr">
        <is>
          <t>430723:eng</t>
        </is>
      </c>
      <c r="AV26" t="inlineStr">
        <is>
          <t>2596962</t>
        </is>
      </c>
      <c r="AW26" t="inlineStr">
        <is>
          <t>991004175699702656</t>
        </is>
      </c>
      <c r="AX26" t="inlineStr">
        <is>
          <t>991004175699702656</t>
        </is>
      </c>
      <c r="AY26" t="inlineStr">
        <is>
          <t>2268345820002656</t>
        </is>
      </c>
      <c r="AZ26" t="inlineStr">
        <is>
          <t>BOOK</t>
        </is>
      </c>
      <c r="BB26" t="inlineStr">
        <is>
          <t>9780268016890</t>
        </is>
      </c>
      <c r="BC26" t="inlineStr">
        <is>
          <t>32285000691989</t>
        </is>
      </c>
      <c r="BD26" t="inlineStr">
        <is>
          <t>893605716</t>
        </is>
      </c>
    </row>
    <row r="27">
      <c r="A27" t="inlineStr">
        <is>
          <t>No</t>
        </is>
      </c>
      <c r="B27" t="inlineStr">
        <is>
          <t>BT102 .E52</t>
        </is>
      </c>
      <c r="C27" t="inlineStr">
        <is>
          <t>0                      BT 0102000E  52</t>
        </is>
      </c>
      <c r="D27" t="inlineStr">
        <is>
          <t>The feminine dimension of the Divine / by Joan Chamberlain Engelsman.</t>
        </is>
      </c>
      <c r="F27" t="inlineStr">
        <is>
          <t>No</t>
        </is>
      </c>
      <c r="G27" t="inlineStr">
        <is>
          <t>1</t>
        </is>
      </c>
      <c r="H27" t="inlineStr">
        <is>
          <t>No</t>
        </is>
      </c>
      <c r="I27" t="inlineStr">
        <is>
          <t>No</t>
        </is>
      </c>
      <c r="J27" t="inlineStr">
        <is>
          <t>0</t>
        </is>
      </c>
      <c r="K27" t="inlineStr">
        <is>
          <t>Engelsman, Joan Chamberlain, 1932-</t>
        </is>
      </c>
      <c r="L27" t="inlineStr">
        <is>
          <t>Philadelphia : Westminster Press, c1979.</t>
        </is>
      </c>
      <c r="M27" t="inlineStr">
        <is>
          <t>1979</t>
        </is>
      </c>
      <c r="N27" t="inlineStr">
        <is>
          <t>1st ed.</t>
        </is>
      </c>
      <c r="O27" t="inlineStr">
        <is>
          <t>eng</t>
        </is>
      </c>
      <c r="P27" t="inlineStr">
        <is>
          <t>pau</t>
        </is>
      </c>
      <c r="R27" t="inlineStr">
        <is>
          <t xml:space="preserve">BT </t>
        </is>
      </c>
      <c r="S27" t="n">
        <v>6</v>
      </c>
      <c r="T27" t="n">
        <v>6</v>
      </c>
      <c r="U27" t="inlineStr">
        <is>
          <t>1995-03-21</t>
        </is>
      </c>
      <c r="V27" t="inlineStr">
        <is>
          <t>1995-03-21</t>
        </is>
      </c>
      <c r="W27" t="inlineStr">
        <is>
          <t>1990-03-20</t>
        </is>
      </c>
      <c r="X27" t="inlineStr">
        <is>
          <t>1990-03-20</t>
        </is>
      </c>
      <c r="Y27" t="n">
        <v>652</v>
      </c>
      <c r="Z27" t="n">
        <v>561</v>
      </c>
      <c r="AA27" t="n">
        <v>678</v>
      </c>
      <c r="AB27" t="n">
        <v>4</v>
      </c>
      <c r="AC27" t="n">
        <v>5</v>
      </c>
      <c r="AD27" t="n">
        <v>29</v>
      </c>
      <c r="AE27" t="n">
        <v>35</v>
      </c>
      <c r="AF27" t="n">
        <v>10</v>
      </c>
      <c r="AG27" t="n">
        <v>12</v>
      </c>
      <c r="AH27" t="n">
        <v>6</v>
      </c>
      <c r="AI27" t="n">
        <v>8</v>
      </c>
      <c r="AJ27" t="n">
        <v>16</v>
      </c>
      <c r="AK27" t="n">
        <v>20</v>
      </c>
      <c r="AL27" t="n">
        <v>3</v>
      </c>
      <c r="AM27" t="n">
        <v>4</v>
      </c>
      <c r="AN27" t="n">
        <v>0</v>
      </c>
      <c r="AO27" t="n">
        <v>0</v>
      </c>
      <c r="AP27" t="inlineStr">
        <is>
          <t>No</t>
        </is>
      </c>
      <c r="AQ27" t="inlineStr">
        <is>
          <t>Yes</t>
        </is>
      </c>
      <c r="AR27">
        <f>HYPERLINK("http://catalog.hathitrust.org/Record/000703725","HathiTrust Record")</f>
        <v/>
      </c>
      <c r="AS27">
        <f>HYPERLINK("https://creighton-primo.hosted.exlibrisgroup.com/primo-explore/search?tab=default_tab&amp;search_scope=EVERYTHING&amp;vid=01CRU&amp;lang=en_US&amp;offset=0&amp;query=any,contains,991004761939702656","Catalog Record")</f>
        <v/>
      </c>
      <c r="AT27">
        <f>HYPERLINK("http://www.worldcat.org/oclc/5007349","WorldCat Record")</f>
        <v/>
      </c>
      <c r="AU27" t="inlineStr">
        <is>
          <t>513662:eng</t>
        </is>
      </c>
      <c r="AV27" t="inlineStr">
        <is>
          <t>5007349</t>
        </is>
      </c>
      <c r="AW27" t="inlineStr">
        <is>
          <t>991004761939702656</t>
        </is>
      </c>
      <c r="AX27" t="inlineStr">
        <is>
          <t>991004761939702656</t>
        </is>
      </c>
      <c r="AY27" t="inlineStr">
        <is>
          <t>2271728750002656</t>
        </is>
      </c>
      <c r="AZ27" t="inlineStr">
        <is>
          <t>BOOK</t>
        </is>
      </c>
      <c r="BB27" t="inlineStr">
        <is>
          <t>9780664242688</t>
        </is>
      </c>
      <c r="BC27" t="inlineStr">
        <is>
          <t>32285000087055</t>
        </is>
      </c>
      <c r="BD27" t="inlineStr">
        <is>
          <t>893424169</t>
        </is>
      </c>
    </row>
    <row r="28">
      <c r="A28" t="inlineStr">
        <is>
          <t>No</t>
        </is>
      </c>
      <c r="B28" t="inlineStr">
        <is>
          <t>BT102 .G413</t>
        </is>
      </c>
      <c r="C28" t="inlineStr">
        <is>
          <t>0                      BT 0102000G  413</t>
        </is>
      </c>
      <c r="D28" t="inlineStr">
        <is>
          <t>The mystery of God / [by] F. M. Genuyt. Translated from the French by John J. Pilch.</t>
        </is>
      </c>
      <c r="F28" t="inlineStr">
        <is>
          <t>No</t>
        </is>
      </c>
      <c r="G28" t="inlineStr">
        <is>
          <t>1</t>
        </is>
      </c>
      <c r="H28" t="inlineStr">
        <is>
          <t>No</t>
        </is>
      </c>
      <c r="I28" t="inlineStr">
        <is>
          <t>No</t>
        </is>
      </c>
      <c r="J28" t="inlineStr">
        <is>
          <t>0</t>
        </is>
      </c>
      <c r="K28" t="inlineStr">
        <is>
          <t>Genuyt, F. M.</t>
        </is>
      </c>
      <c r="L28" t="inlineStr">
        <is>
          <t>New York, Desclee Co. [1968]</t>
        </is>
      </c>
      <c r="M28" t="inlineStr">
        <is>
          <t>1968</t>
        </is>
      </c>
      <c r="O28" t="inlineStr">
        <is>
          <t>eng</t>
        </is>
      </c>
      <c r="P28" t="inlineStr">
        <is>
          <t>nyu</t>
        </is>
      </c>
      <c r="R28" t="inlineStr">
        <is>
          <t xml:space="preserve">BT </t>
        </is>
      </c>
      <c r="S28" t="n">
        <v>3</v>
      </c>
      <c r="T28" t="n">
        <v>3</v>
      </c>
      <c r="U28" t="inlineStr">
        <is>
          <t>1997-10-29</t>
        </is>
      </c>
      <c r="V28" t="inlineStr">
        <is>
          <t>1997-10-29</t>
        </is>
      </c>
      <c r="W28" t="inlineStr">
        <is>
          <t>1991-07-26</t>
        </is>
      </c>
      <c r="X28" t="inlineStr">
        <is>
          <t>1991-07-26</t>
        </is>
      </c>
      <c r="Y28" t="n">
        <v>117</v>
      </c>
      <c r="Z28" t="n">
        <v>103</v>
      </c>
      <c r="AA28" t="n">
        <v>103</v>
      </c>
      <c r="AB28" t="n">
        <v>2</v>
      </c>
      <c r="AC28" t="n">
        <v>2</v>
      </c>
      <c r="AD28" t="n">
        <v>17</v>
      </c>
      <c r="AE28" t="n">
        <v>17</v>
      </c>
      <c r="AF28" t="n">
        <v>4</v>
      </c>
      <c r="AG28" t="n">
        <v>4</v>
      </c>
      <c r="AH28" t="n">
        <v>5</v>
      </c>
      <c r="AI28" t="n">
        <v>5</v>
      </c>
      <c r="AJ28" t="n">
        <v>12</v>
      </c>
      <c r="AK28" t="n">
        <v>12</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HYPERLINK("https://creighton-primo.hosted.exlibrisgroup.com/primo-explore/search?tab=default_tab&amp;search_scope=EVERYTHING&amp;vid=01CRU&amp;lang=en_US&amp;offset=0&amp;query=any,contains,991000002019702656","Catalog Record")</f>
        <v/>
      </c>
      <c r="AT28">
        <f>HYPERLINK("http://www.worldcat.org/oclc/10850","WorldCat Record")</f>
        <v/>
      </c>
      <c r="AU28" t="inlineStr">
        <is>
          <t>9593321285:eng</t>
        </is>
      </c>
      <c r="AV28" t="inlineStr">
        <is>
          <t>10850</t>
        </is>
      </c>
      <c r="AW28" t="inlineStr">
        <is>
          <t>991000002019702656</t>
        </is>
      </c>
      <c r="AX28" t="inlineStr">
        <is>
          <t>991000002019702656</t>
        </is>
      </c>
      <c r="AY28" t="inlineStr">
        <is>
          <t>2268015120002656</t>
        </is>
      </c>
      <c r="AZ28" t="inlineStr">
        <is>
          <t>BOOK</t>
        </is>
      </c>
      <c r="BC28" t="inlineStr">
        <is>
          <t>32285000692029</t>
        </is>
      </c>
      <c r="BD28" t="inlineStr">
        <is>
          <t>893683068</t>
        </is>
      </c>
    </row>
    <row r="29">
      <c r="A29" t="inlineStr">
        <is>
          <t>No</t>
        </is>
      </c>
      <c r="B29" t="inlineStr">
        <is>
          <t>BT102 .G575 1997</t>
        </is>
      </c>
      <c r="C29" t="inlineStr">
        <is>
          <t>0                      BT 0102000G  575         1997</t>
        </is>
      </c>
      <c r="D29" t="inlineStr">
        <is>
          <t>God : the evidence : the reconciliation of faith and reason in a postsecular world / Patrick Glynn.</t>
        </is>
      </c>
      <c r="F29" t="inlineStr">
        <is>
          <t>No</t>
        </is>
      </c>
      <c r="G29" t="inlineStr">
        <is>
          <t>1</t>
        </is>
      </c>
      <c r="H29" t="inlineStr">
        <is>
          <t>No</t>
        </is>
      </c>
      <c r="I29" t="inlineStr">
        <is>
          <t>No</t>
        </is>
      </c>
      <c r="J29" t="inlineStr">
        <is>
          <t>0</t>
        </is>
      </c>
      <c r="K29" t="inlineStr">
        <is>
          <t>Glynn, Patrick.</t>
        </is>
      </c>
      <c r="L29" t="inlineStr">
        <is>
          <t>Rocklin, CA : Forum, c1997.</t>
        </is>
      </c>
      <c r="M29" t="inlineStr">
        <is>
          <t>1997</t>
        </is>
      </c>
      <c r="O29" t="inlineStr">
        <is>
          <t>eng</t>
        </is>
      </c>
      <c r="P29" t="inlineStr">
        <is>
          <t>cau</t>
        </is>
      </c>
      <c r="R29" t="inlineStr">
        <is>
          <t xml:space="preserve">BT </t>
        </is>
      </c>
      <c r="S29" t="n">
        <v>3</v>
      </c>
      <c r="T29" t="n">
        <v>3</v>
      </c>
      <c r="U29" t="inlineStr">
        <is>
          <t>2002-10-02</t>
        </is>
      </c>
      <c r="V29" t="inlineStr">
        <is>
          <t>2002-10-02</t>
        </is>
      </c>
      <c r="W29" t="inlineStr">
        <is>
          <t>1998-04-29</t>
        </is>
      </c>
      <c r="X29" t="inlineStr">
        <is>
          <t>1998-04-29</t>
        </is>
      </c>
      <c r="Y29" t="n">
        <v>694</v>
      </c>
      <c r="Z29" t="n">
        <v>658</v>
      </c>
      <c r="AA29" t="n">
        <v>787</v>
      </c>
      <c r="AB29" t="n">
        <v>7</v>
      </c>
      <c r="AC29" t="n">
        <v>7</v>
      </c>
      <c r="AD29" t="n">
        <v>28</v>
      </c>
      <c r="AE29" t="n">
        <v>28</v>
      </c>
      <c r="AF29" t="n">
        <v>8</v>
      </c>
      <c r="AG29" t="n">
        <v>8</v>
      </c>
      <c r="AH29" t="n">
        <v>6</v>
      </c>
      <c r="AI29" t="n">
        <v>6</v>
      </c>
      <c r="AJ29" t="n">
        <v>16</v>
      </c>
      <c r="AK29" t="n">
        <v>16</v>
      </c>
      <c r="AL29" t="n">
        <v>5</v>
      </c>
      <c r="AM29" t="n">
        <v>5</v>
      </c>
      <c r="AN29" t="n">
        <v>0</v>
      </c>
      <c r="AO29" t="n">
        <v>0</v>
      </c>
      <c r="AP29" t="inlineStr">
        <is>
          <t>No</t>
        </is>
      </c>
      <c r="AQ29" t="inlineStr">
        <is>
          <t>Yes</t>
        </is>
      </c>
      <c r="AR29">
        <f>HYPERLINK("http://catalog.hathitrust.org/Record/003957386","HathiTrust Record")</f>
        <v/>
      </c>
      <c r="AS29">
        <f>HYPERLINK("https://creighton-primo.hosted.exlibrisgroup.com/primo-explore/search?tab=default_tab&amp;search_scope=EVERYTHING&amp;vid=01CRU&amp;lang=en_US&amp;offset=0&amp;query=any,contains,991002832659702656","Catalog Record")</f>
        <v/>
      </c>
      <c r="AT29">
        <f>HYPERLINK("http://www.worldcat.org/oclc/37310622","WorldCat Record")</f>
        <v/>
      </c>
      <c r="AU29" t="inlineStr">
        <is>
          <t>588597:eng</t>
        </is>
      </c>
      <c r="AV29" t="inlineStr">
        <is>
          <t>37310622</t>
        </is>
      </c>
      <c r="AW29" t="inlineStr">
        <is>
          <t>991002832659702656</t>
        </is>
      </c>
      <c r="AX29" t="inlineStr">
        <is>
          <t>991002832659702656</t>
        </is>
      </c>
      <c r="AY29" t="inlineStr">
        <is>
          <t>2269668520002656</t>
        </is>
      </c>
      <c r="AZ29" t="inlineStr">
        <is>
          <t>BOOK</t>
        </is>
      </c>
      <c r="BB29" t="inlineStr">
        <is>
          <t>9780761509417</t>
        </is>
      </c>
      <c r="BC29" t="inlineStr">
        <is>
          <t>32285003378865</t>
        </is>
      </c>
      <c r="BD29" t="inlineStr">
        <is>
          <t>893786609</t>
        </is>
      </c>
    </row>
    <row r="30">
      <c r="A30" t="inlineStr">
        <is>
          <t>No</t>
        </is>
      </c>
      <c r="B30" t="inlineStr">
        <is>
          <t>BT102 .H347 1983</t>
        </is>
      </c>
      <c r="C30" t="inlineStr">
        <is>
          <t>0                      BT 0102000H  347         1983</t>
        </is>
      </c>
      <c r="D30" t="inlineStr">
        <is>
          <t>The politics at God's funeral : the spiritual crisis of western civilization / Michael Harrington.</t>
        </is>
      </c>
      <c r="F30" t="inlineStr">
        <is>
          <t>No</t>
        </is>
      </c>
      <c r="G30" t="inlineStr">
        <is>
          <t>1</t>
        </is>
      </c>
      <c r="H30" t="inlineStr">
        <is>
          <t>No</t>
        </is>
      </c>
      <c r="I30" t="inlineStr">
        <is>
          <t>No</t>
        </is>
      </c>
      <c r="J30" t="inlineStr">
        <is>
          <t>0</t>
        </is>
      </c>
      <c r="K30" t="inlineStr">
        <is>
          <t>Harrington, Michael.</t>
        </is>
      </c>
      <c r="L30" t="inlineStr">
        <is>
          <t>New York : Holt, Rinehart and Winston, c1983.</t>
        </is>
      </c>
      <c r="M30" t="inlineStr">
        <is>
          <t>1983</t>
        </is>
      </c>
      <c r="N30" t="inlineStr">
        <is>
          <t>1st ed.</t>
        </is>
      </c>
      <c r="O30" t="inlineStr">
        <is>
          <t>eng</t>
        </is>
      </c>
      <c r="P30" t="inlineStr">
        <is>
          <t>nyu</t>
        </is>
      </c>
      <c r="R30" t="inlineStr">
        <is>
          <t xml:space="preserve">BT </t>
        </is>
      </c>
      <c r="S30" t="n">
        <v>3</v>
      </c>
      <c r="T30" t="n">
        <v>3</v>
      </c>
      <c r="U30" t="inlineStr">
        <is>
          <t>2008-10-15</t>
        </is>
      </c>
      <c r="V30" t="inlineStr">
        <is>
          <t>2008-10-15</t>
        </is>
      </c>
      <c r="W30" t="inlineStr">
        <is>
          <t>1991-07-26</t>
        </is>
      </c>
      <c r="X30" t="inlineStr">
        <is>
          <t>1991-07-26</t>
        </is>
      </c>
      <c r="Y30" t="n">
        <v>824</v>
      </c>
      <c r="Z30" t="n">
        <v>751</v>
      </c>
      <c r="AA30" t="n">
        <v>876</v>
      </c>
      <c r="AB30" t="n">
        <v>9</v>
      </c>
      <c r="AC30" t="n">
        <v>9</v>
      </c>
      <c r="AD30" t="n">
        <v>35</v>
      </c>
      <c r="AE30" t="n">
        <v>40</v>
      </c>
      <c r="AF30" t="n">
        <v>12</v>
      </c>
      <c r="AG30" t="n">
        <v>14</v>
      </c>
      <c r="AH30" t="n">
        <v>8</v>
      </c>
      <c r="AI30" t="n">
        <v>8</v>
      </c>
      <c r="AJ30" t="n">
        <v>18</v>
      </c>
      <c r="AK30" t="n">
        <v>21</v>
      </c>
      <c r="AL30" t="n">
        <v>5</v>
      </c>
      <c r="AM30" t="n">
        <v>5</v>
      </c>
      <c r="AN30" t="n">
        <v>2</v>
      </c>
      <c r="AO30" t="n">
        <v>2</v>
      </c>
      <c r="AP30" t="inlineStr">
        <is>
          <t>No</t>
        </is>
      </c>
      <c r="AQ30" t="inlineStr">
        <is>
          <t>Yes</t>
        </is>
      </c>
      <c r="AR30">
        <f>HYPERLINK("http://catalog.hathitrust.org/Record/000777372","HathiTrust Record")</f>
        <v/>
      </c>
      <c r="AS30">
        <f>HYPERLINK("https://creighton-primo.hosted.exlibrisgroup.com/primo-explore/search?tab=default_tab&amp;search_scope=EVERYTHING&amp;vid=01CRU&amp;lang=en_US&amp;offset=0&amp;query=any,contains,991000146369702656","Catalog Record")</f>
        <v/>
      </c>
      <c r="AT30">
        <f>HYPERLINK("http://www.worldcat.org/oclc/9195573","WorldCat Record")</f>
        <v/>
      </c>
      <c r="AU30" t="inlineStr">
        <is>
          <t>322474714:eng</t>
        </is>
      </c>
      <c r="AV30" t="inlineStr">
        <is>
          <t>9195573</t>
        </is>
      </c>
      <c r="AW30" t="inlineStr">
        <is>
          <t>991000146369702656</t>
        </is>
      </c>
      <c r="AX30" t="inlineStr">
        <is>
          <t>991000146369702656</t>
        </is>
      </c>
      <c r="AY30" t="inlineStr">
        <is>
          <t>2266619300002656</t>
        </is>
      </c>
      <c r="AZ30" t="inlineStr">
        <is>
          <t>BOOK</t>
        </is>
      </c>
      <c r="BB30" t="inlineStr">
        <is>
          <t>9780030621529</t>
        </is>
      </c>
      <c r="BC30" t="inlineStr">
        <is>
          <t>32285000692060</t>
        </is>
      </c>
      <c r="BD30" t="inlineStr">
        <is>
          <t>893896657</t>
        </is>
      </c>
    </row>
    <row r="31">
      <c r="A31" t="inlineStr">
        <is>
          <t>No</t>
        </is>
      </c>
      <c r="B31" t="inlineStr">
        <is>
          <t>BT102 .H43 1986</t>
        </is>
      </c>
      <c r="C31" t="inlineStr">
        <is>
          <t>0                      BT 0102000H  43          1986</t>
        </is>
      </c>
      <c r="D31" t="inlineStr">
        <is>
          <t>The children's God / David Heller.</t>
        </is>
      </c>
      <c r="F31" t="inlineStr">
        <is>
          <t>No</t>
        </is>
      </c>
      <c r="G31" t="inlineStr">
        <is>
          <t>1</t>
        </is>
      </c>
      <c r="H31" t="inlineStr">
        <is>
          <t>No</t>
        </is>
      </c>
      <c r="I31" t="inlineStr">
        <is>
          <t>No</t>
        </is>
      </c>
      <c r="J31" t="inlineStr">
        <is>
          <t>0</t>
        </is>
      </c>
      <c r="K31" t="inlineStr">
        <is>
          <t>Heller, David.</t>
        </is>
      </c>
      <c r="L31" t="inlineStr">
        <is>
          <t>Chicago : University of Chicago Press, 1986.</t>
        </is>
      </c>
      <c r="M31" t="inlineStr">
        <is>
          <t>1986</t>
        </is>
      </c>
      <c r="O31" t="inlineStr">
        <is>
          <t>eng</t>
        </is>
      </c>
      <c r="P31" t="inlineStr">
        <is>
          <t>ilu</t>
        </is>
      </c>
      <c r="R31" t="inlineStr">
        <is>
          <t xml:space="preserve">BT </t>
        </is>
      </c>
      <c r="S31" t="n">
        <v>7</v>
      </c>
      <c r="T31" t="n">
        <v>7</v>
      </c>
      <c r="U31" t="inlineStr">
        <is>
          <t>1997-12-04</t>
        </is>
      </c>
      <c r="V31" t="inlineStr">
        <is>
          <t>1997-12-04</t>
        </is>
      </c>
      <c r="W31" t="inlineStr">
        <is>
          <t>1991-07-26</t>
        </is>
      </c>
      <c r="X31" t="inlineStr">
        <is>
          <t>1991-07-26</t>
        </is>
      </c>
      <c r="Y31" t="n">
        <v>700</v>
      </c>
      <c r="Z31" t="n">
        <v>585</v>
      </c>
      <c r="AA31" t="n">
        <v>594</v>
      </c>
      <c r="AB31" t="n">
        <v>5</v>
      </c>
      <c r="AC31" t="n">
        <v>5</v>
      </c>
      <c r="AD31" t="n">
        <v>26</v>
      </c>
      <c r="AE31" t="n">
        <v>27</v>
      </c>
      <c r="AF31" t="n">
        <v>8</v>
      </c>
      <c r="AG31" t="n">
        <v>9</v>
      </c>
      <c r="AH31" t="n">
        <v>4</v>
      </c>
      <c r="AI31" t="n">
        <v>4</v>
      </c>
      <c r="AJ31" t="n">
        <v>17</v>
      </c>
      <c r="AK31" t="n">
        <v>18</v>
      </c>
      <c r="AL31" t="n">
        <v>4</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HYPERLINK("https://creighton-primo.hosted.exlibrisgroup.com/primo-explore/search?tab=default_tab&amp;search_scope=EVERYTHING&amp;vid=01CRU&amp;lang=en_US&amp;offset=0&amp;query=any,contains,991000733789702656","Catalog Record")</f>
        <v/>
      </c>
      <c r="AT31">
        <f>HYPERLINK("http://www.worldcat.org/oclc/12751520","WorldCat Record")</f>
        <v/>
      </c>
      <c r="AU31" t="inlineStr">
        <is>
          <t>5347999:eng</t>
        </is>
      </c>
      <c r="AV31" t="inlineStr">
        <is>
          <t>12751520</t>
        </is>
      </c>
      <c r="AW31" t="inlineStr">
        <is>
          <t>991000733789702656</t>
        </is>
      </c>
      <c r="AX31" t="inlineStr">
        <is>
          <t>991000733789702656</t>
        </is>
      </c>
      <c r="AY31" t="inlineStr">
        <is>
          <t>2269030280002656</t>
        </is>
      </c>
      <c r="AZ31" t="inlineStr">
        <is>
          <t>BOOK</t>
        </is>
      </c>
      <c r="BB31" t="inlineStr">
        <is>
          <t>9780226326351</t>
        </is>
      </c>
      <c r="BC31" t="inlineStr">
        <is>
          <t>32285000692086</t>
        </is>
      </c>
      <c r="BD31" t="inlineStr">
        <is>
          <t>893333723</t>
        </is>
      </c>
    </row>
    <row r="32">
      <c r="A32" t="inlineStr">
        <is>
          <t>No</t>
        </is>
      </c>
      <c r="B32" t="inlineStr">
        <is>
          <t>BT102 .H53</t>
        </is>
      </c>
      <c r="C32" t="inlineStr">
        <is>
          <t>0                      BT 0102000H  53</t>
        </is>
      </c>
      <c r="D32" t="inlineStr">
        <is>
          <t>Knowing the unknown God / by William J. Hill.</t>
        </is>
      </c>
      <c r="F32" t="inlineStr">
        <is>
          <t>No</t>
        </is>
      </c>
      <c r="G32" t="inlineStr">
        <is>
          <t>1</t>
        </is>
      </c>
      <c r="H32" t="inlineStr">
        <is>
          <t>No</t>
        </is>
      </c>
      <c r="I32" t="inlineStr">
        <is>
          <t>No</t>
        </is>
      </c>
      <c r="J32" t="inlineStr">
        <is>
          <t>0</t>
        </is>
      </c>
      <c r="K32" t="inlineStr">
        <is>
          <t>Hill, William J., 1924-</t>
        </is>
      </c>
      <c r="L32" t="inlineStr">
        <is>
          <t>New York, Philosophical Library [1971]</t>
        </is>
      </c>
      <c r="M32" t="inlineStr">
        <is>
          <t>1971</t>
        </is>
      </c>
      <c r="O32" t="inlineStr">
        <is>
          <t>eng</t>
        </is>
      </c>
      <c r="P32" t="inlineStr">
        <is>
          <t>nyu</t>
        </is>
      </c>
      <c r="R32" t="inlineStr">
        <is>
          <t xml:space="preserve">BT </t>
        </is>
      </c>
      <c r="S32" t="n">
        <v>3</v>
      </c>
      <c r="T32" t="n">
        <v>3</v>
      </c>
      <c r="U32" t="inlineStr">
        <is>
          <t>1994-04-14</t>
        </is>
      </c>
      <c r="V32" t="inlineStr">
        <is>
          <t>1994-04-14</t>
        </is>
      </c>
      <c r="W32" t="inlineStr">
        <is>
          <t>1991-07-26</t>
        </is>
      </c>
      <c r="X32" t="inlineStr">
        <is>
          <t>1991-07-26</t>
        </is>
      </c>
      <c r="Y32" t="n">
        <v>218</v>
      </c>
      <c r="Z32" t="n">
        <v>179</v>
      </c>
      <c r="AA32" t="n">
        <v>184</v>
      </c>
      <c r="AB32" t="n">
        <v>1</v>
      </c>
      <c r="AC32" t="n">
        <v>1</v>
      </c>
      <c r="AD32" t="n">
        <v>28</v>
      </c>
      <c r="AE32" t="n">
        <v>28</v>
      </c>
      <c r="AF32" t="n">
        <v>9</v>
      </c>
      <c r="AG32" t="n">
        <v>9</v>
      </c>
      <c r="AH32" t="n">
        <v>8</v>
      </c>
      <c r="AI32" t="n">
        <v>8</v>
      </c>
      <c r="AJ32" t="n">
        <v>21</v>
      </c>
      <c r="AK32" t="n">
        <v>21</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HYPERLINK("https://creighton-primo.hosted.exlibrisgroup.com/primo-explore/search?tab=default_tab&amp;search_scope=EVERYTHING&amp;vid=01CRU&amp;lang=en_US&amp;offset=0&amp;query=any,contains,991001286809702656","Catalog Record")</f>
        <v/>
      </c>
      <c r="AT32">
        <f>HYPERLINK("http://www.worldcat.org/oclc/216591","WorldCat Record")</f>
        <v/>
      </c>
      <c r="AU32" t="inlineStr">
        <is>
          <t>1307749:eng</t>
        </is>
      </c>
      <c r="AV32" t="inlineStr">
        <is>
          <t>216591</t>
        </is>
      </c>
      <c r="AW32" t="inlineStr">
        <is>
          <t>991001286809702656</t>
        </is>
      </c>
      <c r="AX32" t="inlineStr">
        <is>
          <t>991001286809702656</t>
        </is>
      </c>
      <c r="AY32" t="inlineStr">
        <is>
          <t>2256787870002656</t>
        </is>
      </c>
      <c r="AZ32" t="inlineStr">
        <is>
          <t>BOOK</t>
        </is>
      </c>
      <c r="BB32" t="inlineStr">
        <is>
          <t>9780802220493</t>
        </is>
      </c>
      <c r="BC32" t="inlineStr">
        <is>
          <t>32285000692094</t>
        </is>
      </c>
      <c r="BD32" t="inlineStr">
        <is>
          <t>893231873</t>
        </is>
      </c>
    </row>
    <row r="33">
      <c r="A33" t="inlineStr">
        <is>
          <t>No</t>
        </is>
      </c>
      <c r="B33" t="inlineStr">
        <is>
          <t>BT102 .J35 1984</t>
        </is>
      </c>
      <c r="C33" t="inlineStr">
        <is>
          <t>0                      BT 0102000J  35          1984</t>
        </is>
      </c>
      <c r="D33" t="inlineStr">
        <is>
          <t>God's world, God's body / Grace Jantzen ; foreword by John Macquarrie.</t>
        </is>
      </c>
      <c r="F33" t="inlineStr">
        <is>
          <t>No</t>
        </is>
      </c>
      <c r="G33" t="inlineStr">
        <is>
          <t>1</t>
        </is>
      </c>
      <c r="H33" t="inlineStr">
        <is>
          <t>No</t>
        </is>
      </c>
      <c r="I33" t="inlineStr">
        <is>
          <t>No</t>
        </is>
      </c>
      <c r="J33" t="inlineStr">
        <is>
          <t>0</t>
        </is>
      </c>
      <c r="K33" t="inlineStr">
        <is>
          <t>Jantzen, Grace.</t>
        </is>
      </c>
      <c r="L33" t="inlineStr">
        <is>
          <t>Philadelphia : Westminster Press, c1984.</t>
        </is>
      </c>
      <c r="M33" t="inlineStr">
        <is>
          <t>1984</t>
        </is>
      </c>
      <c r="O33" t="inlineStr">
        <is>
          <t>eng</t>
        </is>
      </c>
      <c r="P33" t="inlineStr">
        <is>
          <t>pau</t>
        </is>
      </c>
      <c r="R33" t="inlineStr">
        <is>
          <t xml:space="preserve">BT </t>
        </is>
      </c>
      <c r="S33" t="n">
        <v>3</v>
      </c>
      <c r="T33" t="n">
        <v>3</v>
      </c>
      <c r="U33" t="inlineStr">
        <is>
          <t>1995-05-03</t>
        </is>
      </c>
      <c r="V33" t="inlineStr">
        <is>
          <t>1995-05-03</t>
        </is>
      </c>
      <c r="W33" t="inlineStr">
        <is>
          <t>1991-07-26</t>
        </is>
      </c>
      <c r="X33" t="inlineStr">
        <is>
          <t>1991-07-26</t>
        </is>
      </c>
      <c r="Y33" t="n">
        <v>257</v>
      </c>
      <c r="Z33" t="n">
        <v>217</v>
      </c>
      <c r="AA33" t="n">
        <v>243</v>
      </c>
      <c r="AB33" t="n">
        <v>3</v>
      </c>
      <c r="AC33" t="n">
        <v>3</v>
      </c>
      <c r="AD33" t="n">
        <v>19</v>
      </c>
      <c r="AE33" t="n">
        <v>19</v>
      </c>
      <c r="AF33" t="n">
        <v>5</v>
      </c>
      <c r="AG33" t="n">
        <v>5</v>
      </c>
      <c r="AH33" t="n">
        <v>5</v>
      </c>
      <c r="AI33" t="n">
        <v>5</v>
      </c>
      <c r="AJ33" t="n">
        <v>13</v>
      </c>
      <c r="AK33" t="n">
        <v>13</v>
      </c>
      <c r="AL33" t="n">
        <v>2</v>
      </c>
      <c r="AM33" t="n">
        <v>2</v>
      </c>
      <c r="AN33" t="n">
        <v>0</v>
      </c>
      <c r="AO33" t="n">
        <v>0</v>
      </c>
      <c r="AP33" t="inlineStr">
        <is>
          <t>No</t>
        </is>
      </c>
      <c r="AQ33" t="inlineStr">
        <is>
          <t>No</t>
        </is>
      </c>
      <c r="AS33">
        <f>HYPERLINK("https://creighton-primo.hosted.exlibrisgroup.com/primo-explore/search?tab=default_tab&amp;search_scope=EVERYTHING&amp;vid=01CRU&amp;lang=en_US&amp;offset=0&amp;query=any,contains,991000385879702656","Catalog Record")</f>
        <v/>
      </c>
      <c r="AT33">
        <f>HYPERLINK("http://www.worldcat.org/oclc/10507763","WorldCat Record")</f>
        <v/>
      </c>
      <c r="AU33" t="inlineStr">
        <is>
          <t>2970572:eng</t>
        </is>
      </c>
      <c r="AV33" t="inlineStr">
        <is>
          <t>10507763</t>
        </is>
      </c>
      <c r="AW33" t="inlineStr">
        <is>
          <t>991000385879702656</t>
        </is>
      </c>
      <c r="AX33" t="inlineStr">
        <is>
          <t>991000385879702656</t>
        </is>
      </c>
      <c r="AY33" t="inlineStr">
        <is>
          <t>2256885010002656</t>
        </is>
      </c>
      <c r="AZ33" t="inlineStr">
        <is>
          <t>BOOK</t>
        </is>
      </c>
      <c r="BB33" t="inlineStr">
        <is>
          <t>9780664246198</t>
        </is>
      </c>
      <c r="BC33" t="inlineStr">
        <is>
          <t>32285000692102</t>
        </is>
      </c>
      <c r="BD33" t="inlineStr">
        <is>
          <t>893508721</t>
        </is>
      </c>
    </row>
    <row r="34">
      <c r="A34" t="inlineStr">
        <is>
          <t>No</t>
        </is>
      </c>
      <c r="B34" t="inlineStr">
        <is>
          <t>BT102 .J8313 1983</t>
        </is>
      </c>
      <c r="C34" t="inlineStr">
        <is>
          <t>0                      BT 0102000J  8313        1983</t>
        </is>
      </c>
      <c r="D34" t="inlineStr">
        <is>
          <t>God as the mystery of the world : on the foundation of the theology of the crucified one in the dispute between theism and atheism / by Eberhard Jüngel ; translated by Darrell L. Guder.</t>
        </is>
      </c>
      <c r="F34" t="inlineStr">
        <is>
          <t>No</t>
        </is>
      </c>
      <c r="G34" t="inlineStr">
        <is>
          <t>1</t>
        </is>
      </c>
      <c r="H34" t="inlineStr">
        <is>
          <t>No</t>
        </is>
      </c>
      <c r="I34" t="inlineStr">
        <is>
          <t>No</t>
        </is>
      </c>
      <c r="J34" t="inlineStr">
        <is>
          <t>0</t>
        </is>
      </c>
      <c r="K34" t="inlineStr">
        <is>
          <t>Jüngel, Eberhard.</t>
        </is>
      </c>
      <c r="L34" t="inlineStr">
        <is>
          <t>Grand Rapids, Mich. : Eerdmans, c1983.</t>
        </is>
      </c>
      <c r="M34" t="inlineStr">
        <is>
          <t>1983</t>
        </is>
      </c>
      <c r="O34" t="inlineStr">
        <is>
          <t>eng</t>
        </is>
      </c>
      <c r="P34" t="inlineStr">
        <is>
          <t>miu</t>
        </is>
      </c>
      <c r="R34" t="inlineStr">
        <is>
          <t xml:space="preserve">BT </t>
        </is>
      </c>
      <c r="S34" t="n">
        <v>2</v>
      </c>
      <c r="T34" t="n">
        <v>2</v>
      </c>
      <c r="U34" t="inlineStr">
        <is>
          <t>1995-04-07</t>
        </is>
      </c>
      <c r="V34" t="inlineStr">
        <is>
          <t>1995-04-07</t>
        </is>
      </c>
      <c r="W34" t="inlineStr">
        <is>
          <t>1991-07-26</t>
        </is>
      </c>
      <c r="X34" t="inlineStr">
        <is>
          <t>1991-07-26</t>
        </is>
      </c>
      <c r="Y34" t="n">
        <v>372</v>
      </c>
      <c r="Z34" t="n">
        <v>309</v>
      </c>
      <c r="AA34" t="n">
        <v>310</v>
      </c>
      <c r="AB34" t="n">
        <v>1</v>
      </c>
      <c r="AC34" t="n">
        <v>1</v>
      </c>
      <c r="AD34" t="n">
        <v>23</v>
      </c>
      <c r="AE34" t="n">
        <v>23</v>
      </c>
      <c r="AF34" t="n">
        <v>7</v>
      </c>
      <c r="AG34" t="n">
        <v>7</v>
      </c>
      <c r="AH34" t="n">
        <v>5</v>
      </c>
      <c r="AI34" t="n">
        <v>5</v>
      </c>
      <c r="AJ34" t="n">
        <v>18</v>
      </c>
      <c r="AK34" t="n">
        <v>18</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HYPERLINK("https://creighton-primo.hosted.exlibrisgroup.com/primo-explore/search?tab=default_tab&amp;search_scope=EVERYTHING&amp;vid=01CRU&amp;lang=en_US&amp;offset=0&amp;query=any,contains,991000148029702656","Catalog Record")</f>
        <v/>
      </c>
      <c r="AT34">
        <f>HYPERLINK("http://www.worldcat.org/oclc/9196972","WorldCat Record")</f>
        <v/>
      </c>
      <c r="AU34" t="inlineStr">
        <is>
          <t>8907042586:eng</t>
        </is>
      </c>
      <c r="AV34" t="inlineStr">
        <is>
          <t>9196972</t>
        </is>
      </c>
      <c r="AW34" t="inlineStr">
        <is>
          <t>991000148029702656</t>
        </is>
      </c>
      <c r="AX34" t="inlineStr">
        <is>
          <t>991000148029702656</t>
        </is>
      </c>
      <c r="AY34" t="inlineStr">
        <is>
          <t>2268393470002656</t>
        </is>
      </c>
      <c r="AZ34" t="inlineStr">
        <is>
          <t>BOOK</t>
        </is>
      </c>
      <c r="BB34" t="inlineStr">
        <is>
          <t>9780802835864</t>
        </is>
      </c>
      <c r="BC34" t="inlineStr">
        <is>
          <t>32285000692128</t>
        </is>
      </c>
      <c r="BD34" t="inlineStr">
        <is>
          <t>893413128</t>
        </is>
      </c>
    </row>
    <row r="35">
      <c r="A35" t="inlineStr">
        <is>
          <t>No</t>
        </is>
      </c>
      <c r="B35" t="inlineStr">
        <is>
          <t>BT102 .K33813 1984</t>
        </is>
      </c>
      <c r="C35" t="inlineStr">
        <is>
          <t>0                      BT 0102000K  33813       1984</t>
        </is>
      </c>
      <c r="D35" t="inlineStr">
        <is>
          <t>The God of Jesus Christ / Walter Kasper ; translated by Matthew J. O'Connell.</t>
        </is>
      </c>
      <c r="F35" t="inlineStr">
        <is>
          <t>No</t>
        </is>
      </c>
      <c r="G35" t="inlineStr">
        <is>
          <t>1</t>
        </is>
      </c>
      <c r="H35" t="inlineStr">
        <is>
          <t>No</t>
        </is>
      </c>
      <c r="I35" t="inlineStr">
        <is>
          <t>No</t>
        </is>
      </c>
      <c r="J35" t="inlineStr">
        <is>
          <t>0</t>
        </is>
      </c>
      <c r="K35" t="inlineStr">
        <is>
          <t>Kasper, Walter, 1933-</t>
        </is>
      </c>
      <c r="L35" t="inlineStr">
        <is>
          <t>New York : Crossroad, 1984.</t>
        </is>
      </c>
      <c r="M35" t="inlineStr">
        <is>
          <t>1984</t>
        </is>
      </c>
      <c r="O35" t="inlineStr">
        <is>
          <t>eng</t>
        </is>
      </c>
      <c r="P35" t="inlineStr">
        <is>
          <t>nyu</t>
        </is>
      </c>
      <c r="R35" t="inlineStr">
        <is>
          <t xml:space="preserve">BT </t>
        </is>
      </c>
      <c r="S35" t="n">
        <v>9</v>
      </c>
      <c r="T35" t="n">
        <v>9</v>
      </c>
      <c r="U35" t="inlineStr">
        <is>
          <t>2007-09-06</t>
        </is>
      </c>
      <c r="V35" t="inlineStr">
        <is>
          <t>2007-09-06</t>
        </is>
      </c>
      <c r="W35" t="inlineStr">
        <is>
          <t>1992-06-09</t>
        </is>
      </c>
      <c r="X35" t="inlineStr">
        <is>
          <t>1992-06-09</t>
        </is>
      </c>
      <c r="Y35" t="n">
        <v>364</v>
      </c>
      <c r="Z35" t="n">
        <v>319</v>
      </c>
      <c r="AA35" t="n">
        <v>804</v>
      </c>
      <c r="AB35" t="n">
        <v>4</v>
      </c>
      <c r="AC35" t="n">
        <v>9</v>
      </c>
      <c r="AD35" t="n">
        <v>27</v>
      </c>
      <c r="AE35" t="n">
        <v>53</v>
      </c>
      <c r="AF35" t="n">
        <v>10</v>
      </c>
      <c r="AG35" t="n">
        <v>23</v>
      </c>
      <c r="AH35" t="n">
        <v>6</v>
      </c>
      <c r="AI35" t="n">
        <v>10</v>
      </c>
      <c r="AJ35" t="n">
        <v>16</v>
      </c>
      <c r="AK35" t="n">
        <v>26</v>
      </c>
      <c r="AL35" t="n">
        <v>2</v>
      </c>
      <c r="AM35" t="n">
        <v>7</v>
      </c>
      <c r="AN35" t="n">
        <v>0</v>
      </c>
      <c r="AO35" t="n">
        <v>1</v>
      </c>
      <c r="AP35" t="inlineStr">
        <is>
          <t>No</t>
        </is>
      </c>
      <c r="AQ35" t="inlineStr">
        <is>
          <t>No</t>
        </is>
      </c>
      <c r="AS35">
        <f>HYPERLINK("https://creighton-primo.hosted.exlibrisgroup.com/primo-explore/search?tab=default_tab&amp;search_scope=EVERYTHING&amp;vid=01CRU&amp;lang=en_US&amp;offset=0&amp;query=any,contains,991000477179702656","Catalog Record")</f>
        <v/>
      </c>
      <c r="AT35">
        <f>HYPERLINK("http://www.worldcat.org/oclc/11030790","WorldCat Record")</f>
        <v/>
      </c>
      <c r="AU35" t="inlineStr">
        <is>
          <t>3900935:eng</t>
        </is>
      </c>
      <c r="AV35" t="inlineStr">
        <is>
          <t>11030790</t>
        </is>
      </c>
      <c r="AW35" t="inlineStr">
        <is>
          <t>991000477179702656</t>
        </is>
      </c>
      <c r="AX35" t="inlineStr">
        <is>
          <t>991000477179702656</t>
        </is>
      </c>
      <c r="AY35" t="inlineStr">
        <is>
          <t>2261435450002656</t>
        </is>
      </c>
      <c r="AZ35" t="inlineStr">
        <is>
          <t>BOOK</t>
        </is>
      </c>
      <c r="BB35" t="inlineStr">
        <is>
          <t>9780824506292</t>
        </is>
      </c>
      <c r="BC35" t="inlineStr">
        <is>
          <t>32285001074276</t>
        </is>
      </c>
      <c r="BD35" t="inlineStr">
        <is>
          <t>893865380</t>
        </is>
      </c>
    </row>
    <row r="36">
      <c r="A36" t="inlineStr">
        <is>
          <t>No</t>
        </is>
      </c>
      <c r="B36" t="inlineStr">
        <is>
          <t>BT102 .K47 1982</t>
        </is>
      </c>
      <c r="C36" t="inlineStr">
        <is>
          <t>0                      BT 0102000K  47          1982</t>
        </is>
      </c>
      <c r="D36" t="inlineStr">
        <is>
          <t>Experiencing God all ways and every day / J. Norman King.</t>
        </is>
      </c>
      <c r="F36" t="inlineStr">
        <is>
          <t>No</t>
        </is>
      </c>
      <c r="G36" t="inlineStr">
        <is>
          <t>1</t>
        </is>
      </c>
      <c r="H36" t="inlineStr">
        <is>
          <t>No</t>
        </is>
      </c>
      <c r="I36" t="inlineStr">
        <is>
          <t>No</t>
        </is>
      </c>
      <c r="J36" t="inlineStr">
        <is>
          <t>0</t>
        </is>
      </c>
      <c r="K36" t="inlineStr">
        <is>
          <t>King, J. Norman.</t>
        </is>
      </c>
      <c r="L36" t="inlineStr">
        <is>
          <t>Minneapolis, MN : Winston Press, c1982.</t>
        </is>
      </c>
      <c r="M36" t="inlineStr">
        <is>
          <t>1982</t>
        </is>
      </c>
      <c r="O36" t="inlineStr">
        <is>
          <t>eng</t>
        </is>
      </c>
      <c r="P36" t="inlineStr">
        <is>
          <t>mnu</t>
        </is>
      </c>
      <c r="R36" t="inlineStr">
        <is>
          <t xml:space="preserve">BT </t>
        </is>
      </c>
      <c r="S36" t="n">
        <v>8</v>
      </c>
      <c r="T36" t="n">
        <v>8</v>
      </c>
      <c r="U36" t="inlineStr">
        <is>
          <t>2002-05-31</t>
        </is>
      </c>
      <c r="V36" t="inlineStr">
        <is>
          <t>2002-05-31</t>
        </is>
      </c>
      <c r="W36" t="inlineStr">
        <is>
          <t>1991-07-26</t>
        </is>
      </c>
      <c r="X36" t="inlineStr">
        <is>
          <t>1991-07-26</t>
        </is>
      </c>
      <c r="Y36" t="n">
        <v>80</v>
      </c>
      <c r="Z36" t="n">
        <v>67</v>
      </c>
      <c r="AA36" t="n">
        <v>67</v>
      </c>
      <c r="AB36" t="n">
        <v>1</v>
      </c>
      <c r="AC36" t="n">
        <v>1</v>
      </c>
      <c r="AD36" t="n">
        <v>10</v>
      </c>
      <c r="AE36" t="n">
        <v>10</v>
      </c>
      <c r="AF36" t="n">
        <v>3</v>
      </c>
      <c r="AG36" t="n">
        <v>3</v>
      </c>
      <c r="AH36" t="n">
        <v>0</v>
      </c>
      <c r="AI36" t="n">
        <v>0</v>
      </c>
      <c r="AJ36" t="n">
        <v>10</v>
      </c>
      <c r="AK36" t="n">
        <v>10</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HYPERLINK("https://creighton-primo.hosted.exlibrisgroup.com/primo-explore/search?tab=default_tab&amp;search_scope=EVERYTHING&amp;vid=01CRU&amp;lang=en_US&amp;offset=0&amp;query=any,contains,991000014449702656","Catalog Record")</f>
        <v/>
      </c>
      <c r="AT36">
        <f>HYPERLINK("http://www.worldcat.org/oclc/8552074","WorldCat Record")</f>
        <v/>
      </c>
      <c r="AU36" t="inlineStr">
        <is>
          <t>513248:eng</t>
        </is>
      </c>
      <c r="AV36" t="inlineStr">
        <is>
          <t>8552074</t>
        </is>
      </c>
      <c r="AW36" t="inlineStr">
        <is>
          <t>991000014449702656</t>
        </is>
      </c>
      <c r="AX36" t="inlineStr">
        <is>
          <t>991000014449702656</t>
        </is>
      </c>
      <c r="AY36" t="inlineStr">
        <is>
          <t>2259649540002656</t>
        </is>
      </c>
      <c r="AZ36" t="inlineStr">
        <is>
          <t>BOOK</t>
        </is>
      </c>
      <c r="BB36" t="inlineStr">
        <is>
          <t>9780866836326</t>
        </is>
      </c>
      <c r="BC36" t="inlineStr">
        <is>
          <t>32285000692151</t>
        </is>
      </c>
      <c r="BD36" t="inlineStr">
        <is>
          <t>893689325</t>
        </is>
      </c>
    </row>
    <row r="37">
      <c r="A37" t="inlineStr">
        <is>
          <t>No</t>
        </is>
      </c>
      <c r="B37" t="inlineStr">
        <is>
          <t>BT102 .K48</t>
        </is>
      </c>
      <c r="C37" t="inlineStr">
        <is>
          <t>0                      BT 0102000K  48</t>
        </is>
      </c>
      <c r="D37" t="inlineStr">
        <is>
          <t>The meaning of God / [by] Robert H. King.</t>
        </is>
      </c>
      <c r="F37" t="inlineStr">
        <is>
          <t>No</t>
        </is>
      </c>
      <c r="G37" t="inlineStr">
        <is>
          <t>1</t>
        </is>
      </c>
      <c r="H37" t="inlineStr">
        <is>
          <t>No</t>
        </is>
      </c>
      <c r="I37" t="inlineStr">
        <is>
          <t>No</t>
        </is>
      </c>
      <c r="J37" t="inlineStr">
        <is>
          <t>0</t>
        </is>
      </c>
      <c r="K37" t="inlineStr">
        <is>
          <t>King, Robert Harlen, 1935-</t>
        </is>
      </c>
      <c r="L37" t="inlineStr">
        <is>
          <t>Philadelphia, Fortress Press [1973]</t>
        </is>
      </c>
      <c r="M37" t="inlineStr">
        <is>
          <t>1973</t>
        </is>
      </c>
      <c r="O37" t="inlineStr">
        <is>
          <t>eng</t>
        </is>
      </c>
      <c r="P37" t="inlineStr">
        <is>
          <t>pau</t>
        </is>
      </c>
      <c r="R37" t="inlineStr">
        <is>
          <t xml:space="preserve">BT </t>
        </is>
      </c>
      <c r="S37" t="n">
        <v>5</v>
      </c>
      <c r="T37" t="n">
        <v>5</v>
      </c>
      <c r="U37" t="inlineStr">
        <is>
          <t>1999-12-02</t>
        </is>
      </c>
      <c r="V37" t="inlineStr">
        <is>
          <t>1999-12-02</t>
        </is>
      </c>
      <c r="W37" t="inlineStr">
        <is>
          <t>1991-07-26</t>
        </is>
      </c>
      <c r="X37" t="inlineStr">
        <is>
          <t>1991-07-26</t>
        </is>
      </c>
      <c r="Y37" t="n">
        <v>342</v>
      </c>
      <c r="Z37" t="n">
        <v>284</v>
      </c>
      <c r="AA37" t="n">
        <v>304</v>
      </c>
      <c r="AB37" t="n">
        <v>4</v>
      </c>
      <c r="AC37" t="n">
        <v>4</v>
      </c>
      <c r="AD37" t="n">
        <v>18</v>
      </c>
      <c r="AE37" t="n">
        <v>19</v>
      </c>
      <c r="AF37" t="n">
        <v>5</v>
      </c>
      <c r="AG37" t="n">
        <v>5</v>
      </c>
      <c r="AH37" t="n">
        <v>4</v>
      </c>
      <c r="AI37" t="n">
        <v>5</v>
      </c>
      <c r="AJ37" t="n">
        <v>9</v>
      </c>
      <c r="AK37" t="n">
        <v>10</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HYPERLINK("https://creighton-primo.hosted.exlibrisgroup.com/primo-explore/search?tab=default_tab&amp;search_scope=EVERYTHING&amp;vid=01CRU&amp;lang=en_US&amp;offset=0&amp;query=any,contains,991003215439702656","Catalog Record")</f>
        <v/>
      </c>
      <c r="AT37">
        <f>HYPERLINK("http://www.worldcat.org/oclc/741181","WorldCat Record")</f>
        <v/>
      </c>
      <c r="AU37" t="inlineStr">
        <is>
          <t>1804778:eng</t>
        </is>
      </c>
      <c r="AV37" t="inlineStr">
        <is>
          <t>741181</t>
        </is>
      </c>
      <c r="AW37" t="inlineStr">
        <is>
          <t>991003215439702656</t>
        </is>
      </c>
      <c r="AX37" t="inlineStr">
        <is>
          <t>991003215439702656</t>
        </is>
      </c>
      <c r="AY37" t="inlineStr">
        <is>
          <t>2270963870002656</t>
        </is>
      </c>
      <c r="AZ37" t="inlineStr">
        <is>
          <t>BOOK</t>
        </is>
      </c>
      <c r="BB37" t="inlineStr">
        <is>
          <t>9780800602574</t>
        </is>
      </c>
      <c r="BC37" t="inlineStr">
        <is>
          <t>32285000692169</t>
        </is>
      </c>
      <c r="BD37" t="inlineStr">
        <is>
          <t>893227804</t>
        </is>
      </c>
    </row>
    <row r="38">
      <c r="A38" t="inlineStr">
        <is>
          <t>No</t>
        </is>
      </c>
      <c r="B38" t="inlineStr">
        <is>
          <t>BT102 .K537</t>
        </is>
      </c>
      <c r="C38" t="inlineStr">
        <is>
          <t>0                      BT 0102000K  537</t>
        </is>
      </c>
      <c r="D38" t="inlineStr">
        <is>
          <t>The God within / Harry R. Klocker.</t>
        </is>
      </c>
      <c r="F38" t="inlineStr">
        <is>
          <t>No</t>
        </is>
      </c>
      <c r="G38" t="inlineStr">
        <is>
          <t>1</t>
        </is>
      </c>
      <c r="H38" t="inlineStr">
        <is>
          <t>No</t>
        </is>
      </c>
      <c r="I38" t="inlineStr">
        <is>
          <t>No</t>
        </is>
      </c>
      <c r="J38" t="inlineStr">
        <is>
          <t>0</t>
        </is>
      </c>
      <c r="K38" t="inlineStr">
        <is>
          <t>Klocker, Harry R.</t>
        </is>
      </c>
      <c r="L38" t="inlineStr">
        <is>
          <t>Washington, D.C. : University Press of America, c1982.</t>
        </is>
      </c>
      <c r="M38" t="inlineStr">
        <is>
          <t>1982</t>
        </is>
      </c>
      <c r="O38" t="inlineStr">
        <is>
          <t>eng</t>
        </is>
      </c>
      <c r="P38" t="inlineStr">
        <is>
          <t>dcu</t>
        </is>
      </c>
      <c r="R38" t="inlineStr">
        <is>
          <t xml:space="preserve">BT </t>
        </is>
      </c>
      <c r="S38" t="n">
        <v>1</v>
      </c>
      <c r="T38" t="n">
        <v>1</v>
      </c>
      <c r="U38" t="inlineStr">
        <is>
          <t>2004-04-14</t>
        </is>
      </c>
      <c r="V38" t="inlineStr">
        <is>
          <t>2004-04-14</t>
        </is>
      </c>
      <c r="W38" t="inlineStr">
        <is>
          <t>1991-07-26</t>
        </is>
      </c>
      <c r="X38" t="inlineStr">
        <is>
          <t>1991-07-26</t>
        </is>
      </c>
      <c r="Y38" t="n">
        <v>171</v>
      </c>
      <c r="Z38" t="n">
        <v>157</v>
      </c>
      <c r="AA38" t="n">
        <v>159</v>
      </c>
      <c r="AB38" t="n">
        <v>4</v>
      </c>
      <c r="AC38" t="n">
        <v>4</v>
      </c>
      <c r="AD38" t="n">
        <v>19</v>
      </c>
      <c r="AE38" t="n">
        <v>19</v>
      </c>
      <c r="AF38" t="n">
        <v>7</v>
      </c>
      <c r="AG38" t="n">
        <v>7</v>
      </c>
      <c r="AH38" t="n">
        <v>4</v>
      </c>
      <c r="AI38" t="n">
        <v>4</v>
      </c>
      <c r="AJ38" t="n">
        <v>13</v>
      </c>
      <c r="AK38" t="n">
        <v>13</v>
      </c>
      <c r="AL38" t="n">
        <v>2</v>
      </c>
      <c r="AM38" t="n">
        <v>2</v>
      </c>
      <c r="AN38" t="n">
        <v>0</v>
      </c>
      <c r="AO38" t="n">
        <v>0</v>
      </c>
      <c r="AP38" t="inlineStr">
        <is>
          <t>No</t>
        </is>
      </c>
      <c r="AQ38" t="inlineStr">
        <is>
          <t>Yes</t>
        </is>
      </c>
      <c r="AR38">
        <f>HYPERLINK("http://catalog.hathitrust.org/Record/011230683","HathiTrust Record")</f>
        <v/>
      </c>
      <c r="AS38">
        <f>HYPERLINK("https://creighton-primo.hosted.exlibrisgroup.com/primo-explore/search?tab=default_tab&amp;search_scope=EVERYTHING&amp;vid=01CRU&amp;lang=en_US&amp;offset=0&amp;query=any,contains,991005177799702656","Catalog Record")</f>
        <v/>
      </c>
      <c r="AT38">
        <f>HYPERLINK("http://www.worldcat.org/oclc/7925134","WorldCat Record")</f>
        <v/>
      </c>
      <c r="AU38" t="inlineStr">
        <is>
          <t>4054664299:eng</t>
        </is>
      </c>
      <c r="AV38" t="inlineStr">
        <is>
          <t>7925134</t>
        </is>
      </c>
      <c r="AW38" t="inlineStr">
        <is>
          <t>991005177799702656</t>
        </is>
      </c>
      <c r="AX38" t="inlineStr">
        <is>
          <t>991005177799702656</t>
        </is>
      </c>
      <c r="AY38" t="inlineStr">
        <is>
          <t>2268907610002656</t>
        </is>
      </c>
      <c r="AZ38" t="inlineStr">
        <is>
          <t>BOOK</t>
        </is>
      </c>
      <c r="BB38" t="inlineStr">
        <is>
          <t>9780819120311</t>
        </is>
      </c>
      <c r="BC38" t="inlineStr">
        <is>
          <t>32285000692185</t>
        </is>
      </c>
      <c r="BD38" t="inlineStr">
        <is>
          <t>893320180</t>
        </is>
      </c>
    </row>
    <row r="39">
      <c r="A39" t="inlineStr">
        <is>
          <t>No</t>
        </is>
      </c>
      <c r="B39" t="inlineStr">
        <is>
          <t>BT102 .K8213 1980</t>
        </is>
      </c>
      <c r="C39" t="inlineStr">
        <is>
          <t>0                      BT 0102000K  8213        1980</t>
        </is>
      </c>
      <c r="D39" t="inlineStr">
        <is>
          <t>Does God exist? : An answer for today / Hans Küng ; translated by Edward Quinn.</t>
        </is>
      </c>
      <c r="F39" t="inlineStr">
        <is>
          <t>No</t>
        </is>
      </c>
      <c r="G39" t="inlineStr">
        <is>
          <t>1</t>
        </is>
      </c>
      <c r="H39" t="inlineStr">
        <is>
          <t>No</t>
        </is>
      </c>
      <c r="I39" t="inlineStr">
        <is>
          <t>No</t>
        </is>
      </c>
      <c r="J39" t="inlineStr">
        <is>
          <t>0</t>
        </is>
      </c>
      <c r="K39" t="inlineStr">
        <is>
          <t>Küng, Hans, 1928-</t>
        </is>
      </c>
      <c r="L39" t="inlineStr">
        <is>
          <t>Garden City, N.Y. : Doubleday, 1980.</t>
        </is>
      </c>
      <c r="M39" t="inlineStr">
        <is>
          <t>1980</t>
        </is>
      </c>
      <c r="O39" t="inlineStr">
        <is>
          <t>eng</t>
        </is>
      </c>
      <c r="P39" t="inlineStr">
        <is>
          <t>nyu</t>
        </is>
      </c>
      <c r="R39" t="inlineStr">
        <is>
          <t xml:space="preserve">BT </t>
        </is>
      </c>
      <c r="S39" t="n">
        <v>5</v>
      </c>
      <c r="T39" t="n">
        <v>5</v>
      </c>
      <c r="U39" t="inlineStr">
        <is>
          <t>2001-01-11</t>
        </is>
      </c>
      <c r="V39" t="inlineStr">
        <is>
          <t>2001-01-11</t>
        </is>
      </c>
      <c r="W39" t="inlineStr">
        <is>
          <t>1991-07-26</t>
        </is>
      </c>
      <c r="X39" t="inlineStr">
        <is>
          <t>1991-07-26</t>
        </is>
      </c>
      <c r="Y39" t="n">
        <v>1667</v>
      </c>
      <c r="Z39" t="n">
        <v>1523</v>
      </c>
      <c r="AA39" t="n">
        <v>1738</v>
      </c>
      <c r="AB39" t="n">
        <v>13</v>
      </c>
      <c r="AC39" t="n">
        <v>17</v>
      </c>
      <c r="AD39" t="n">
        <v>57</v>
      </c>
      <c r="AE39" t="n">
        <v>60</v>
      </c>
      <c r="AF39" t="n">
        <v>23</v>
      </c>
      <c r="AG39" t="n">
        <v>24</v>
      </c>
      <c r="AH39" t="n">
        <v>9</v>
      </c>
      <c r="AI39" t="n">
        <v>9</v>
      </c>
      <c r="AJ39" t="n">
        <v>26</v>
      </c>
      <c r="AK39" t="n">
        <v>27</v>
      </c>
      <c r="AL39" t="n">
        <v>10</v>
      </c>
      <c r="AM39" t="n">
        <v>12</v>
      </c>
      <c r="AN39" t="n">
        <v>0</v>
      </c>
      <c r="AO39" t="n">
        <v>0</v>
      </c>
      <c r="AP39" t="inlineStr">
        <is>
          <t>No</t>
        </is>
      </c>
      <c r="AQ39" t="inlineStr">
        <is>
          <t>Yes</t>
        </is>
      </c>
      <c r="AR39">
        <f>HYPERLINK("http://catalog.hathitrust.org/Record/000086459","HathiTrust Record")</f>
        <v/>
      </c>
      <c r="AS39">
        <f>HYPERLINK("https://creighton-primo.hosted.exlibrisgroup.com/primo-explore/search?tab=default_tab&amp;search_scope=EVERYTHING&amp;vid=01CRU&amp;lang=en_US&amp;offset=0&amp;query=any,contains,991004948639702656","Catalog Record")</f>
        <v/>
      </c>
      <c r="AT39">
        <f>HYPERLINK("http://www.worldcat.org/oclc/6223456","WorldCat Record")</f>
        <v/>
      </c>
      <c r="AU39" t="inlineStr">
        <is>
          <t>2908513194:eng</t>
        </is>
      </c>
      <c r="AV39" t="inlineStr">
        <is>
          <t>6223456</t>
        </is>
      </c>
      <c r="AW39" t="inlineStr">
        <is>
          <t>991004948639702656</t>
        </is>
      </c>
      <c r="AX39" t="inlineStr">
        <is>
          <t>991004948639702656</t>
        </is>
      </c>
      <c r="AY39" t="inlineStr">
        <is>
          <t>2268577070002656</t>
        </is>
      </c>
      <c r="AZ39" t="inlineStr">
        <is>
          <t>BOOK</t>
        </is>
      </c>
      <c r="BB39" t="inlineStr">
        <is>
          <t>9780385135924</t>
        </is>
      </c>
      <c r="BC39" t="inlineStr">
        <is>
          <t>32285000692193</t>
        </is>
      </c>
      <c r="BD39" t="inlineStr">
        <is>
          <t>893443224</t>
        </is>
      </c>
    </row>
    <row r="40">
      <c r="A40" t="inlineStr">
        <is>
          <t>No</t>
        </is>
      </c>
      <c r="B40" t="inlineStr">
        <is>
          <t>BT102 .L437 1985</t>
        </is>
      </c>
      <c r="C40" t="inlineStr">
        <is>
          <t>0                      BT 0102000L  437         1985</t>
        </is>
      </c>
      <c r="D40" t="inlineStr">
        <is>
          <t>Experiencing God : theology as spirituality / Kenneth Leech.</t>
        </is>
      </c>
      <c r="F40" t="inlineStr">
        <is>
          <t>No</t>
        </is>
      </c>
      <c r="G40" t="inlineStr">
        <is>
          <t>1</t>
        </is>
      </c>
      <c r="H40" t="inlineStr">
        <is>
          <t>No</t>
        </is>
      </c>
      <c r="I40" t="inlineStr">
        <is>
          <t>No</t>
        </is>
      </c>
      <c r="J40" t="inlineStr">
        <is>
          <t>0</t>
        </is>
      </c>
      <c r="K40" t="inlineStr">
        <is>
          <t>Leech, Kenneth, 1939-2015.</t>
        </is>
      </c>
      <c r="L40" t="inlineStr">
        <is>
          <t>San Francisco : Harper &amp; Row, c1985.</t>
        </is>
      </c>
      <c r="M40" t="inlineStr">
        <is>
          <t>1985</t>
        </is>
      </c>
      <c r="N40" t="inlineStr">
        <is>
          <t>1st U.S. ed.</t>
        </is>
      </c>
      <c r="O40" t="inlineStr">
        <is>
          <t>eng</t>
        </is>
      </c>
      <c r="P40" t="inlineStr">
        <is>
          <t>cau</t>
        </is>
      </c>
      <c r="R40" t="inlineStr">
        <is>
          <t xml:space="preserve">BT </t>
        </is>
      </c>
      <c r="S40" t="n">
        <v>5</v>
      </c>
      <c r="T40" t="n">
        <v>5</v>
      </c>
      <c r="U40" t="inlineStr">
        <is>
          <t>2004-04-26</t>
        </is>
      </c>
      <c r="V40" t="inlineStr">
        <is>
          <t>2004-04-26</t>
        </is>
      </c>
      <c r="W40" t="inlineStr">
        <is>
          <t>1991-07-26</t>
        </is>
      </c>
      <c r="X40" t="inlineStr">
        <is>
          <t>1991-07-26</t>
        </is>
      </c>
      <c r="Y40" t="n">
        <v>466</v>
      </c>
      <c r="Z40" t="n">
        <v>407</v>
      </c>
      <c r="AA40" t="n">
        <v>465</v>
      </c>
      <c r="AB40" t="n">
        <v>4</v>
      </c>
      <c r="AC40" t="n">
        <v>5</v>
      </c>
      <c r="AD40" t="n">
        <v>30</v>
      </c>
      <c r="AE40" t="n">
        <v>34</v>
      </c>
      <c r="AF40" t="n">
        <v>9</v>
      </c>
      <c r="AG40" t="n">
        <v>12</v>
      </c>
      <c r="AH40" t="n">
        <v>7</v>
      </c>
      <c r="AI40" t="n">
        <v>8</v>
      </c>
      <c r="AJ40" t="n">
        <v>22</v>
      </c>
      <c r="AK40" t="n">
        <v>22</v>
      </c>
      <c r="AL40" t="n">
        <v>2</v>
      </c>
      <c r="AM40" t="n">
        <v>3</v>
      </c>
      <c r="AN40" t="n">
        <v>0</v>
      </c>
      <c r="AO40" t="n">
        <v>0</v>
      </c>
      <c r="AP40" t="inlineStr">
        <is>
          <t>No</t>
        </is>
      </c>
      <c r="AQ40" t="inlineStr">
        <is>
          <t>No</t>
        </is>
      </c>
      <c r="AS40">
        <f>HYPERLINK("https://creighton-primo.hosted.exlibrisgroup.com/primo-explore/search?tab=default_tab&amp;search_scope=EVERYTHING&amp;vid=01CRU&amp;lang=en_US&amp;offset=0&amp;query=any,contains,991000541879702656","Catalog Record")</f>
        <v/>
      </c>
      <c r="AT40">
        <f>HYPERLINK("http://www.worldcat.org/oclc/11495920","WorldCat Record")</f>
        <v/>
      </c>
      <c r="AU40" t="inlineStr">
        <is>
          <t>498643673:eng</t>
        </is>
      </c>
      <c r="AV40" t="inlineStr">
        <is>
          <t>11495920</t>
        </is>
      </c>
      <c r="AW40" t="inlineStr">
        <is>
          <t>991000541879702656</t>
        </is>
      </c>
      <c r="AX40" t="inlineStr">
        <is>
          <t>991000541879702656</t>
        </is>
      </c>
      <c r="AY40" t="inlineStr">
        <is>
          <t>2263456540002656</t>
        </is>
      </c>
      <c r="AZ40" t="inlineStr">
        <is>
          <t>BOOK</t>
        </is>
      </c>
      <c r="BB40" t="inlineStr">
        <is>
          <t>9780060652265</t>
        </is>
      </c>
      <c r="BC40" t="inlineStr">
        <is>
          <t>32285000692235</t>
        </is>
      </c>
      <c r="BD40" t="inlineStr">
        <is>
          <t>893237399</t>
        </is>
      </c>
    </row>
    <row r="41">
      <c r="A41" t="inlineStr">
        <is>
          <t>No</t>
        </is>
      </c>
      <c r="B41" t="inlineStr">
        <is>
          <t>BT102 .L733 1960</t>
        </is>
      </c>
      <c r="C41" t="inlineStr">
        <is>
          <t>0                      BT 0102000L  733         1960</t>
        </is>
      </c>
      <c r="D41" t="inlineStr">
        <is>
          <t>The discovery of God / Henri de Lubac. Translated by Alexander Dru.</t>
        </is>
      </c>
      <c r="F41" t="inlineStr">
        <is>
          <t>No</t>
        </is>
      </c>
      <c r="G41" t="inlineStr">
        <is>
          <t>1</t>
        </is>
      </c>
      <c r="H41" t="inlineStr">
        <is>
          <t>Yes</t>
        </is>
      </c>
      <c r="I41" t="inlineStr">
        <is>
          <t>Yes</t>
        </is>
      </c>
      <c r="J41" t="inlineStr">
        <is>
          <t>0</t>
        </is>
      </c>
      <c r="K41" t="inlineStr">
        <is>
          <t>Lubac, Henri de, 1896-1991.</t>
        </is>
      </c>
      <c r="L41" t="inlineStr">
        <is>
          <t>New York, P. J. Kenedy [1960]</t>
        </is>
      </c>
      <c r="M41" t="inlineStr">
        <is>
          <t>1960</t>
        </is>
      </c>
      <c r="O41" t="inlineStr">
        <is>
          <t>eng</t>
        </is>
      </c>
      <c r="P41" t="inlineStr">
        <is>
          <t>___</t>
        </is>
      </c>
      <c r="R41" t="inlineStr">
        <is>
          <t xml:space="preserve">BT </t>
        </is>
      </c>
      <c r="S41" t="n">
        <v>0</v>
      </c>
      <c r="T41" t="n">
        <v>4</v>
      </c>
      <c r="V41" t="inlineStr">
        <is>
          <t>1994-11-09</t>
        </is>
      </c>
      <c r="W41" t="inlineStr">
        <is>
          <t>1991-07-26</t>
        </is>
      </c>
      <c r="X41" t="inlineStr">
        <is>
          <t>1992-09-28</t>
        </is>
      </c>
      <c r="Y41" t="n">
        <v>274</v>
      </c>
      <c r="Z41" t="n">
        <v>254</v>
      </c>
      <c r="AA41" t="n">
        <v>417</v>
      </c>
      <c r="AB41" t="n">
        <v>4</v>
      </c>
      <c r="AC41" t="n">
        <v>4</v>
      </c>
      <c r="AD41" t="n">
        <v>32</v>
      </c>
      <c r="AE41" t="n">
        <v>41</v>
      </c>
      <c r="AF41" t="n">
        <v>10</v>
      </c>
      <c r="AG41" t="n">
        <v>16</v>
      </c>
      <c r="AH41" t="n">
        <v>7</v>
      </c>
      <c r="AI41" t="n">
        <v>9</v>
      </c>
      <c r="AJ41" t="n">
        <v>22</v>
      </c>
      <c r="AK41" t="n">
        <v>27</v>
      </c>
      <c r="AL41" t="n">
        <v>1</v>
      </c>
      <c r="AM41" t="n">
        <v>1</v>
      </c>
      <c r="AN41" t="n">
        <v>0</v>
      </c>
      <c r="AO41" t="n">
        <v>0</v>
      </c>
      <c r="AP41" t="inlineStr">
        <is>
          <t>No</t>
        </is>
      </c>
      <c r="AQ41" t="inlineStr">
        <is>
          <t>No</t>
        </is>
      </c>
      <c r="AR41">
        <f>HYPERLINK("http://catalog.hathitrust.org/Record/001411884","HathiTrust Record")</f>
        <v/>
      </c>
      <c r="AS41">
        <f>HYPERLINK("https://creighton-primo.hosted.exlibrisgroup.com/primo-explore/search?tab=default_tab&amp;search_scope=EVERYTHING&amp;vid=01CRU&amp;lang=en_US&amp;offset=0&amp;query=any,contains,991003681999702656","Catalog Record")</f>
        <v/>
      </c>
      <c r="AT41">
        <f>HYPERLINK("http://www.worldcat.org/oclc/1308286","WorldCat Record")</f>
        <v/>
      </c>
      <c r="AU41" t="inlineStr">
        <is>
          <t>56667286:eng</t>
        </is>
      </c>
      <c r="AV41" t="inlineStr">
        <is>
          <t>1308286</t>
        </is>
      </c>
      <c r="AW41" t="inlineStr">
        <is>
          <t>991003681999702656</t>
        </is>
      </c>
      <c r="AX41" t="inlineStr">
        <is>
          <t>991003681999702656</t>
        </is>
      </c>
      <c r="AY41" t="inlineStr">
        <is>
          <t>2265566880002656</t>
        </is>
      </c>
      <c r="AZ41" t="inlineStr">
        <is>
          <t>BOOK</t>
        </is>
      </c>
      <c r="BC41" t="inlineStr">
        <is>
          <t>32285000692250</t>
        </is>
      </c>
      <c r="BD41" t="inlineStr">
        <is>
          <t>893416665</t>
        </is>
      </c>
    </row>
    <row r="42">
      <c r="A42" t="inlineStr">
        <is>
          <t>No</t>
        </is>
      </c>
      <c r="B42" t="inlineStr">
        <is>
          <t>BT102 .L733 1960</t>
        </is>
      </c>
      <c r="C42" t="inlineStr">
        <is>
          <t>0                      BT 0102000L  733         1960</t>
        </is>
      </c>
      <c r="D42" t="inlineStr">
        <is>
          <t>The discovery of God / Henri de Lubac. Translated by Alexander Dru.</t>
        </is>
      </c>
      <c r="F42" t="inlineStr">
        <is>
          <t>No</t>
        </is>
      </c>
      <c r="G42" t="inlineStr">
        <is>
          <t>1</t>
        </is>
      </c>
      <c r="H42" t="inlineStr">
        <is>
          <t>Yes</t>
        </is>
      </c>
      <c r="I42" t="inlineStr">
        <is>
          <t>Yes</t>
        </is>
      </c>
      <c r="J42" t="inlineStr">
        <is>
          <t>0</t>
        </is>
      </c>
      <c r="K42" t="inlineStr">
        <is>
          <t>Lubac, Henri de, 1896-1991.</t>
        </is>
      </c>
      <c r="L42" t="inlineStr">
        <is>
          <t>New York, P. J. Kenedy [1960]</t>
        </is>
      </c>
      <c r="M42" t="inlineStr">
        <is>
          <t>1960</t>
        </is>
      </c>
      <c r="O42" t="inlineStr">
        <is>
          <t>eng</t>
        </is>
      </c>
      <c r="P42" t="inlineStr">
        <is>
          <t>___</t>
        </is>
      </c>
      <c r="R42" t="inlineStr">
        <is>
          <t xml:space="preserve">BT </t>
        </is>
      </c>
      <c r="S42" t="n">
        <v>4</v>
      </c>
      <c r="T42" t="n">
        <v>4</v>
      </c>
      <c r="U42" t="inlineStr">
        <is>
          <t>1994-11-09</t>
        </is>
      </c>
      <c r="V42" t="inlineStr">
        <is>
          <t>1994-11-09</t>
        </is>
      </c>
      <c r="W42" t="inlineStr">
        <is>
          <t>1992-09-28</t>
        </is>
      </c>
      <c r="X42" t="inlineStr">
        <is>
          <t>1992-09-28</t>
        </is>
      </c>
      <c r="Y42" t="n">
        <v>274</v>
      </c>
      <c r="Z42" t="n">
        <v>254</v>
      </c>
      <c r="AA42" t="n">
        <v>417</v>
      </c>
      <c r="AB42" t="n">
        <v>4</v>
      </c>
      <c r="AC42" t="n">
        <v>4</v>
      </c>
      <c r="AD42" t="n">
        <v>32</v>
      </c>
      <c r="AE42" t="n">
        <v>41</v>
      </c>
      <c r="AF42" t="n">
        <v>10</v>
      </c>
      <c r="AG42" t="n">
        <v>16</v>
      </c>
      <c r="AH42" t="n">
        <v>7</v>
      </c>
      <c r="AI42" t="n">
        <v>9</v>
      </c>
      <c r="AJ42" t="n">
        <v>22</v>
      </c>
      <c r="AK42" t="n">
        <v>27</v>
      </c>
      <c r="AL42" t="n">
        <v>1</v>
      </c>
      <c r="AM42" t="n">
        <v>1</v>
      </c>
      <c r="AN42" t="n">
        <v>0</v>
      </c>
      <c r="AO42" t="n">
        <v>0</v>
      </c>
      <c r="AP42" t="inlineStr">
        <is>
          <t>No</t>
        </is>
      </c>
      <c r="AQ42" t="inlineStr">
        <is>
          <t>No</t>
        </is>
      </c>
      <c r="AR42">
        <f>HYPERLINK("http://catalog.hathitrust.org/Record/001411884","HathiTrust Record")</f>
        <v/>
      </c>
      <c r="AS42">
        <f>HYPERLINK("https://creighton-primo.hosted.exlibrisgroup.com/primo-explore/search?tab=default_tab&amp;search_scope=EVERYTHING&amp;vid=01CRU&amp;lang=en_US&amp;offset=0&amp;query=any,contains,991003681999702656","Catalog Record")</f>
        <v/>
      </c>
      <c r="AT42">
        <f>HYPERLINK("http://www.worldcat.org/oclc/1308286","WorldCat Record")</f>
        <v/>
      </c>
      <c r="AU42" t="inlineStr">
        <is>
          <t>56667286:eng</t>
        </is>
      </c>
      <c r="AV42" t="inlineStr">
        <is>
          <t>1308286</t>
        </is>
      </c>
      <c r="AW42" t="inlineStr">
        <is>
          <t>991003681999702656</t>
        </is>
      </c>
      <c r="AX42" t="inlineStr">
        <is>
          <t>991003681999702656</t>
        </is>
      </c>
      <c r="AY42" t="inlineStr">
        <is>
          <t>2265566880002656</t>
        </is>
      </c>
      <c r="AZ42" t="inlineStr">
        <is>
          <t>BOOK</t>
        </is>
      </c>
      <c r="BC42" t="inlineStr">
        <is>
          <t>32285001321255</t>
        </is>
      </c>
      <c r="BD42" t="inlineStr">
        <is>
          <t>893422833</t>
        </is>
      </c>
    </row>
    <row r="43">
      <c r="A43" t="inlineStr">
        <is>
          <t>No</t>
        </is>
      </c>
      <c r="B43" t="inlineStr">
        <is>
          <t>BT102 .M273 1985</t>
        </is>
      </c>
      <c r="C43" t="inlineStr">
        <is>
          <t>0                      BT 0102000M  273         1985</t>
        </is>
      </c>
      <c r="D43" t="inlineStr">
        <is>
          <t>In search of deity : an essay in dialectical theism / John Macquarrie.</t>
        </is>
      </c>
      <c r="F43" t="inlineStr">
        <is>
          <t>No</t>
        </is>
      </c>
      <c r="G43" t="inlineStr">
        <is>
          <t>1</t>
        </is>
      </c>
      <c r="H43" t="inlineStr">
        <is>
          <t>No</t>
        </is>
      </c>
      <c r="I43" t="inlineStr">
        <is>
          <t>No</t>
        </is>
      </c>
      <c r="J43" t="inlineStr">
        <is>
          <t>0</t>
        </is>
      </c>
      <c r="K43" t="inlineStr">
        <is>
          <t>Macquarrie, John.</t>
        </is>
      </c>
      <c r="L43" t="inlineStr">
        <is>
          <t>New York : Crossroad, 1985, c1984.</t>
        </is>
      </c>
      <c r="M43" t="inlineStr">
        <is>
          <t>1985</t>
        </is>
      </c>
      <c r="O43" t="inlineStr">
        <is>
          <t>eng</t>
        </is>
      </c>
      <c r="P43" t="inlineStr">
        <is>
          <t>nyu</t>
        </is>
      </c>
      <c r="Q43" t="inlineStr">
        <is>
          <t>The Gifford lectures ; 1983</t>
        </is>
      </c>
      <c r="R43" t="inlineStr">
        <is>
          <t xml:space="preserve">BT </t>
        </is>
      </c>
      <c r="S43" t="n">
        <v>5</v>
      </c>
      <c r="T43" t="n">
        <v>5</v>
      </c>
      <c r="U43" t="inlineStr">
        <is>
          <t>1997-12-11</t>
        </is>
      </c>
      <c r="V43" t="inlineStr">
        <is>
          <t>1997-12-11</t>
        </is>
      </c>
      <c r="W43" t="inlineStr">
        <is>
          <t>1991-07-26</t>
        </is>
      </c>
      <c r="X43" t="inlineStr">
        <is>
          <t>1991-07-26</t>
        </is>
      </c>
      <c r="Y43" t="n">
        <v>394</v>
      </c>
      <c r="Z43" t="n">
        <v>353</v>
      </c>
      <c r="AA43" t="n">
        <v>436</v>
      </c>
      <c r="AB43" t="n">
        <v>3</v>
      </c>
      <c r="AC43" t="n">
        <v>4</v>
      </c>
      <c r="AD43" t="n">
        <v>32</v>
      </c>
      <c r="AE43" t="n">
        <v>35</v>
      </c>
      <c r="AF43" t="n">
        <v>10</v>
      </c>
      <c r="AG43" t="n">
        <v>11</v>
      </c>
      <c r="AH43" t="n">
        <v>9</v>
      </c>
      <c r="AI43" t="n">
        <v>10</v>
      </c>
      <c r="AJ43" t="n">
        <v>21</v>
      </c>
      <c r="AK43" t="n">
        <v>23</v>
      </c>
      <c r="AL43" t="n">
        <v>1</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HYPERLINK("https://creighton-primo.hosted.exlibrisgroup.com/primo-explore/search?tab=default_tab&amp;search_scope=EVERYTHING&amp;vid=01CRU&amp;lang=en_US&amp;offset=0&amp;query=any,contains,991000534439702656","Catalog Record")</f>
        <v/>
      </c>
      <c r="AT43">
        <f>HYPERLINK("http://www.worldcat.org/oclc/11443103","WorldCat Record")</f>
        <v/>
      </c>
      <c r="AU43" t="inlineStr">
        <is>
          <t>815050864:eng</t>
        </is>
      </c>
      <c r="AV43" t="inlineStr">
        <is>
          <t>11443103</t>
        </is>
      </c>
      <c r="AW43" t="inlineStr">
        <is>
          <t>991000534439702656</t>
        </is>
      </c>
      <c r="AX43" t="inlineStr">
        <is>
          <t>991000534439702656</t>
        </is>
      </c>
      <c r="AY43" t="inlineStr">
        <is>
          <t>2267755200002656</t>
        </is>
      </c>
      <c r="AZ43" t="inlineStr">
        <is>
          <t>BOOK</t>
        </is>
      </c>
      <c r="BB43" t="inlineStr">
        <is>
          <t>9780824506827</t>
        </is>
      </c>
      <c r="BC43" t="inlineStr">
        <is>
          <t>32285000692276</t>
        </is>
      </c>
      <c r="BD43" t="inlineStr">
        <is>
          <t>893695919</t>
        </is>
      </c>
    </row>
    <row r="44">
      <c r="A44" t="inlineStr">
        <is>
          <t>No</t>
        </is>
      </c>
      <c r="B44" t="inlineStr">
        <is>
          <t>BT102 .M465 1993</t>
        </is>
      </c>
      <c r="C44" t="inlineStr">
        <is>
          <t>0                      BT 0102000M  465         1993</t>
        </is>
      </c>
      <c r="D44" t="inlineStr">
        <is>
          <t>Does God's existence need proof? / Richard Messer.</t>
        </is>
      </c>
      <c r="F44" t="inlineStr">
        <is>
          <t>No</t>
        </is>
      </c>
      <c r="G44" t="inlineStr">
        <is>
          <t>1</t>
        </is>
      </c>
      <c r="H44" t="inlineStr">
        <is>
          <t>No</t>
        </is>
      </c>
      <c r="I44" t="inlineStr">
        <is>
          <t>No</t>
        </is>
      </c>
      <c r="J44" t="inlineStr">
        <is>
          <t>0</t>
        </is>
      </c>
      <c r="K44" t="inlineStr">
        <is>
          <t>Messer, Richard.</t>
        </is>
      </c>
      <c r="L44" t="inlineStr">
        <is>
          <t>Oxford [England] : Clarendon Press ; New York : Oxford University Press, 1993.</t>
        </is>
      </c>
      <c r="M44" t="inlineStr">
        <is>
          <t>1993</t>
        </is>
      </c>
      <c r="O44" t="inlineStr">
        <is>
          <t>eng</t>
        </is>
      </c>
      <c r="P44" t="inlineStr">
        <is>
          <t>enk</t>
        </is>
      </c>
      <c r="R44" t="inlineStr">
        <is>
          <t xml:space="preserve">BT </t>
        </is>
      </c>
      <c r="S44" t="n">
        <v>9</v>
      </c>
      <c r="T44" t="n">
        <v>9</v>
      </c>
      <c r="U44" t="inlineStr">
        <is>
          <t>2006-12-08</t>
        </is>
      </c>
      <c r="V44" t="inlineStr">
        <is>
          <t>2006-12-08</t>
        </is>
      </c>
      <c r="W44" t="inlineStr">
        <is>
          <t>1994-03-22</t>
        </is>
      </c>
      <c r="X44" t="inlineStr">
        <is>
          <t>1994-03-22</t>
        </is>
      </c>
      <c r="Y44" t="n">
        <v>464</v>
      </c>
      <c r="Z44" t="n">
        <v>357</v>
      </c>
      <c r="AA44" t="n">
        <v>405</v>
      </c>
      <c r="AB44" t="n">
        <v>4</v>
      </c>
      <c r="AC44" t="n">
        <v>4</v>
      </c>
      <c r="AD44" t="n">
        <v>34</v>
      </c>
      <c r="AE44" t="n">
        <v>34</v>
      </c>
      <c r="AF44" t="n">
        <v>13</v>
      </c>
      <c r="AG44" t="n">
        <v>13</v>
      </c>
      <c r="AH44" t="n">
        <v>7</v>
      </c>
      <c r="AI44" t="n">
        <v>7</v>
      </c>
      <c r="AJ44" t="n">
        <v>19</v>
      </c>
      <c r="AK44" t="n">
        <v>19</v>
      </c>
      <c r="AL44" t="n">
        <v>3</v>
      </c>
      <c r="AM44" t="n">
        <v>3</v>
      </c>
      <c r="AN44" t="n">
        <v>0</v>
      </c>
      <c r="AO44" t="n">
        <v>0</v>
      </c>
      <c r="AP44" t="inlineStr">
        <is>
          <t>No</t>
        </is>
      </c>
      <c r="AQ44" t="inlineStr">
        <is>
          <t>Yes</t>
        </is>
      </c>
      <c r="AR44">
        <f>HYPERLINK("http://catalog.hathitrust.org/Record/002752881","HathiTrust Record")</f>
        <v/>
      </c>
      <c r="AS44">
        <f>HYPERLINK("https://creighton-primo.hosted.exlibrisgroup.com/primo-explore/search?tab=default_tab&amp;search_scope=EVERYTHING&amp;vid=01CRU&amp;lang=en_US&amp;offset=0&amp;query=any,contains,991002125189702656","Catalog Record")</f>
        <v/>
      </c>
      <c r="AT44">
        <f>HYPERLINK("http://www.worldcat.org/oclc/27224167","WorldCat Record")</f>
        <v/>
      </c>
      <c r="AU44" t="inlineStr">
        <is>
          <t>328359:eng</t>
        </is>
      </c>
      <c r="AV44" t="inlineStr">
        <is>
          <t>27224167</t>
        </is>
      </c>
      <c r="AW44" t="inlineStr">
        <is>
          <t>991002125189702656</t>
        </is>
      </c>
      <c r="AX44" t="inlineStr">
        <is>
          <t>991002125189702656</t>
        </is>
      </c>
      <c r="AY44" t="inlineStr">
        <is>
          <t>2265260220002656</t>
        </is>
      </c>
      <c r="AZ44" t="inlineStr">
        <is>
          <t>BOOK</t>
        </is>
      </c>
      <c r="BB44" t="inlineStr">
        <is>
          <t>9780198267478</t>
        </is>
      </c>
      <c r="BC44" t="inlineStr">
        <is>
          <t>32285001857399</t>
        </is>
      </c>
      <c r="BD44" t="inlineStr">
        <is>
          <t>893590940</t>
        </is>
      </c>
    </row>
    <row r="45">
      <c r="A45" t="inlineStr">
        <is>
          <t>No</t>
        </is>
      </c>
      <c r="B45" t="inlineStr">
        <is>
          <t>BT102 .M48 1982</t>
        </is>
      </c>
      <c r="C45" t="inlineStr">
        <is>
          <t>0                      BT 0102000M  48          1982</t>
        </is>
      </c>
      <c r="D45" t="inlineStr">
        <is>
          <t>The intelligible universe : a cosmological argument / Hugo A. Meynell.</t>
        </is>
      </c>
      <c r="F45" t="inlineStr">
        <is>
          <t>No</t>
        </is>
      </c>
      <c r="G45" t="inlineStr">
        <is>
          <t>1</t>
        </is>
      </c>
      <c r="H45" t="inlineStr">
        <is>
          <t>No</t>
        </is>
      </c>
      <c r="I45" t="inlineStr">
        <is>
          <t>No</t>
        </is>
      </c>
      <c r="J45" t="inlineStr">
        <is>
          <t>0</t>
        </is>
      </c>
      <c r="K45" t="inlineStr">
        <is>
          <t>Meynell, Hugo A. (Hugo Anthony), 1936-</t>
        </is>
      </c>
      <c r="L45" t="inlineStr">
        <is>
          <t>Totowa, N.J. : Barnes &amp; Noble, 1982.</t>
        </is>
      </c>
      <c r="M45" t="inlineStr">
        <is>
          <t>1982</t>
        </is>
      </c>
      <c r="O45" t="inlineStr">
        <is>
          <t>eng</t>
        </is>
      </c>
      <c r="P45" t="inlineStr">
        <is>
          <t>nju</t>
        </is>
      </c>
      <c r="R45" t="inlineStr">
        <is>
          <t xml:space="preserve">BT </t>
        </is>
      </c>
      <c r="S45" t="n">
        <v>8</v>
      </c>
      <c r="T45" t="n">
        <v>8</v>
      </c>
      <c r="U45" t="inlineStr">
        <is>
          <t>2006-12-08</t>
        </is>
      </c>
      <c r="V45" t="inlineStr">
        <is>
          <t>2006-12-08</t>
        </is>
      </c>
      <c r="W45" t="inlineStr">
        <is>
          <t>1991-07-30</t>
        </is>
      </c>
      <c r="X45" t="inlineStr">
        <is>
          <t>1991-07-30</t>
        </is>
      </c>
      <c r="Y45" t="n">
        <v>274</v>
      </c>
      <c r="Z45" t="n">
        <v>249</v>
      </c>
      <c r="AA45" t="n">
        <v>297</v>
      </c>
      <c r="AB45" t="n">
        <v>3</v>
      </c>
      <c r="AC45" t="n">
        <v>4</v>
      </c>
      <c r="AD45" t="n">
        <v>16</v>
      </c>
      <c r="AE45" t="n">
        <v>18</v>
      </c>
      <c r="AF45" t="n">
        <v>5</v>
      </c>
      <c r="AG45" t="n">
        <v>5</v>
      </c>
      <c r="AH45" t="n">
        <v>4</v>
      </c>
      <c r="AI45" t="n">
        <v>5</v>
      </c>
      <c r="AJ45" t="n">
        <v>12</v>
      </c>
      <c r="AK45" t="n">
        <v>12</v>
      </c>
      <c r="AL45" t="n">
        <v>1</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HYPERLINK("https://creighton-primo.hosted.exlibrisgroup.com/primo-explore/search?tab=default_tab&amp;search_scope=EVERYTHING&amp;vid=01CRU&amp;lang=en_US&amp;offset=0&amp;query=any,contains,991005181579702656","Catalog Record")</f>
        <v/>
      </c>
      <c r="AT45">
        <f>HYPERLINK("http://www.worldcat.org/oclc/7946483","WorldCat Record")</f>
        <v/>
      </c>
      <c r="AU45" t="inlineStr">
        <is>
          <t>319955003:eng</t>
        </is>
      </c>
      <c r="AV45" t="inlineStr">
        <is>
          <t>7946483</t>
        </is>
      </c>
      <c r="AW45" t="inlineStr">
        <is>
          <t>991005181579702656</t>
        </is>
      </c>
      <c r="AX45" t="inlineStr">
        <is>
          <t>991005181579702656</t>
        </is>
      </c>
      <c r="AY45" t="inlineStr">
        <is>
          <t>2272560480002656</t>
        </is>
      </c>
      <c r="AZ45" t="inlineStr">
        <is>
          <t>BOOK</t>
        </is>
      </c>
      <c r="BB45" t="inlineStr">
        <is>
          <t>9780389202530</t>
        </is>
      </c>
      <c r="BC45" t="inlineStr">
        <is>
          <t>32285000692359</t>
        </is>
      </c>
      <c r="BD45" t="inlineStr">
        <is>
          <t>893594613</t>
        </is>
      </c>
    </row>
    <row r="46">
      <c r="A46" t="inlineStr">
        <is>
          <t>No</t>
        </is>
      </c>
      <c r="B46" t="inlineStr">
        <is>
          <t>BT102 .M553 1996</t>
        </is>
      </c>
      <c r="C46" t="inlineStr">
        <is>
          <t>0                      BT 0102000M  553         1996</t>
        </is>
      </c>
      <c r="D46" t="inlineStr">
        <is>
          <t>A most unlikely God : a philosophical enquiry into the nature of God / Barry Miller.</t>
        </is>
      </c>
      <c r="F46" t="inlineStr">
        <is>
          <t>No</t>
        </is>
      </c>
      <c r="G46" t="inlineStr">
        <is>
          <t>1</t>
        </is>
      </c>
      <c r="H46" t="inlineStr">
        <is>
          <t>No</t>
        </is>
      </c>
      <c r="I46" t="inlineStr">
        <is>
          <t>No</t>
        </is>
      </c>
      <c r="J46" t="inlineStr">
        <is>
          <t>0</t>
        </is>
      </c>
      <c r="K46" t="inlineStr">
        <is>
          <t>Miller, Barry, 1923-</t>
        </is>
      </c>
      <c r="L46" t="inlineStr">
        <is>
          <t>Notre Dame [Ind.] : University of Notre Dame Press, c1996.</t>
        </is>
      </c>
      <c r="M46" t="inlineStr">
        <is>
          <t>1996</t>
        </is>
      </c>
      <c r="O46" t="inlineStr">
        <is>
          <t>eng</t>
        </is>
      </c>
      <c r="P46" t="inlineStr">
        <is>
          <t>inu</t>
        </is>
      </c>
      <c r="R46" t="inlineStr">
        <is>
          <t xml:space="preserve">BT </t>
        </is>
      </c>
      <c r="S46" t="n">
        <v>1</v>
      </c>
      <c r="T46" t="n">
        <v>1</v>
      </c>
      <c r="U46" t="inlineStr">
        <is>
          <t>1996-10-10</t>
        </is>
      </c>
      <c r="V46" t="inlineStr">
        <is>
          <t>1996-10-10</t>
        </is>
      </c>
      <c r="W46" t="inlineStr">
        <is>
          <t>1996-09-24</t>
        </is>
      </c>
      <c r="X46" t="inlineStr">
        <is>
          <t>1996-09-24</t>
        </is>
      </c>
      <c r="Y46" t="n">
        <v>279</v>
      </c>
      <c r="Z46" t="n">
        <v>219</v>
      </c>
      <c r="AA46" t="n">
        <v>482</v>
      </c>
      <c r="AB46" t="n">
        <v>2</v>
      </c>
      <c r="AC46" t="n">
        <v>2</v>
      </c>
      <c r="AD46" t="n">
        <v>22</v>
      </c>
      <c r="AE46" t="n">
        <v>24</v>
      </c>
      <c r="AF46" t="n">
        <v>10</v>
      </c>
      <c r="AG46" t="n">
        <v>12</v>
      </c>
      <c r="AH46" t="n">
        <v>5</v>
      </c>
      <c r="AI46" t="n">
        <v>6</v>
      </c>
      <c r="AJ46" t="n">
        <v>13</v>
      </c>
      <c r="AK46" t="n">
        <v>13</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HYPERLINK("https://creighton-primo.hosted.exlibrisgroup.com/primo-explore/search?tab=default_tab&amp;search_scope=EVERYTHING&amp;vid=01CRU&amp;lang=en_US&amp;offset=0&amp;query=any,contains,991002587529702656","Catalog Record")</f>
        <v/>
      </c>
      <c r="AT46">
        <f>HYPERLINK("http://www.worldcat.org/oclc/33899322","WorldCat Record")</f>
        <v/>
      </c>
      <c r="AU46" t="inlineStr">
        <is>
          <t>864063728:eng</t>
        </is>
      </c>
      <c r="AV46" t="inlineStr">
        <is>
          <t>33899322</t>
        </is>
      </c>
      <c r="AW46" t="inlineStr">
        <is>
          <t>991002587529702656</t>
        </is>
      </c>
      <c r="AX46" t="inlineStr">
        <is>
          <t>991002587529702656</t>
        </is>
      </c>
      <c r="AY46" t="inlineStr">
        <is>
          <t>2269616480002656</t>
        </is>
      </c>
      <c r="AZ46" t="inlineStr">
        <is>
          <t>BOOK</t>
        </is>
      </c>
      <c r="BB46" t="inlineStr">
        <is>
          <t>9780268014223</t>
        </is>
      </c>
      <c r="BC46" t="inlineStr">
        <is>
          <t>32285002318664</t>
        </is>
      </c>
      <c r="BD46" t="inlineStr">
        <is>
          <t>893691763</t>
        </is>
      </c>
    </row>
    <row r="47">
      <c r="A47" t="inlineStr">
        <is>
          <t>No</t>
        </is>
      </c>
      <c r="B47" t="inlineStr">
        <is>
          <t>BT102 .M6</t>
        </is>
      </c>
      <c r="C47" t="inlineStr">
        <is>
          <t>0                      BT 0102000M  6</t>
        </is>
      </c>
      <c r="D47" t="inlineStr">
        <is>
          <t>Analogy and talking about God : a critique of the Thomistic approach / John S. Morreal. --</t>
        </is>
      </c>
      <c r="F47" t="inlineStr">
        <is>
          <t>No</t>
        </is>
      </c>
      <c r="G47" t="inlineStr">
        <is>
          <t>1</t>
        </is>
      </c>
      <c r="H47" t="inlineStr">
        <is>
          <t>No</t>
        </is>
      </c>
      <c r="I47" t="inlineStr">
        <is>
          <t>No</t>
        </is>
      </c>
      <c r="J47" t="inlineStr">
        <is>
          <t>0</t>
        </is>
      </c>
      <c r="K47" t="inlineStr">
        <is>
          <t>Morreal, John S.</t>
        </is>
      </c>
      <c r="L47" t="inlineStr">
        <is>
          <t>Washington : University Press of America, 1978.</t>
        </is>
      </c>
      <c r="M47" t="inlineStr">
        <is>
          <t>1978</t>
        </is>
      </c>
      <c r="O47" t="inlineStr">
        <is>
          <t>eng</t>
        </is>
      </c>
      <c r="P47" t="inlineStr">
        <is>
          <t>dcu</t>
        </is>
      </c>
      <c r="R47" t="inlineStr">
        <is>
          <t xml:space="preserve">BT </t>
        </is>
      </c>
      <c r="S47" t="n">
        <v>6</v>
      </c>
      <c r="T47" t="n">
        <v>6</v>
      </c>
      <c r="U47" t="inlineStr">
        <is>
          <t>2000-02-24</t>
        </is>
      </c>
      <c r="V47" t="inlineStr">
        <is>
          <t>2000-02-24</t>
        </is>
      </c>
      <c r="W47" t="inlineStr">
        <is>
          <t>1991-07-30</t>
        </is>
      </c>
      <c r="X47" t="inlineStr">
        <is>
          <t>1991-07-30</t>
        </is>
      </c>
      <c r="Y47" t="n">
        <v>253</v>
      </c>
      <c r="Z47" t="n">
        <v>226</v>
      </c>
      <c r="AA47" t="n">
        <v>238</v>
      </c>
      <c r="AB47" t="n">
        <v>1</v>
      </c>
      <c r="AC47" t="n">
        <v>1</v>
      </c>
      <c r="AD47" t="n">
        <v>23</v>
      </c>
      <c r="AE47" t="n">
        <v>23</v>
      </c>
      <c r="AF47" t="n">
        <v>6</v>
      </c>
      <c r="AG47" t="n">
        <v>6</v>
      </c>
      <c r="AH47" t="n">
        <v>8</v>
      </c>
      <c r="AI47" t="n">
        <v>8</v>
      </c>
      <c r="AJ47" t="n">
        <v>15</v>
      </c>
      <c r="AK47" t="n">
        <v>15</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HYPERLINK("https://creighton-primo.hosted.exlibrisgroup.com/primo-explore/search?tab=default_tab&amp;search_scope=EVERYTHING&amp;vid=01CRU&amp;lang=en_US&amp;offset=0&amp;query=any,contains,991004630579702656","Catalog Record")</f>
        <v/>
      </c>
      <c r="AT47">
        <f>HYPERLINK("http://www.worldcat.org/oclc/4368317","WorldCat Record")</f>
        <v/>
      </c>
      <c r="AU47" t="inlineStr">
        <is>
          <t>14680083:eng</t>
        </is>
      </c>
      <c r="AV47" t="inlineStr">
        <is>
          <t>4368317</t>
        </is>
      </c>
      <c r="AW47" t="inlineStr">
        <is>
          <t>991004630579702656</t>
        </is>
      </c>
      <c r="AX47" t="inlineStr">
        <is>
          <t>991004630579702656</t>
        </is>
      </c>
      <c r="AY47" t="inlineStr">
        <is>
          <t>2265500940002656</t>
        </is>
      </c>
      <c r="AZ47" t="inlineStr">
        <is>
          <t>BOOK</t>
        </is>
      </c>
      <c r="BB47" t="inlineStr">
        <is>
          <t>9780819104236</t>
        </is>
      </c>
      <c r="BC47" t="inlineStr">
        <is>
          <t>32285000692367</t>
        </is>
      </c>
      <c r="BD47" t="inlineStr">
        <is>
          <t>893353470</t>
        </is>
      </c>
    </row>
    <row r="48">
      <c r="A48" t="inlineStr">
        <is>
          <t>No</t>
        </is>
      </c>
      <c r="B48" t="inlineStr">
        <is>
          <t>BT102 .M66 1988</t>
        </is>
      </c>
      <c r="C48" t="inlineStr">
        <is>
          <t>0                      BT 0102000M  66          1988</t>
        </is>
      </c>
      <c r="D48" t="inlineStr">
        <is>
          <t>Believing in God : a philosophical essay / by Gareth Moore.</t>
        </is>
      </c>
      <c r="F48" t="inlineStr">
        <is>
          <t>No</t>
        </is>
      </c>
      <c r="G48" t="inlineStr">
        <is>
          <t>1</t>
        </is>
      </c>
      <c r="H48" t="inlineStr">
        <is>
          <t>No</t>
        </is>
      </c>
      <c r="I48" t="inlineStr">
        <is>
          <t>No</t>
        </is>
      </c>
      <c r="J48" t="inlineStr">
        <is>
          <t>0</t>
        </is>
      </c>
      <c r="K48" t="inlineStr">
        <is>
          <t>Moore, Gareth.</t>
        </is>
      </c>
      <c r="L48" t="inlineStr">
        <is>
          <t>Edinburgh : T. &amp; T. Clark, 1988.</t>
        </is>
      </c>
      <c r="M48" t="inlineStr">
        <is>
          <t>1988</t>
        </is>
      </c>
      <c r="O48" t="inlineStr">
        <is>
          <t>eng</t>
        </is>
      </c>
      <c r="P48" t="inlineStr">
        <is>
          <t>stk</t>
        </is>
      </c>
      <c r="R48" t="inlineStr">
        <is>
          <t xml:space="preserve">BT </t>
        </is>
      </c>
      <c r="S48" t="n">
        <v>8</v>
      </c>
      <c r="T48" t="n">
        <v>8</v>
      </c>
      <c r="U48" t="inlineStr">
        <is>
          <t>2008-07-18</t>
        </is>
      </c>
      <c r="V48" t="inlineStr">
        <is>
          <t>2008-07-18</t>
        </is>
      </c>
      <c r="W48" t="inlineStr">
        <is>
          <t>1992-03-06</t>
        </is>
      </c>
      <c r="X48" t="inlineStr">
        <is>
          <t>1992-03-06</t>
        </is>
      </c>
      <c r="Y48" t="n">
        <v>217</v>
      </c>
      <c r="Z48" t="n">
        <v>162</v>
      </c>
      <c r="AA48" t="n">
        <v>174</v>
      </c>
      <c r="AB48" t="n">
        <v>2</v>
      </c>
      <c r="AC48" t="n">
        <v>2</v>
      </c>
      <c r="AD48" t="n">
        <v>13</v>
      </c>
      <c r="AE48" t="n">
        <v>13</v>
      </c>
      <c r="AF48" t="n">
        <v>2</v>
      </c>
      <c r="AG48" t="n">
        <v>2</v>
      </c>
      <c r="AH48" t="n">
        <v>2</v>
      </c>
      <c r="AI48" t="n">
        <v>2</v>
      </c>
      <c r="AJ48" t="n">
        <v>11</v>
      </c>
      <c r="AK48" t="n">
        <v>11</v>
      </c>
      <c r="AL48" t="n">
        <v>1</v>
      </c>
      <c r="AM48" t="n">
        <v>1</v>
      </c>
      <c r="AN48" t="n">
        <v>0</v>
      </c>
      <c r="AO48" t="n">
        <v>0</v>
      </c>
      <c r="AP48" t="inlineStr">
        <is>
          <t>No</t>
        </is>
      </c>
      <c r="AQ48" t="inlineStr">
        <is>
          <t>Yes</t>
        </is>
      </c>
      <c r="AR48">
        <f>HYPERLINK("http://catalog.hathitrust.org/Record/001098891","HathiTrust Record")</f>
        <v/>
      </c>
      <c r="AS48">
        <f>HYPERLINK("https://creighton-primo.hosted.exlibrisgroup.com/primo-explore/search?tab=default_tab&amp;search_scope=EVERYTHING&amp;vid=01CRU&amp;lang=en_US&amp;offset=0&amp;query=any,contains,991001428519702656","Catalog Record")</f>
        <v/>
      </c>
      <c r="AT48">
        <f>HYPERLINK("http://www.worldcat.org/oclc/32890663","WorldCat Record")</f>
        <v/>
      </c>
      <c r="AU48" t="inlineStr">
        <is>
          <t>562931:eng</t>
        </is>
      </c>
      <c r="AV48" t="inlineStr">
        <is>
          <t>32890663</t>
        </is>
      </c>
      <c r="AW48" t="inlineStr">
        <is>
          <t>991001428519702656</t>
        </is>
      </c>
      <c r="AX48" t="inlineStr">
        <is>
          <t>991001428519702656</t>
        </is>
      </c>
      <c r="AY48" t="inlineStr">
        <is>
          <t>2262129070002656</t>
        </is>
      </c>
      <c r="AZ48" t="inlineStr">
        <is>
          <t>BOOK</t>
        </is>
      </c>
      <c r="BB48" t="inlineStr">
        <is>
          <t>9780567094988</t>
        </is>
      </c>
      <c r="BC48" t="inlineStr">
        <is>
          <t>32285000938265</t>
        </is>
      </c>
      <c r="BD48" t="inlineStr">
        <is>
          <t>893244130</t>
        </is>
      </c>
    </row>
    <row r="49">
      <c r="A49" t="inlineStr">
        <is>
          <t>No</t>
        </is>
      </c>
      <c r="B49" t="inlineStr">
        <is>
          <t>BT102 .O29 1998</t>
        </is>
      </c>
      <c r="C49" t="inlineStr">
        <is>
          <t>0                      BT 0102000O  29          1998</t>
        </is>
      </c>
      <c r="D49" t="inlineStr">
        <is>
          <t>God and inscrutable evil : in defense of theism and atheism / David O'Connor.</t>
        </is>
      </c>
      <c r="F49" t="inlineStr">
        <is>
          <t>No</t>
        </is>
      </c>
      <c r="G49" t="inlineStr">
        <is>
          <t>1</t>
        </is>
      </c>
      <c r="H49" t="inlineStr">
        <is>
          <t>No</t>
        </is>
      </c>
      <c r="I49" t="inlineStr">
        <is>
          <t>No</t>
        </is>
      </c>
      <c r="J49" t="inlineStr">
        <is>
          <t>0</t>
        </is>
      </c>
      <c r="K49" t="inlineStr">
        <is>
          <t>O'Connor, David, 1949-</t>
        </is>
      </c>
      <c r="L49" t="inlineStr">
        <is>
          <t>Lanham, Md. : Rowman &amp; Littlefield, 1998.</t>
        </is>
      </c>
      <c r="M49" t="inlineStr">
        <is>
          <t>1998</t>
        </is>
      </c>
      <c r="O49" t="inlineStr">
        <is>
          <t>eng</t>
        </is>
      </c>
      <c r="P49" t="inlineStr">
        <is>
          <t>mdu</t>
        </is>
      </c>
      <c r="R49" t="inlineStr">
        <is>
          <t xml:space="preserve">BT </t>
        </is>
      </c>
      <c r="S49" t="n">
        <v>4</v>
      </c>
      <c r="T49" t="n">
        <v>4</v>
      </c>
      <c r="U49" t="inlineStr">
        <is>
          <t>2002-10-17</t>
        </is>
      </c>
      <c r="V49" t="inlineStr">
        <is>
          <t>2002-10-17</t>
        </is>
      </c>
      <c r="W49" t="inlineStr">
        <is>
          <t>1998-02-11</t>
        </is>
      </c>
      <c r="X49" t="inlineStr">
        <is>
          <t>1998-02-11</t>
        </is>
      </c>
      <c r="Y49" t="n">
        <v>321</v>
      </c>
      <c r="Z49" t="n">
        <v>276</v>
      </c>
      <c r="AA49" t="n">
        <v>730</v>
      </c>
      <c r="AB49" t="n">
        <v>3</v>
      </c>
      <c r="AC49" t="n">
        <v>4</v>
      </c>
      <c r="AD49" t="n">
        <v>19</v>
      </c>
      <c r="AE49" t="n">
        <v>26</v>
      </c>
      <c r="AF49" t="n">
        <v>7</v>
      </c>
      <c r="AG49" t="n">
        <v>11</v>
      </c>
      <c r="AH49" t="n">
        <v>4</v>
      </c>
      <c r="AI49" t="n">
        <v>5</v>
      </c>
      <c r="AJ49" t="n">
        <v>11</v>
      </c>
      <c r="AK49" t="n">
        <v>13</v>
      </c>
      <c r="AL49" t="n">
        <v>2</v>
      </c>
      <c r="AM49" t="n">
        <v>3</v>
      </c>
      <c r="AN49" t="n">
        <v>0</v>
      </c>
      <c r="AO49" t="n">
        <v>0</v>
      </c>
      <c r="AP49" t="inlineStr">
        <is>
          <t>No</t>
        </is>
      </c>
      <c r="AQ49" t="inlineStr">
        <is>
          <t>Yes</t>
        </is>
      </c>
      <c r="AR49">
        <f>HYPERLINK("http://catalog.hathitrust.org/Record/003957354","HathiTrust Record")</f>
        <v/>
      </c>
      <c r="AS49">
        <f>HYPERLINK("https://creighton-primo.hosted.exlibrisgroup.com/primo-explore/search?tab=default_tab&amp;search_scope=EVERYTHING&amp;vid=01CRU&amp;lang=en_US&amp;offset=0&amp;query=any,contains,991002841129702656","Catalog Record")</f>
        <v/>
      </c>
      <c r="AT49">
        <f>HYPERLINK("http://www.worldcat.org/oclc/37432850","WorldCat Record")</f>
        <v/>
      </c>
      <c r="AU49" t="inlineStr">
        <is>
          <t>634851:eng</t>
        </is>
      </c>
      <c r="AV49" t="inlineStr">
        <is>
          <t>37432850</t>
        </is>
      </c>
      <c r="AW49" t="inlineStr">
        <is>
          <t>991002841129702656</t>
        </is>
      </c>
      <c r="AX49" t="inlineStr">
        <is>
          <t>991002841129702656</t>
        </is>
      </c>
      <c r="AY49" t="inlineStr">
        <is>
          <t>2264898710002656</t>
        </is>
      </c>
      <c r="AZ49" t="inlineStr">
        <is>
          <t>BOOK</t>
        </is>
      </c>
      <c r="BB49" t="inlineStr">
        <is>
          <t>9780847687633</t>
        </is>
      </c>
      <c r="BC49" t="inlineStr">
        <is>
          <t>32285003313714</t>
        </is>
      </c>
      <c r="BD49" t="inlineStr">
        <is>
          <t>893434359</t>
        </is>
      </c>
    </row>
    <row r="50">
      <c r="A50" t="inlineStr">
        <is>
          <t>No</t>
        </is>
      </c>
      <c r="B50" t="inlineStr">
        <is>
          <t>BT102 .O32 1992</t>
        </is>
      </c>
      <c r="C50" t="inlineStr">
        <is>
          <t>0                      BT 0102000O  32          1992</t>
        </is>
      </c>
      <c r="D50" t="inlineStr">
        <is>
          <t>The living God / Thomas C. Oden.</t>
        </is>
      </c>
      <c r="F50" t="inlineStr">
        <is>
          <t>No</t>
        </is>
      </c>
      <c r="G50" t="inlineStr">
        <is>
          <t>1</t>
        </is>
      </c>
      <c r="H50" t="inlineStr">
        <is>
          <t>No</t>
        </is>
      </c>
      <c r="I50" t="inlineStr">
        <is>
          <t>No</t>
        </is>
      </c>
      <c r="J50" t="inlineStr">
        <is>
          <t>0</t>
        </is>
      </c>
      <c r="K50" t="inlineStr">
        <is>
          <t>Oden, Thomas C.</t>
        </is>
      </c>
      <c r="L50" t="inlineStr">
        <is>
          <t>[San Francisco, Calif.] : HarperSanFrancisco, 1992.</t>
        </is>
      </c>
      <c r="M50" t="inlineStr">
        <is>
          <t>1992</t>
        </is>
      </c>
      <c r="N50" t="inlineStr">
        <is>
          <t>1st HarperCollins paperback ed.</t>
        </is>
      </c>
      <c r="O50" t="inlineStr">
        <is>
          <t>eng</t>
        </is>
      </c>
      <c r="P50" t="inlineStr">
        <is>
          <t>cau</t>
        </is>
      </c>
      <c r="Q50" t="inlineStr">
        <is>
          <t>Systematic theology ; v. 1</t>
        </is>
      </c>
      <c r="R50" t="inlineStr">
        <is>
          <t xml:space="preserve">BT </t>
        </is>
      </c>
      <c r="S50" t="n">
        <v>8</v>
      </c>
      <c r="T50" t="n">
        <v>8</v>
      </c>
      <c r="U50" t="inlineStr">
        <is>
          <t>1996-09-06</t>
        </is>
      </c>
      <c r="V50" t="inlineStr">
        <is>
          <t>1996-09-06</t>
        </is>
      </c>
      <c r="W50" t="inlineStr">
        <is>
          <t>1993-08-12</t>
        </is>
      </c>
      <c r="X50" t="inlineStr">
        <is>
          <t>1993-08-12</t>
        </is>
      </c>
      <c r="Y50" t="n">
        <v>138</v>
      </c>
      <c r="Z50" t="n">
        <v>116</v>
      </c>
      <c r="AA50" t="n">
        <v>414</v>
      </c>
      <c r="AB50" t="n">
        <v>1</v>
      </c>
      <c r="AC50" t="n">
        <v>1</v>
      </c>
      <c r="AD50" t="n">
        <v>4</v>
      </c>
      <c r="AE50" t="n">
        <v>21</v>
      </c>
      <c r="AF50" t="n">
        <v>3</v>
      </c>
      <c r="AG50" t="n">
        <v>10</v>
      </c>
      <c r="AH50" t="n">
        <v>0</v>
      </c>
      <c r="AI50" t="n">
        <v>2</v>
      </c>
      <c r="AJ50" t="n">
        <v>2</v>
      </c>
      <c r="AK50" t="n">
        <v>15</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HYPERLINK("https://creighton-primo.hosted.exlibrisgroup.com/primo-explore/search?tab=default_tab&amp;search_scope=EVERYTHING&amp;vid=01CRU&amp;lang=en_US&amp;offset=0&amp;query=any,contains,991001957879702656","Catalog Record")</f>
        <v/>
      </c>
      <c r="AT50">
        <f>HYPERLINK("http://www.worldcat.org/oclc/24795021","WorldCat Record")</f>
        <v/>
      </c>
      <c r="AU50" t="inlineStr">
        <is>
          <t>7919019:eng</t>
        </is>
      </c>
      <c r="AV50" t="inlineStr">
        <is>
          <t>24795021</t>
        </is>
      </c>
      <c r="AW50" t="inlineStr">
        <is>
          <t>991001957879702656</t>
        </is>
      </c>
      <c r="AX50" t="inlineStr">
        <is>
          <t>991001957879702656</t>
        </is>
      </c>
      <c r="AY50" t="inlineStr">
        <is>
          <t>2259779790002656</t>
        </is>
      </c>
      <c r="AZ50" t="inlineStr">
        <is>
          <t>BOOK</t>
        </is>
      </c>
      <c r="BB50" t="inlineStr">
        <is>
          <t>9780060663636</t>
        </is>
      </c>
      <c r="BC50" t="inlineStr">
        <is>
          <t>32285001726321</t>
        </is>
      </c>
      <c r="BD50" t="inlineStr">
        <is>
          <t>893621760</t>
        </is>
      </c>
    </row>
    <row r="51">
      <c r="A51" t="inlineStr">
        <is>
          <t>No</t>
        </is>
      </c>
      <c r="B51" t="inlineStr">
        <is>
          <t>BT102 .P28 1989</t>
        </is>
      </c>
      <c r="C51" t="inlineStr">
        <is>
          <t>0                      BT 0102000P  28          1989</t>
        </is>
      </c>
      <c r="D51" t="inlineStr">
        <is>
          <t>God and the processes of reality : foundations of a credible theism / David A. Pailin.</t>
        </is>
      </c>
      <c r="F51" t="inlineStr">
        <is>
          <t>No</t>
        </is>
      </c>
      <c r="G51" t="inlineStr">
        <is>
          <t>1</t>
        </is>
      </c>
      <c r="H51" t="inlineStr">
        <is>
          <t>No</t>
        </is>
      </c>
      <c r="I51" t="inlineStr">
        <is>
          <t>No</t>
        </is>
      </c>
      <c r="J51" t="inlineStr">
        <is>
          <t>0</t>
        </is>
      </c>
      <c r="K51" t="inlineStr">
        <is>
          <t>Pailin, David A. (David Arthur), 1936-</t>
        </is>
      </c>
      <c r="L51" t="inlineStr">
        <is>
          <t>London ; New York : Routledge, 1989.</t>
        </is>
      </c>
      <c r="M51" t="inlineStr">
        <is>
          <t>1989</t>
        </is>
      </c>
      <c r="O51" t="inlineStr">
        <is>
          <t>eng</t>
        </is>
      </c>
      <c r="P51" t="inlineStr">
        <is>
          <t>enk</t>
        </is>
      </c>
      <c r="Q51" t="inlineStr">
        <is>
          <t>Routledge religious studies</t>
        </is>
      </c>
      <c r="R51" t="inlineStr">
        <is>
          <t xml:space="preserve">BT </t>
        </is>
      </c>
      <c r="S51" t="n">
        <v>1</v>
      </c>
      <c r="T51" t="n">
        <v>1</v>
      </c>
      <c r="U51" t="inlineStr">
        <is>
          <t>2004-10-10</t>
        </is>
      </c>
      <c r="V51" t="inlineStr">
        <is>
          <t>2004-10-10</t>
        </is>
      </c>
      <c r="W51" t="inlineStr">
        <is>
          <t>1990-06-29</t>
        </is>
      </c>
      <c r="X51" t="inlineStr">
        <is>
          <t>1990-06-29</t>
        </is>
      </c>
      <c r="Y51" t="n">
        <v>328</v>
      </c>
      <c r="Z51" t="n">
        <v>237</v>
      </c>
      <c r="AA51" t="n">
        <v>242</v>
      </c>
      <c r="AB51" t="n">
        <v>1</v>
      </c>
      <c r="AC51" t="n">
        <v>1</v>
      </c>
      <c r="AD51" t="n">
        <v>13</v>
      </c>
      <c r="AE51" t="n">
        <v>13</v>
      </c>
      <c r="AF51" t="n">
        <v>5</v>
      </c>
      <c r="AG51" t="n">
        <v>5</v>
      </c>
      <c r="AH51" t="n">
        <v>4</v>
      </c>
      <c r="AI51" t="n">
        <v>4</v>
      </c>
      <c r="AJ51" t="n">
        <v>10</v>
      </c>
      <c r="AK51" t="n">
        <v>10</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HYPERLINK("https://creighton-primo.hosted.exlibrisgroup.com/primo-explore/search?tab=default_tab&amp;search_scope=EVERYTHING&amp;vid=01CRU&amp;lang=en_US&amp;offset=0&amp;query=any,contains,991001279609702656","Catalog Record")</f>
        <v/>
      </c>
      <c r="AT51">
        <f>HYPERLINK("http://www.worldcat.org/oclc/17916235","WorldCat Record")</f>
        <v/>
      </c>
      <c r="AU51" t="inlineStr">
        <is>
          <t>16487975:eng</t>
        </is>
      </c>
      <c r="AV51" t="inlineStr">
        <is>
          <t>17916235</t>
        </is>
      </c>
      <c r="AW51" t="inlineStr">
        <is>
          <t>991001279609702656</t>
        </is>
      </c>
      <c r="AX51" t="inlineStr">
        <is>
          <t>991001279609702656</t>
        </is>
      </c>
      <c r="AY51" t="inlineStr">
        <is>
          <t>2267027100002656</t>
        </is>
      </c>
      <c r="AZ51" t="inlineStr">
        <is>
          <t>BOOK</t>
        </is>
      </c>
      <c r="BB51" t="inlineStr">
        <is>
          <t>9780415021067</t>
        </is>
      </c>
      <c r="BC51" t="inlineStr">
        <is>
          <t>32285000206671</t>
        </is>
      </c>
      <c r="BD51" t="inlineStr">
        <is>
          <t>893346385</t>
        </is>
      </c>
    </row>
    <row r="52">
      <c r="A52" t="inlineStr">
        <is>
          <t>No</t>
        </is>
      </c>
      <c r="B52" t="inlineStr">
        <is>
          <t>BT102 .P31713 1990</t>
        </is>
      </c>
      <c r="C52" t="inlineStr">
        <is>
          <t>0                      BT 0102000P  31713       1990</t>
        </is>
      </c>
      <c r="D52" t="inlineStr">
        <is>
          <t>Metaphysics and the idea of God / Wolfhart Pannenberg ; translated by Philip Clayton.</t>
        </is>
      </c>
      <c r="F52" t="inlineStr">
        <is>
          <t>No</t>
        </is>
      </c>
      <c r="G52" t="inlineStr">
        <is>
          <t>1</t>
        </is>
      </c>
      <c r="H52" t="inlineStr">
        <is>
          <t>No</t>
        </is>
      </c>
      <c r="I52" t="inlineStr">
        <is>
          <t>No</t>
        </is>
      </c>
      <c r="J52" t="inlineStr">
        <is>
          <t>0</t>
        </is>
      </c>
      <c r="K52" t="inlineStr">
        <is>
          <t>Pannenberg, Wolfhart, 1928-2014.</t>
        </is>
      </c>
      <c r="L52" t="inlineStr">
        <is>
          <t>Grand Rapids, Mich. : W.B. Eerdmans, c1990.</t>
        </is>
      </c>
      <c r="M52" t="inlineStr">
        <is>
          <t>1990</t>
        </is>
      </c>
      <c r="O52" t="inlineStr">
        <is>
          <t>eng</t>
        </is>
      </c>
      <c r="P52" t="inlineStr">
        <is>
          <t>miu</t>
        </is>
      </c>
      <c r="R52" t="inlineStr">
        <is>
          <t xml:space="preserve">BT </t>
        </is>
      </c>
      <c r="S52" t="n">
        <v>1</v>
      </c>
      <c r="T52" t="n">
        <v>1</v>
      </c>
      <c r="U52" t="inlineStr">
        <is>
          <t>2006-12-08</t>
        </is>
      </c>
      <c r="V52" t="inlineStr">
        <is>
          <t>2006-12-08</t>
        </is>
      </c>
      <c r="W52" t="inlineStr">
        <is>
          <t>1991-01-25</t>
        </is>
      </c>
      <c r="X52" t="inlineStr">
        <is>
          <t>1991-01-25</t>
        </is>
      </c>
      <c r="Y52" t="n">
        <v>562</v>
      </c>
      <c r="Z52" t="n">
        <v>453</v>
      </c>
      <c r="AA52" t="n">
        <v>476</v>
      </c>
      <c r="AB52" t="n">
        <v>5</v>
      </c>
      <c r="AC52" t="n">
        <v>5</v>
      </c>
      <c r="AD52" t="n">
        <v>35</v>
      </c>
      <c r="AE52" t="n">
        <v>37</v>
      </c>
      <c r="AF52" t="n">
        <v>15</v>
      </c>
      <c r="AG52" t="n">
        <v>16</v>
      </c>
      <c r="AH52" t="n">
        <v>8</v>
      </c>
      <c r="AI52" t="n">
        <v>8</v>
      </c>
      <c r="AJ52" t="n">
        <v>20</v>
      </c>
      <c r="AK52" t="n">
        <v>21</v>
      </c>
      <c r="AL52" t="n">
        <v>4</v>
      </c>
      <c r="AM52" t="n">
        <v>4</v>
      </c>
      <c r="AN52" t="n">
        <v>0</v>
      </c>
      <c r="AO52" t="n">
        <v>0</v>
      </c>
      <c r="AP52" t="inlineStr">
        <is>
          <t>No</t>
        </is>
      </c>
      <c r="AQ52" t="inlineStr">
        <is>
          <t>Yes</t>
        </is>
      </c>
      <c r="AR52">
        <f>HYPERLINK("http://catalog.hathitrust.org/Record/002171820","HathiTrust Record")</f>
        <v/>
      </c>
      <c r="AS52">
        <f>HYPERLINK("https://creighton-primo.hosted.exlibrisgroup.com/primo-explore/search?tab=default_tab&amp;search_scope=EVERYTHING&amp;vid=01CRU&amp;lang=en_US&amp;offset=0&amp;query=any,contains,991001649889702656","Catalog Record")</f>
        <v/>
      </c>
      <c r="AT52">
        <f>HYPERLINK("http://www.worldcat.org/oclc/21079793","WorldCat Record")</f>
        <v/>
      </c>
      <c r="AU52" t="inlineStr">
        <is>
          <t>13361977:eng</t>
        </is>
      </c>
      <c r="AV52" t="inlineStr">
        <is>
          <t>21079793</t>
        </is>
      </c>
      <c r="AW52" t="inlineStr">
        <is>
          <t>991001649889702656</t>
        </is>
      </c>
      <c r="AX52" t="inlineStr">
        <is>
          <t>991001649889702656</t>
        </is>
      </c>
      <c r="AY52" t="inlineStr">
        <is>
          <t>2271137260002656</t>
        </is>
      </c>
      <c r="AZ52" t="inlineStr">
        <is>
          <t>BOOK</t>
        </is>
      </c>
      <c r="BB52" t="inlineStr">
        <is>
          <t>9780802836816</t>
        </is>
      </c>
      <c r="BC52" t="inlineStr">
        <is>
          <t>32285000460781</t>
        </is>
      </c>
      <c r="BD52" t="inlineStr">
        <is>
          <t>893225990</t>
        </is>
      </c>
    </row>
    <row r="53">
      <c r="A53" t="inlineStr">
        <is>
          <t>No</t>
        </is>
      </c>
      <c r="B53" t="inlineStr">
        <is>
          <t>BT102 .P34 1989</t>
        </is>
      </c>
      <c r="C53" t="inlineStr">
        <is>
          <t>0                      BT 0102000P  34          1989</t>
        </is>
      </c>
      <c r="D53" t="inlineStr">
        <is>
          <t>God and the burden of proof : Plantinga, Swinburne, and the analytic defense of theism / Keith M. Parsons.</t>
        </is>
      </c>
      <c r="F53" t="inlineStr">
        <is>
          <t>No</t>
        </is>
      </c>
      <c r="G53" t="inlineStr">
        <is>
          <t>1</t>
        </is>
      </c>
      <c r="H53" t="inlineStr">
        <is>
          <t>No</t>
        </is>
      </c>
      <c r="I53" t="inlineStr">
        <is>
          <t>No</t>
        </is>
      </c>
      <c r="J53" t="inlineStr">
        <is>
          <t>0</t>
        </is>
      </c>
      <c r="K53" t="inlineStr">
        <is>
          <t>Parsons, Keith M., 1952-</t>
        </is>
      </c>
      <c r="L53" t="inlineStr">
        <is>
          <t>Buffalo, N.Y. : Prometheus Books, 1989.</t>
        </is>
      </c>
      <c r="M53" t="inlineStr">
        <is>
          <t>1989</t>
        </is>
      </c>
      <c r="O53" t="inlineStr">
        <is>
          <t>eng</t>
        </is>
      </c>
      <c r="P53" t="inlineStr">
        <is>
          <t>nyu</t>
        </is>
      </c>
      <c r="Q53" t="inlineStr">
        <is>
          <t>Frontiers of philosophy</t>
        </is>
      </c>
      <c r="R53" t="inlineStr">
        <is>
          <t xml:space="preserve">BT </t>
        </is>
      </c>
      <c r="S53" t="n">
        <v>8</v>
      </c>
      <c r="T53" t="n">
        <v>8</v>
      </c>
      <c r="U53" t="inlineStr">
        <is>
          <t>2003-11-02</t>
        </is>
      </c>
      <c r="V53" t="inlineStr">
        <is>
          <t>2003-11-02</t>
        </is>
      </c>
      <c r="W53" t="inlineStr">
        <is>
          <t>1994-04-25</t>
        </is>
      </c>
      <c r="X53" t="inlineStr">
        <is>
          <t>1994-04-25</t>
        </is>
      </c>
      <c r="Y53" t="n">
        <v>282</v>
      </c>
      <c r="Z53" t="n">
        <v>223</v>
      </c>
      <c r="AA53" t="n">
        <v>226</v>
      </c>
      <c r="AB53" t="n">
        <v>3</v>
      </c>
      <c r="AC53" t="n">
        <v>3</v>
      </c>
      <c r="AD53" t="n">
        <v>13</v>
      </c>
      <c r="AE53" t="n">
        <v>13</v>
      </c>
      <c r="AF53" t="n">
        <v>5</v>
      </c>
      <c r="AG53" t="n">
        <v>5</v>
      </c>
      <c r="AH53" t="n">
        <v>1</v>
      </c>
      <c r="AI53" t="n">
        <v>1</v>
      </c>
      <c r="AJ53" t="n">
        <v>10</v>
      </c>
      <c r="AK53" t="n">
        <v>10</v>
      </c>
      <c r="AL53" t="n">
        <v>2</v>
      </c>
      <c r="AM53" t="n">
        <v>2</v>
      </c>
      <c r="AN53" t="n">
        <v>0</v>
      </c>
      <c r="AO53" t="n">
        <v>0</v>
      </c>
      <c r="AP53" t="inlineStr">
        <is>
          <t>No</t>
        </is>
      </c>
      <c r="AQ53" t="inlineStr">
        <is>
          <t>Yes</t>
        </is>
      </c>
      <c r="AR53">
        <f>HYPERLINK("http://catalog.hathitrust.org/Record/001842122","HathiTrust Record")</f>
        <v/>
      </c>
      <c r="AS53">
        <f>HYPERLINK("https://creighton-primo.hosted.exlibrisgroup.com/primo-explore/search?tab=default_tab&amp;search_scope=EVERYTHING&amp;vid=01CRU&amp;lang=en_US&amp;offset=0&amp;query=any,contains,991001520669702656","Catalog Record")</f>
        <v/>
      </c>
      <c r="AT53">
        <f>HYPERLINK("http://www.worldcat.org/oclc/19975733","WorldCat Record")</f>
        <v/>
      </c>
      <c r="AU53" t="inlineStr">
        <is>
          <t>21551303:eng</t>
        </is>
      </c>
      <c r="AV53" t="inlineStr">
        <is>
          <t>19975733</t>
        </is>
      </c>
      <c r="AW53" t="inlineStr">
        <is>
          <t>991001520669702656</t>
        </is>
      </c>
      <c r="AX53" t="inlineStr">
        <is>
          <t>991001520669702656</t>
        </is>
      </c>
      <c r="AY53" t="inlineStr">
        <is>
          <t>2254723710002656</t>
        </is>
      </c>
      <c r="AZ53" t="inlineStr">
        <is>
          <t>BOOK</t>
        </is>
      </c>
      <c r="BB53" t="inlineStr">
        <is>
          <t>9780879755515</t>
        </is>
      </c>
      <c r="BC53" t="inlineStr">
        <is>
          <t>32285001877454</t>
        </is>
      </c>
      <c r="BD53" t="inlineStr">
        <is>
          <t>893444707</t>
        </is>
      </c>
    </row>
    <row r="54">
      <c r="A54" t="inlineStr">
        <is>
          <t>No</t>
        </is>
      </c>
      <c r="B54" t="inlineStr">
        <is>
          <t>BT102 .P725 1999</t>
        </is>
      </c>
      <c r="C54" t="inlineStr">
        <is>
          <t>0                      BT 0102000P  725         1999</t>
        </is>
      </c>
      <c r="D54" t="inlineStr">
        <is>
          <t>Letter to a man in the fire : does God exist and does He care? / Reynolds Price.</t>
        </is>
      </c>
      <c r="F54" t="inlineStr">
        <is>
          <t>No</t>
        </is>
      </c>
      <c r="G54" t="inlineStr">
        <is>
          <t>1</t>
        </is>
      </c>
      <c r="H54" t="inlineStr">
        <is>
          <t>No</t>
        </is>
      </c>
      <c r="I54" t="inlineStr">
        <is>
          <t>No</t>
        </is>
      </c>
      <c r="J54" t="inlineStr">
        <is>
          <t>0</t>
        </is>
      </c>
      <c r="K54" t="inlineStr">
        <is>
          <t>Price, Reynolds, 1933-2011.</t>
        </is>
      </c>
      <c r="L54" t="inlineStr">
        <is>
          <t>New York : Scribner, c1999.</t>
        </is>
      </c>
      <c r="M54" t="inlineStr">
        <is>
          <t>1999</t>
        </is>
      </c>
      <c r="O54" t="inlineStr">
        <is>
          <t>eng</t>
        </is>
      </c>
      <c r="P54" t="inlineStr">
        <is>
          <t>nyu</t>
        </is>
      </c>
      <c r="R54" t="inlineStr">
        <is>
          <t xml:space="preserve">BT </t>
        </is>
      </c>
      <c r="S54" t="n">
        <v>3</v>
      </c>
      <c r="T54" t="n">
        <v>3</v>
      </c>
      <c r="U54" t="inlineStr">
        <is>
          <t>1999-06-16</t>
        </is>
      </c>
      <c r="V54" t="inlineStr">
        <is>
          <t>1999-06-16</t>
        </is>
      </c>
      <c r="W54" t="inlineStr">
        <is>
          <t>1999-04-12</t>
        </is>
      </c>
      <c r="X54" t="inlineStr">
        <is>
          <t>1999-04-12</t>
        </is>
      </c>
      <c r="Y54" t="n">
        <v>749</v>
      </c>
      <c r="Z54" t="n">
        <v>714</v>
      </c>
      <c r="AA54" t="n">
        <v>792</v>
      </c>
      <c r="AB54" t="n">
        <v>4</v>
      </c>
      <c r="AC54" t="n">
        <v>5</v>
      </c>
      <c r="AD54" t="n">
        <v>23</v>
      </c>
      <c r="AE54" t="n">
        <v>25</v>
      </c>
      <c r="AF54" t="n">
        <v>8</v>
      </c>
      <c r="AG54" t="n">
        <v>8</v>
      </c>
      <c r="AH54" t="n">
        <v>5</v>
      </c>
      <c r="AI54" t="n">
        <v>5</v>
      </c>
      <c r="AJ54" t="n">
        <v>15</v>
      </c>
      <c r="AK54" t="n">
        <v>16</v>
      </c>
      <c r="AL54" t="n">
        <v>2</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HYPERLINK("https://creighton-primo.hosted.exlibrisgroup.com/primo-explore/search?tab=default_tab&amp;search_scope=EVERYTHING&amp;vid=01CRU&amp;lang=en_US&amp;offset=0&amp;query=any,contains,991002997449702656","Catalog Record")</f>
        <v/>
      </c>
      <c r="AT54">
        <f>HYPERLINK("http://www.worldcat.org/oclc/40543918","WorldCat Record")</f>
        <v/>
      </c>
      <c r="AU54" t="inlineStr">
        <is>
          <t>771843824:eng</t>
        </is>
      </c>
      <c r="AV54" t="inlineStr">
        <is>
          <t>40543918</t>
        </is>
      </c>
      <c r="AW54" t="inlineStr">
        <is>
          <t>991002997449702656</t>
        </is>
      </c>
      <c r="AX54" t="inlineStr">
        <is>
          <t>991002997449702656</t>
        </is>
      </c>
      <c r="AY54" t="inlineStr">
        <is>
          <t>2262945350002656</t>
        </is>
      </c>
      <c r="AZ54" t="inlineStr">
        <is>
          <t>BOOK</t>
        </is>
      </c>
      <c r="BB54" t="inlineStr">
        <is>
          <t>9780684856261</t>
        </is>
      </c>
      <c r="BC54" t="inlineStr">
        <is>
          <t>32285003551065</t>
        </is>
      </c>
      <c r="BD54" t="inlineStr">
        <is>
          <t>893535296</t>
        </is>
      </c>
    </row>
    <row r="55">
      <c r="A55" t="inlineStr">
        <is>
          <t>No</t>
        </is>
      </c>
      <c r="B55" t="inlineStr">
        <is>
          <t>BT102 .R62</t>
        </is>
      </c>
      <c r="C55" t="inlineStr">
        <is>
          <t>0                      BT 0102000R  62</t>
        </is>
      </c>
      <c r="D55" t="inlineStr">
        <is>
          <t>Exploration into God / [by] John A. T. Robinson.</t>
        </is>
      </c>
      <c r="F55" t="inlineStr">
        <is>
          <t>No</t>
        </is>
      </c>
      <c r="G55" t="inlineStr">
        <is>
          <t>1</t>
        </is>
      </c>
      <c r="H55" t="inlineStr">
        <is>
          <t>No</t>
        </is>
      </c>
      <c r="I55" t="inlineStr">
        <is>
          <t>No</t>
        </is>
      </c>
      <c r="J55" t="inlineStr">
        <is>
          <t>0</t>
        </is>
      </c>
      <c r="K55" t="inlineStr">
        <is>
          <t>Robinson, John A. T. (John Arthur Thomas), 1919-1983.</t>
        </is>
      </c>
      <c r="L55" t="inlineStr">
        <is>
          <t>Stanford, Calif., Stanford University Press, 1967.</t>
        </is>
      </c>
      <c r="M55" t="inlineStr">
        <is>
          <t>1967</t>
        </is>
      </c>
      <c r="O55" t="inlineStr">
        <is>
          <t>eng</t>
        </is>
      </c>
      <c r="P55" t="inlineStr">
        <is>
          <t>cau</t>
        </is>
      </c>
      <c r="R55" t="inlineStr">
        <is>
          <t xml:space="preserve">BT </t>
        </is>
      </c>
      <c r="S55" t="n">
        <v>1</v>
      </c>
      <c r="T55" t="n">
        <v>1</v>
      </c>
      <c r="U55" t="inlineStr">
        <is>
          <t>2008-11-18</t>
        </is>
      </c>
      <c r="V55" t="inlineStr">
        <is>
          <t>2008-11-18</t>
        </is>
      </c>
      <c r="W55" t="inlineStr">
        <is>
          <t>1991-07-30</t>
        </is>
      </c>
      <c r="X55" t="inlineStr">
        <is>
          <t>1991-07-30</t>
        </is>
      </c>
      <c r="Y55" t="n">
        <v>775</v>
      </c>
      <c r="Z55" t="n">
        <v>706</v>
      </c>
      <c r="AA55" t="n">
        <v>725</v>
      </c>
      <c r="AB55" t="n">
        <v>10</v>
      </c>
      <c r="AC55" t="n">
        <v>10</v>
      </c>
      <c r="AD55" t="n">
        <v>43</v>
      </c>
      <c r="AE55" t="n">
        <v>44</v>
      </c>
      <c r="AF55" t="n">
        <v>14</v>
      </c>
      <c r="AG55" t="n">
        <v>14</v>
      </c>
      <c r="AH55" t="n">
        <v>9</v>
      </c>
      <c r="AI55" t="n">
        <v>10</v>
      </c>
      <c r="AJ55" t="n">
        <v>24</v>
      </c>
      <c r="AK55" t="n">
        <v>25</v>
      </c>
      <c r="AL55" t="n">
        <v>7</v>
      </c>
      <c r="AM55" t="n">
        <v>7</v>
      </c>
      <c r="AN55" t="n">
        <v>0</v>
      </c>
      <c r="AO55" t="n">
        <v>0</v>
      </c>
      <c r="AP55" t="inlineStr">
        <is>
          <t>No</t>
        </is>
      </c>
      <c r="AQ55" t="inlineStr">
        <is>
          <t>No</t>
        </is>
      </c>
      <c r="AS55">
        <f>HYPERLINK("https://creighton-primo.hosted.exlibrisgroup.com/primo-explore/search?tab=default_tab&amp;search_scope=EVERYTHING&amp;vid=01CRU&amp;lang=en_US&amp;offset=0&amp;query=any,contains,991002401059702656","Catalog Record")</f>
        <v/>
      </c>
      <c r="AT55">
        <f>HYPERLINK("http://www.worldcat.org/oclc/336728","WorldCat Record")</f>
        <v/>
      </c>
      <c r="AU55" t="inlineStr">
        <is>
          <t>102713921:eng</t>
        </is>
      </c>
      <c r="AV55" t="inlineStr">
        <is>
          <t>336728</t>
        </is>
      </c>
      <c r="AW55" t="inlineStr">
        <is>
          <t>991002401059702656</t>
        </is>
      </c>
      <c r="AX55" t="inlineStr">
        <is>
          <t>991002401059702656</t>
        </is>
      </c>
      <c r="AY55" t="inlineStr">
        <is>
          <t>2254892230002656</t>
        </is>
      </c>
      <c r="AZ55" t="inlineStr">
        <is>
          <t>BOOK</t>
        </is>
      </c>
      <c r="BC55" t="inlineStr">
        <is>
          <t>32285000692466</t>
        </is>
      </c>
      <c r="BD55" t="inlineStr">
        <is>
          <t>893329023</t>
        </is>
      </c>
    </row>
    <row r="56">
      <c r="A56" t="inlineStr">
        <is>
          <t>No</t>
        </is>
      </c>
      <c r="B56" t="inlineStr">
        <is>
          <t>BT102 .S713</t>
        </is>
      </c>
      <c r="C56" t="inlineStr">
        <is>
          <t>0                      BT 0102000S  713</t>
        </is>
      </c>
      <c r="D56" t="inlineStr">
        <is>
          <t>Hidden God : how do we know that God exists? / translated by Theodore Crowley.</t>
        </is>
      </c>
      <c r="F56" t="inlineStr">
        <is>
          <t>No</t>
        </is>
      </c>
      <c r="G56" t="inlineStr">
        <is>
          <t>1</t>
        </is>
      </c>
      <c r="H56" t="inlineStr">
        <is>
          <t>No</t>
        </is>
      </c>
      <c r="I56" t="inlineStr">
        <is>
          <t>No</t>
        </is>
      </c>
      <c r="J56" t="inlineStr">
        <is>
          <t>0</t>
        </is>
      </c>
      <c r="K56" t="inlineStr">
        <is>
          <t>Steenberghen, Fernand van, 1904-1993.</t>
        </is>
      </c>
      <c r="L56" t="inlineStr">
        <is>
          <t>Louvain, Publications universitaires de Louvain; St.Louis, B.Herder Book Co., 1966.</t>
        </is>
      </c>
      <c r="M56" t="inlineStr">
        <is>
          <t>1966</t>
        </is>
      </c>
      <c r="O56" t="inlineStr">
        <is>
          <t>eng</t>
        </is>
      </c>
      <c r="P56" t="inlineStr">
        <is>
          <t>___</t>
        </is>
      </c>
      <c r="R56" t="inlineStr">
        <is>
          <t xml:space="preserve">BT </t>
        </is>
      </c>
      <c r="S56" t="n">
        <v>1</v>
      </c>
      <c r="T56" t="n">
        <v>1</v>
      </c>
      <c r="U56" t="inlineStr">
        <is>
          <t>1997-03-28</t>
        </is>
      </c>
      <c r="V56" t="inlineStr">
        <is>
          <t>1997-03-28</t>
        </is>
      </c>
      <c r="W56" t="inlineStr">
        <is>
          <t>1991-07-30</t>
        </is>
      </c>
      <c r="X56" t="inlineStr">
        <is>
          <t>1991-07-30</t>
        </is>
      </c>
      <c r="Y56" t="n">
        <v>256</v>
      </c>
      <c r="Z56" t="n">
        <v>209</v>
      </c>
      <c r="AA56" t="n">
        <v>217</v>
      </c>
      <c r="AB56" t="n">
        <v>3</v>
      </c>
      <c r="AC56" t="n">
        <v>3</v>
      </c>
      <c r="AD56" t="n">
        <v>25</v>
      </c>
      <c r="AE56" t="n">
        <v>25</v>
      </c>
      <c r="AF56" t="n">
        <v>6</v>
      </c>
      <c r="AG56" t="n">
        <v>6</v>
      </c>
      <c r="AH56" t="n">
        <v>6</v>
      </c>
      <c r="AI56" t="n">
        <v>6</v>
      </c>
      <c r="AJ56" t="n">
        <v>21</v>
      </c>
      <c r="AK56" t="n">
        <v>21</v>
      </c>
      <c r="AL56" t="n">
        <v>0</v>
      </c>
      <c r="AM56" t="n">
        <v>0</v>
      </c>
      <c r="AN56" t="n">
        <v>0</v>
      </c>
      <c r="AO56" t="n">
        <v>0</v>
      </c>
      <c r="AP56" t="inlineStr">
        <is>
          <t>No</t>
        </is>
      </c>
      <c r="AQ56" t="inlineStr">
        <is>
          <t>Yes</t>
        </is>
      </c>
      <c r="AR56">
        <f>HYPERLINK("http://catalog.hathitrust.org/Record/005545543","HathiTrust Record")</f>
        <v/>
      </c>
      <c r="AS56">
        <f>HYPERLINK("https://creighton-primo.hosted.exlibrisgroup.com/primo-explore/search?tab=default_tab&amp;search_scope=EVERYTHING&amp;vid=01CRU&amp;lang=en_US&amp;offset=0&amp;query=any,contains,991003124969702656","Catalog Record")</f>
        <v/>
      </c>
      <c r="AT56">
        <f>HYPERLINK("http://www.worldcat.org/oclc/669676","WorldCat Record")</f>
        <v/>
      </c>
      <c r="AU56" t="inlineStr">
        <is>
          <t>3901100630:eng</t>
        </is>
      </c>
      <c r="AV56" t="inlineStr">
        <is>
          <t>669676</t>
        </is>
      </c>
      <c r="AW56" t="inlineStr">
        <is>
          <t>991003124969702656</t>
        </is>
      </c>
      <c r="AX56" t="inlineStr">
        <is>
          <t>991003124969702656</t>
        </is>
      </c>
      <c r="AY56" t="inlineStr">
        <is>
          <t>2256158550002656</t>
        </is>
      </c>
      <c r="AZ56" t="inlineStr">
        <is>
          <t>BOOK</t>
        </is>
      </c>
      <c r="BC56" t="inlineStr">
        <is>
          <t>32285000692508</t>
        </is>
      </c>
      <c r="BD56" t="inlineStr">
        <is>
          <t>893524440</t>
        </is>
      </c>
    </row>
    <row r="57">
      <c r="A57" t="inlineStr">
        <is>
          <t>No</t>
        </is>
      </c>
      <c r="B57" t="inlineStr">
        <is>
          <t>BT102 .T52 1995</t>
        </is>
      </c>
      <c r="C57" t="inlineStr">
        <is>
          <t>0                      BT 0102000T  52          1995</t>
        </is>
      </c>
      <c r="D57" t="inlineStr">
        <is>
          <t>Interpreting God and the postmodern self : on meaning, manipulation, and promise / Anthony C. Thiselton.</t>
        </is>
      </c>
      <c r="F57" t="inlineStr">
        <is>
          <t>No</t>
        </is>
      </c>
      <c r="G57" t="inlineStr">
        <is>
          <t>1</t>
        </is>
      </c>
      <c r="H57" t="inlineStr">
        <is>
          <t>No</t>
        </is>
      </c>
      <c r="I57" t="inlineStr">
        <is>
          <t>No</t>
        </is>
      </c>
      <c r="J57" t="inlineStr">
        <is>
          <t>0</t>
        </is>
      </c>
      <c r="K57" t="inlineStr">
        <is>
          <t>Thiselton, Anthony C.</t>
        </is>
      </c>
      <c r="L57" t="inlineStr">
        <is>
          <t>Grand Rapids, Mich. : W.B. Eerdmans Pub. Co., 1995.</t>
        </is>
      </c>
      <c r="M57" t="inlineStr">
        <is>
          <t>1995</t>
        </is>
      </c>
      <c r="O57" t="inlineStr">
        <is>
          <t>eng</t>
        </is>
      </c>
      <c r="P57" t="inlineStr">
        <is>
          <t>miu</t>
        </is>
      </c>
      <c r="R57" t="inlineStr">
        <is>
          <t xml:space="preserve">BT </t>
        </is>
      </c>
      <c r="S57" t="n">
        <v>3</v>
      </c>
      <c r="T57" t="n">
        <v>3</v>
      </c>
      <c r="U57" t="inlineStr">
        <is>
          <t>2000-03-27</t>
        </is>
      </c>
      <c r="V57" t="inlineStr">
        <is>
          <t>2000-03-27</t>
        </is>
      </c>
      <c r="W57" t="inlineStr">
        <is>
          <t>1996-05-31</t>
        </is>
      </c>
      <c r="X57" t="inlineStr">
        <is>
          <t>1996-05-31</t>
        </is>
      </c>
      <c r="Y57" t="n">
        <v>284</v>
      </c>
      <c r="Z57" t="n">
        <v>238</v>
      </c>
      <c r="AA57" t="n">
        <v>253</v>
      </c>
      <c r="AB57" t="n">
        <v>2</v>
      </c>
      <c r="AC57" t="n">
        <v>2</v>
      </c>
      <c r="AD57" t="n">
        <v>17</v>
      </c>
      <c r="AE57" t="n">
        <v>19</v>
      </c>
      <c r="AF57" t="n">
        <v>7</v>
      </c>
      <c r="AG57" t="n">
        <v>7</v>
      </c>
      <c r="AH57" t="n">
        <v>3</v>
      </c>
      <c r="AI57" t="n">
        <v>4</v>
      </c>
      <c r="AJ57" t="n">
        <v>10</v>
      </c>
      <c r="AK57" t="n">
        <v>12</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HYPERLINK("https://creighton-primo.hosted.exlibrisgroup.com/primo-explore/search?tab=default_tab&amp;search_scope=EVERYTHING&amp;vid=01CRU&amp;lang=en_US&amp;offset=0&amp;query=any,contains,991002544759702656","Catalog Record")</f>
        <v/>
      </c>
      <c r="AT57">
        <f>HYPERLINK("http://www.worldcat.org/oclc/33078178","WorldCat Record")</f>
        <v/>
      </c>
      <c r="AU57" t="inlineStr">
        <is>
          <t>837038054:eng</t>
        </is>
      </c>
      <c r="AV57" t="inlineStr">
        <is>
          <t>33078178</t>
        </is>
      </c>
      <c r="AW57" t="inlineStr">
        <is>
          <t>991002544759702656</t>
        </is>
      </c>
      <c r="AX57" t="inlineStr">
        <is>
          <t>991002544759702656</t>
        </is>
      </c>
      <c r="AY57" t="inlineStr">
        <is>
          <t>2256703260002656</t>
        </is>
      </c>
      <c r="AZ57" t="inlineStr">
        <is>
          <t>BOOK</t>
        </is>
      </c>
      <c r="BB57" t="inlineStr">
        <is>
          <t>9780802841285</t>
        </is>
      </c>
      <c r="BC57" t="inlineStr">
        <is>
          <t>32285002186202</t>
        </is>
      </c>
      <c r="BD57" t="inlineStr">
        <is>
          <t>893616251</t>
        </is>
      </c>
    </row>
    <row r="58">
      <c r="A58" t="inlineStr">
        <is>
          <t>No</t>
        </is>
      </c>
      <c r="B58" t="inlineStr">
        <is>
          <t>BT102 .V3713 1983</t>
        </is>
      </c>
      <c r="C58" t="inlineStr">
        <is>
          <t>0                      BT 0102000V  3713        1983</t>
        </is>
      </c>
      <c r="D58" t="inlineStr">
        <is>
          <t>The humility and suffering of God / François Varillon ; translated by Nelly Marans.</t>
        </is>
      </c>
      <c r="F58" t="inlineStr">
        <is>
          <t>No</t>
        </is>
      </c>
      <c r="G58" t="inlineStr">
        <is>
          <t>1</t>
        </is>
      </c>
      <c r="H58" t="inlineStr">
        <is>
          <t>No</t>
        </is>
      </c>
      <c r="I58" t="inlineStr">
        <is>
          <t>No</t>
        </is>
      </c>
      <c r="J58" t="inlineStr">
        <is>
          <t>0</t>
        </is>
      </c>
      <c r="K58" t="inlineStr">
        <is>
          <t>Varillon, François, 1905-1978.</t>
        </is>
      </c>
      <c r="L58" t="inlineStr">
        <is>
          <t>New York, N.Y. : Alba House. c1983.</t>
        </is>
      </c>
      <c r="M58" t="inlineStr">
        <is>
          <t>1983</t>
        </is>
      </c>
      <c r="O58" t="inlineStr">
        <is>
          <t>eng</t>
        </is>
      </c>
      <c r="P58" t="inlineStr">
        <is>
          <t>nyu</t>
        </is>
      </c>
      <c r="R58" t="inlineStr">
        <is>
          <t xml:space="preserve">BT </t>
        </is>
      </c>
      <c r="S58" t="n">
        <v>1</v>
      </c>
      <c r="T58" t="n">
        <v>1</v>
      </c>
      <c r="U58" t="inlineStr">
        <is>
          <t>2002-08-06</t>
        </is>
      </c>
      <c r="V58" t="inlineStr">
        <is>
          <t>2002-08-06</t>
        </is>
      </c>
      <c r="W58" t="inlineStr">
        <is>
          <t>2002-08-06</t>
        </is>
      </c>
      <c r="X58" t="inlineStr">
        <is>
          <t>2002-08-06</t>
        </is>
      </c>
      <c r="Y58" t="n">
        <v>101</v>
      </c>
      <c r="Z58" t="n">
        <v>93</v>
      </c>
      <c r="AA58" t="n">
        <v>98</v>
      </c>
      <c r="AB58" t="n">
        <v>2</v>
      </c>
      <c r="AC58" t="n">
        <v>2</v>
      </c>
      <c r="AD58" t="n">
        <v>7</v>
      </c>
      <c r="AE58" t="n">
        <v>7</v>
      </c>
      <c r="AF58" t="n">
        <v>1</v>
      </c>
      <c r="AG58" t="n">
        <v>1</v>
      </c>
      <c r="AH58" t="n">
        <v>3</v>
      </c>
      <c r="AI58" t="n">
        <v>3</v>
      </c>
      <c r="AJ58" t="n">
        <v>4</v>
      </c>
      <c r="AK58" t="n">
        <v>4</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HYPERLINK("https://creighton-primo.hosted.exlibrisgroup.com/primo-explore/search?tab=default_tab&amp;search_scope=EVERYTHING&amp;vid=01CRU&amp;lang=en_US&amp;offset=0&amp;query=any,contains,991003852069702656","Catalog Record")</f>
        <v/>
      </c>
      <c r="AT58">
        <f>HYPERLINK("http://www.worldcat.org/oclc/9282495","WorldCat Record")</f>
        <v/>
      </c>
      <c r="AU58" t="inlineStr">
        <is>
          <t>43125091:eng</t>
        </is>
      </c>
      <c r="AV58" t="inlineStr">
        <is>
          <t>9282495</t>
        </is>
      </c>
      <c r="AW58" t="inlineStr">
        <is>
          <t>991003852069702656</t>
        </is>
      </c>
      <c r="AX58" t="inlineStr">
        <is>
          <t>991003852069702656</t>
        </is>
      </c>
      <c r="AY58" t="inlineStr">
        <is>
          <t>2259977690002656</t>
        </is>
      </c>
      <c r="AZ58" t="inlineStr">
        <is>
          <t>BOOK</t>
        </is>
      </c>
      <c r="BB58" t="inlineStr">
        <is>
          <t>9780818904486</t>
        </is>
      </c>
      <c r="BC58" t="inlineStr">
        <is>
          <t>32285004642038</t>
        </is>
      </c>
      <c r="BD58" t="inlineStr">
        <is>
          <t>893627813</t>
        </is>
      </c>
    </row>
    <row r="59">
      <c r="A59" t="inlineStr">
        <is>
          <t>No</t>
        </is>
      </c>
      <c r="B59" t="inlineStr">
        <is>
          <t>BT102 .W4</t>
        </is>
      </c>
      <c r="C59" t="inlineStr">
        <is>
          <t>0                      BT 0102000W  4</t>
        </is>
      </c>
      <c r="D59" t="inlineStr">
        <is>
          <t>Religion and the knowledge of God / Gustave Weigel, Arthur G. Madden.</t>
        </is>
      </c>
      <c r="F59" t="inlineStr">
        <is>
          <t>No</t>
        </is>
      </c>
      <c r="G59" t="inlineStr">
        <is>
          <t>1</t>
        </is>
      </c>
      <c r="H59" t="inlineStr">
        <is>
          <t>Yes</t>
        </is>
      </c>
      <c r="I59" t="inlineStr">
        <is>
          <t>No</t>
        </is>
      </c>
      <c r="J59" t="inlineStr">
        <is>
          <t>0</t>
        </is>
      </c>
      <c r="K59" t="inlineStr">
        <is>
          <t>Weigel, Gustave, 1906-1964.</t>
        </is>
      </c>
      <c r="L59" t="inlineStr">
        <is>
          <t>Englewood Cliffs, N.J., Prentice-Hall [1961]</t>
        </is>
      </c>
      <c r="M59" t="inlineStr">
        <is>
          <t>1961</t>
        </is>
      </c>
      <c r="O59" t="inlineStr">
        <is>
          <t>eng</t>
        </is>
      </c>
      <c r="P59" t="inlineStr">
        <is>
          <t>___</t>
        </is>
      </c>
      <c r="Q59" t="inlineStr">
        <is>
          <t>A Spectrum book, S-21</t>
        </is>
      </c>
      <c r="R59" t="inlineStr">
        <is>
          <t xml:space="preserve">BT </t>
        </is>
      </c>
      <c r="S59" t="n">
        <v>3</v>
      </c>
      <c r="T59" t="n">
        <v>3</v>
      </c>
      <c r="U59" t="inlineStr">
        <is>
          <t>1995-12-05</t>
        </is>
      </c>
      <c r="V59" t="inlineStr">
        <is>
          <t>1995-12-05</t>
        </is>
      </c>
      <c r="W59" t="inlineStr">
        <is>
          <t>1991-07-30</t>
        </is>
      </c>
      <c r="X59" t="inlineStr">
        <is>
          <t>1991-07-30</t>
        </is>
      </c>
      <c r="Y59" t="n">
        <v>488</v>
      </c>
      <c r="Z59" t="n">
        <v>428</v>
      </c>
      <c r="AA59" t="n">
        <v>443</v>
      </c>
      <c r="AB59" t="n">
        <v>3</v>
      </c>
      <c r="AC59" t="n">
        <v>3</v>
      </c>
      <c r="AD59" t="n">
        <v>29</v>
      </c>
      <c r="AE59" t="n">
        <v>29</v>
      </c>
      <c r="AF59" t="n">
        <v>7</v>
      </c>
      <c r="AG59" t="n">
        <v>7</v>
      </c>
      <c r="AH59" t="n">
        <v>9</v>
      </c>
      <c r="AI59" t="n">
        <v>9</v>
      </c>
      <c r="AJ59" t="n">
        <v>22</v>
      </c>
      <c r="AK59" t="n">
        <v>22</v>
      </c>
      <c r="AL59" t="n">
        <v>1</v>
      </c>
      <c r="AM59" t="n">
        <v>1</v>
      </c>
      <c r="AN59" t="n">
        <v>0</v>
      </c>
      <c r="AO59" t="n">
        <v>0</v>
      </c>
      <c r="AP59" t="inlineStr">
        <is>
          <t>Yes</t>
        </is>
      </c>
      <c r="AQ59" t="inlineStr">
        <is>
          <t>No</t>
        </is>
      </c>
      <c r="AR59">
        <f>HYPERLINK("http://catalog.hathitrust.org/Record/009906958","HathiTrust Record")</f>
        <v/>
      </c>
      <c r="AS59">
        <f>HYPERLINK("https://creighton-primo.hosted.exlibrisgroup.com/primo-explore/search?tab=default_tab&amp;search_scope=EVERYTHING&amp;vid=01CRU&amp;lang=en_US&amp;offset=0&amp;query=any,contains,991002636009702656","Catalog Record")</f>
        <v/>
      </c>
      <c r="AT59">
        <f>HYPERLINK("http://www.worldcat.org/oclc/382599","WorldCat Record")</f>
        <v/>
      </c>
      <c r="AU59" t="inlineStr">
        <is>
          <t>1497905:eng</t>
        </is>
      </c>
      <c r="AV59" t="inlineStr">
        <is>
          <t>382599</t>
        </is>
      </c>
      <c r="AW59" t="inlineStr">
        <is>
          <t>991002636009702656</t>
        </is>
      </c>
      <c r="AX59" t="inlineStr">
        <is>
          <t>991002636009702656</t>
        </is>
      </c>
      <c r="AY59" t="inlineStr">
        <is>
          <t>2260058570002656</t>
        </is>
      </c>
      <c r="AZ59" t="inlineStr">
        <is>
          <t>BOOK</t>
        </is>
      </c>
      <c r="BC59" t="inlineStr">
        <is>
          <t>32285000692565</t>
        </is>
      </c>
      <c r="BD59" t="inlineStr">
        <is>
          <t>893329335</t>
        </is>
      </c>
    </row>
    <row r="60">
      <c r="A60" t="inlineStr">
        <is>
          <t>No</t>
        </is>
      </c>
      <c r="B60" t="inlineStr">
        <is>
          <t>BT102 .W4</t>
        </is>
      </c>
      <c r="C60" t="inlineStr">
        <is>
          <t>0                      BT 0102000W  4</t>
        </is>
      </c>
      <c r="D60" t="inlineStr">
        <is>
          <t>Religion and the knowledge of God / Gustave Weigel, Arthur G. Madden.</t>
        </is>
      </c>
      <c r="F60" t="inlineStr">
        <is>
          <t>No</t>
        </is>
      </c>
      <c r="G60" t="inlineStr">
        <is>
          <t>1</t>
        </is>
      </c>
      <c r="H60" t="inlineStr">
        <is>
          <t>Yes</t>
        </is>
      </c>
      <c r="I60" t="inlineStr">
        <is>
          <t>No</t>
        </is>
      </c>
      <c r="J60" t="inlineStr">
        <is>
          <t>0</t>
        </is>
      </c>
      <c r="K60" t="inlineStr">
        <is>
          <t>Weigel, Gustave, 1906-1964.</t>
        </is>
      </c>
      <c r="L60" t="inlineStr">
        <is>
          <t>Englewood Cliffs, N.J., Prentice-Hall [1961]</t>
        </is>
      </c>
      <c r="M60" t="inlineStr">
        <is>
          <t>1961</t>
        </is>
      </c>
      <c r="O60" t="inlineStr">
        <is>
          <t>eng</t>
        </is>
      </c>
      <c r="P60" t="inlineStr">
        <is>
          <t>___</t>
        </is>
      </c>
      <c r="Q60" t="inlineStr">
        <is>
          <t>A Spectrum book, S-21</t>
        </is>
      </c>
      <c r="R60" t="inlineStr">
        <is>
          <t xml:space="preserve">BT </t>
        </is>
      </c>
      <c r="S60" t="n">
        <v>0</v>
      </c>
      <c r="T60" t="n">
        <v>3</v>
      </c>
      <c r="V60" t="inlineStr">
        <is>
          <t>1995-12-05</t>
        </is>
      </c>
      <c r="W60" t="inlineStr">
        <is>
          <t>1991-07-30</t>
        </is>
      </c>
      <c r="X60" t="inlineStr">
        <is>
          <t>1991-07-30</t>
        </is>
      </c>
      <c r="Y60" t="n">
        <v>488</v>
      </c>
      <c r="Z60" t="n">
        <v>428</v>
      </c>
      <c r="AA60" t="n">
        <v>443</v>
      </c>
      <c r="AB60" t="n">
        <v>3</v>
      </c>
      <c r="AC60" t="n">
        <v>3</v>
      </c>
      <c r="AD60" t="n">
        <v>29</v>
      </c>
      <c r="AE60" t="n">
        <v>29</v>
      </c>
      <c r="AF60" t="n">
        <v>7</v>
      </c>
      <c r="AG60" t="n">
        <v>7</v>
      </c>
      <c r="AH60" t="n">
        <v>9</v>
      </c>
      <c r="AI60" t="n">
        <v>9</v>
      </c>
      <c r="AJ60" t="n">
        <v>22</v>
      </c>
      <c r="AK60" t="n">
        <v>22</v>
      </c>
      <c r="AL60" t="n">
        <v>1</v>
      </c>
      <c r="AM60" t="n">
        <v>1</v>
      </c>
      <c r="AN60" t="n">
        <v>0</v>
      </c>
      <c r="AO60" t="n">
        <v>0</v>
      </c>
      <c r="AP60" t="inlineStr">
        <is>
          <t>Yes</t>
        </is>
      </c>
      <c r="AQ60" t="inlineStr">
        <is>
          <t>No</t>
        </is>
      </c>
      <c r="AR60">
        <f>HYPERLINK("http://catalog.hathitrust.org/Record/009906958","HathiTrust Record")</f>
        <v/>
      </c>
      <c r="AS60">
        <f>HYPERLINK("https://creighton-primo.hosted.exlibrisgroup.com/primo-explore/search?tab=default_tab&amp;search_scope=EVERYTHING&amp;vid=01CRU&amp;lang=en_US&amp;offset=0&amp;query=any,contains,991002636009702656","Catalog Record")</f>
        <v/>
      </c>
      <c r="AT60">
        <f>HYPERLINK("http://www.worldcat.org/oclc/382599","WorldCat Record")</f>
        <v/>
      </c>
      <c r="AU60" t="inlineStr">
        <is>
          <t>1497905:eng</t>
        </is>
      </c>
      <c r="AV60" t="inlineStr">
        <is>
          <t>382599</t>
        </is>
      </c>
      <c r="AW60" t="inlineStr">
        <is>
          <t>991002636009702656</t>
        </is>
      </c>
      <c r="AX60" t="inlineStr">
        <is>
          <t>991002636009702656</t>
        </is>
      </c>
      <c r="AY60" t="inlineStr">
        <is>
          <t>2260058570002656</t>
        </is>
      </c>
      <c r="AZ60" t="inlineStr">
        <is>
          <t>BOOK</t>
        </is>
      </c>
      <c r="BC60" t="inlineStr">
        <is>
          <t>32285000692557</t>
        </is>
      </c>
      <c r="BD60" t="inlineStr">
        <is>
          <t>893323167</t>
        </is>
      </c>
    </row>
    <row r="61">
      <c r="A61" t="inlineStr">
        <is>
          <t>No</t>
        </is>
      </c>
      <c r="B61" t="inlineStr">
        <is>
          <t>BT102.A1 G533 1982</t>
        </is>
      </c>
      <c r="C61" t="inlineStr">
        <is>
          <t>0                      BT 0102000A  1                  G  533         1982</t>
        </is>
      </c>
      <c r="D61" t="inlineStr">
        <is>
          <t>God, the contemporary discussion / edited by Frederick Sontag &amp; M. Darrol Bryant.</t>
        </is>
      </c>
      <c r="F61" t="inlineStr">
        <is>
          <t>No</t>
        </is>
      </c>
      <c r="G61" t="inlineStr">
        <is>
          <t>1</t>
        </is>
      </c>
      <c r="H61" t="inlineStr">
        <is>
          <t>No</t>
        </is>
      </c>
      <c r="I61" t="inlineStr">
        <is>
          <t>No</t>
        </is>
      </c>
      <c r="J61" t="inlineStr">
        <is>
          <t>0</t>
        </is>
      </c>
      <c r="L61" t="inlineStr">
        <is>
          <t>New York, N.Y. : Rose of Sharon Press, c1982.</t>
        </is>
      </c>
      <c r="M61" t="inlineStr">
        <is>
          <t>1982</t>
        </is>
      </c>
      <c r="N61" t="inlineStr">
        <is>
          <t>1st ed.</t>
        </is>
      </c>
      <c r="O61" t="inlineStr">
        <is>
          <t>eng</t>
        </is>
      </c>
      <c r="P61" t="inlineStr">
        <is>
          <t>nyu</t>
        </is>
      </c>
      <c r="Q61" t="inlineStr">
        <is>
          <t>Conference series ; no. 12</t>
        </is>
      </c>
      <c r="R61" t="inlineStr">
        <is>
          <t xml:space="preserve">BT </t>
        </is>
      </c>
      <c r="S61" t="n">
        <v>4</v>
      </c>
      <c r="T61" t="n">
        <v>4</v>
      </c>
      <c r="U61" t="inlineStr">
        <is>
          <t>1996-12-03</t>
        </is>
      </c>
      <c r="V61" t="inlineStr">
        <is>
          <t>1996-12-03</t>
        </is>
      </c>
      <c r="W61" t="inlineStr">
        <is>
          <t>1991-07-26</t>
        </is>
      </c>
      <c r="X61" t="inlineStr">
        <is>
          <t>1991-07-26</t>
        </is>
      </c>
      <c r="Y61" t="n">
        <v>404</v>
      </c>
      <c r="Z61" t="n">
        <v>345</v>
      </c>
      <c r="AA61" t="n">
        <v>350</v>
      </c>
      <c r="AB61" t="n">
        <v>6</v>
      </c>
      <c r="AC61" t="n">
        <v>6</v>
      </c>
      <c r="AD61" t="n">
        <v>29</v>
      </c>
      <c r="AE61" t="n">
        <v>29</v>
      </c>
      <c r="AF61" t="n">
        <v>10</v>
      </c>
      <c r="AG61" t="n">
        <v>10</v>
      </c>
      <c r="AH61" t="n">
        <v>5</v>
      </c>
      <c r="AI61" t="n">
        <v>5</v>
      </c>
      <c r="AJ61" t="n">
        <v>17</v>
      </c>
      <c r="AK61" t="n">
        <v>17</v>
      </c>
      <c r="AL61" t="n">
        <v>4</v>
      </c>
      <c r="AM61" t="n">
        <v>4</v>
      </c>
      <c r="AN61" t="n">
        <v>0</v>
      </c>
      <c r="AO61" t="n">
        <v>0</v>
      </c>
      <c r="AP61" t="inlineStr">
        <is>
          <t>No</t>
        </is>
      </c>
      <c r="AQ61" t="inlineStr">
        <is>
          <t>No</t>
        </is>
      </c>
      <c r="AS61">
        <f>HYPERLINK("https://creighton-primo.hosted.exlibrisgroup.com/primo-explore/search?tab=default_tab&amp;search_scope=EVERYTHING&amp;vid=01CRU&amp;lang=en_US&amp;offset=0&amp;query=any,contains,991000121189702656","Catalog Record")</f>
        <v/>
      </c>
      <c r="AT61">
        <f>HYPERLINK("http://www.worldcat.org/oclc/9066787","WorldCat Record")</f>
        <v/>
      </c>
      <c r="AU61" t="inlineStr">
        <is>
          <t>43150505:eng</t>
        </is>
      </c>
      <c r="AV61" t="inlineStr">
        <is>
          <t>9066787</t>
        </is>
      </c>
      <c r="AW61" t="inlineStr">
        <is>
          <t>991000121189702656</t>
        </is>
      </c>
      <c r="AX61" t="inlineStr">
        <is>
          <t>991000121189702656</t>
        </is>
      </c>
      <c r="AY61" t="inlineStr">
        <is>
          <t>2269859980002656</t>
        </is>
      </c>
      <c r="AZ61" t="inlineStr">
        <is>
          <t>BOOK</t>
        </is>
      </c>
      <c r="BB61" t="inlineStr">
        <is>
          <t>9780932894120</t>
        </is>
      </c>
      <c r="BC61" t="inlineStr">
        <is>
          <t>32285000691831</t>
        </is>
      </c>
      <c r="BD61" t="inlineStr">
        <is>
          <t>893689446</t>
        </is>
      </c>
    </row>
    <row r="62">
      <c r="A62" t="inlineStr">
        <is>
          <t>No</t>
        </is>
      </c>
      <c r="B62" t="inlineStr">
        <is>
          <t>BT102.A1 I8 1981</t>
        </is>
      </c>
      <c r="C62" t="inlineStr">
        <is>
          <t>0                      BT 0102000A  1                  I  8           1981</t>
        </is>
      </c>
      <c r="D62" t="inlineStr">
        <is>
          <t>Is God God? / edited with an introduction by Axel D. Steuer &amp; James Wm. McClendon, Jr.</t>
        </is>
      </c>
      <c r="F62" t="inlineStr">
        <is>
          <t>No</t>
        </is>
      </c>
      <c r="G62" t="inlineStr">
        <is>
          <t>1</t>
        </is>
      </c>
      <c r="H62" t="inlineStr">
        <is>
          <t>No</t>
        </is>
      </c>
      <c r="I62" t="inlineStr">
        <is>
          <t>No</t>
        </is>
      </c>
      <c r="J62" t="inlineStr">
        <is>
          <t>0</t>
        </is>
      </c>
      <c r="L62" t="inlineStr">
        <is>
          <t>Nashville : Abingdon, c1981.</t>
        </is>
      </c>
      <c r="M62" t="inlineStr">
        <is>
          <t>1981</t>
        </is>
      </c>
      <c r="O62" t="inlineStr">
        <is>
          <t>eng</t>
        </is>
      </c>
      <c r="P62" t="inlineStr">
        <is>
          <t>tnu</t>
        </is>
      </c>
      <c r="R62" t="inlineStr">
        <is>
          <t xml:space="preserve">BT </t>
        </is>
      </c>
      <c r="S62" t="n">
        <v>6</v>
      </c>
      <c r="T62" t="n">
        <v>6</v>
      </c>
      <c r="U62" t="inlineStr">
        <is>
          <t>1994-03-23</t>
        </is>
      </c>
      <c r="V62" t="inlineStr">
        <is>
          <t>1994-03-23</t>
        </is>
      </c>
      <c r="W62" t="inlineStr">
        <is>
          <t>1991-07-26</t>
        </is>
      </c>
      <c r="X62" t="inlineStr">
        <is>
          <t>1991-07-26</t>
        </is>
      </c>
      <c r="Y62" t="n">
        <v>694</v>
      </c>
      <c r="Z62" t="n">
        <v>635</v>
      </c>
      <c r="AA62" t="n">
        <v>636</v>
      </c>
      <c r="AB62" t="n">
        <v>7</v>
      </c>
      <c r="AC62" t="n">
        <v>7</v>
      </c>
      <c r="AD62" t="n">
        <v>36</v>
      </c>
      <c r="AE62" t="n">
        <v>36</v>
      </c>
      <c r="AF62" t="n">
        <v>15</v>
      </c>
      <c r="AG62" t="n">
        <v>15</v>
      </c>
      <c r="AH62" t="n">
        <v>6</v>
      </c>
      <c r="AI62" t="n">
        <v>6</v>
      </c>
      <c r="AJ62" t="n">
        <v>18</v>
      </c>
      <c r="AK62" t="n">
        <v>18</v>
      </c>
      <c r="AL62" t="n">
        <v>5</v>
      </c>
      <c r="AM62" t="n">
        <v>5</v>
      </c>
      <c r="AN62" t="n">
        <v>0</v>
      </c>
      <c r="AO62" t="n">
        <v>0</v>
      </c>
      <c r="AP62" t="inlineStr">
        <is>
          <t>No</t>
        </is>
      </c>
      <c r="AQ62" t="inlineStr">
        <is>
          <t>Yes</t>
        </is>
      </c>
      <c r="AR62">
        <f>HYPERLINK("http://catalog.hathitrust.org/Record/000139378","HathiTrust Record")</f>
        <v/>
      </c>
      <c r="AS62">
        <f>HYPERLINK("https://creighton-primo.hosted.exlibrisgroup.com/primo-explore/search?tab=default_tab&amp;search_scope=EVERYTHING&amp;vid=01CRU&amp;lang=en_US&amp;offset=0&amp;query=any,contains,991005097219702656","Catalog Record")</f>
        <v/>
      </c>
      <c r="AT62">
        <f>HYPERLINK("http://www.worldcat.org/oclc/7275395","WorldCat Record")</f>
        <v/>
      </c>
      <c r="AU62" t="inlineStr">
        <is>
          <t>434399:eng</t>
        </is>
      </c>
      <c r="AV62" t="inlineStr">
        <is>
          <t>7275395</t>
        </is>
      </c>
      <c r="AW62" t="inlineStr">
        <is>
          <t>991005097219702656</t>
        </is>
      </c>
      <c r="AX62" t="inlineStr">
        <is>
          <t>991005097219702656</t>
        </is>
      </c>
      <c r="AY62" t="inlineStr">
        <is>
          <t>2259804940002656</t>
        </is>
      </c>
      <c r="AZ62" t="inlineStr">
        <is>
          <t>BOOK</t>
        </is>
      </c>
      <c r="BB62" t="inlineStr">
        <is>
          <t>9780687197033</t>
        </is>
      </c>
      <c r="BC62" t="inlineStr">
        <is>
          <t>32285000691849</t>
        </is>
      </c>
      <c r="BD62" t="inlineStr">
        <is>
          <t>893254455</t>
        </is>
      </c>
    </row>
    <row r="63">
      <c r="A63" t="inlineStr">
        <is>
          <t>No</t>
        </is>
      </c>
      <c r="B63" t="inlineStr">
        <is>
          <t>BT102.A1 K44 1971</t>
        </is>
      </c>
      <c r="C63" t="inlineStr">
        <is>
          <t>0                      BT 0102000A  1                  K  44          1971</t>
        </is>
      </c>
      <c r="D63" t="inlineStr">
        <is>
          <t>The theology of God sources / edited by Kimball Kehoe.</t>
        </is>
      </c>
      <c r="F63" t="inlineStr">
        <is>
          <t>No</t>
        </is>
      </c>
      <c r="G63" t="inlineStr">
        <is>
          <t>1</t>
        </is>
      </c>
      <c r="H63" t="inlineStr">
        <is>
          <t>No</t>
        </is>
      </c>
      <c r="I63" t="inlineStr">
        <is>
          <t>No</t>
        </is>
      </c>
      <c r="J63" t="inlineStr">
        <is>
          <t>0</t>
        </is>
      </c>
      <c r="K63" t="inlineStr">
        <is>
          <t>Kehoe, Kimball, compiler.</t>
        </is>
      </c>
      <c r="L63" t="inlineStr">
        <is>
          <t>New York, Bruce Pub. Co. [1971]</t>
        </is>
      </c>
      <c r="M63" t="inlineStr">
        <is>
          <t>1971</t>
        </is>
      </c>
      <c r="O63" t="inlineStr">
        <is>
          <t>eng</t>
        </is>
      </c>
      <c r="P63" t="inlineStr">
        <is>
          <t>nyu</t>
        </is>
      </c>
      <c r="Q63" t="inlineStr">
        <is>
          <t>Contemporary theology series</t>
        </is>
      </c>
      <c r="R63" t="inlineStr">
        <is>
          <t xml:space="preserve">BT </t>
        </is>
      </c>
      <c r="S63" t="n">
        <v>1</v>
      </c>
      <c r="T63" t="n">
        <v>1</v>
      </c>
      <c r="U63" t="inlineStr">
        <is>
          <t>1996-12-03</t>
        </is>
      </c>
      <c r="V63" t="inlineStr">
        <is>
          <t>1996-12-03</t>
        </is>
      </c>
      <c r="W63" t="inlineStr">
        <is>
          <t>1991-07-26</t>
        </is>
      </c>
      <c r="X63" t="inlineStr">
        <is>
          <t>1991-07-26</t>
        </is>
      </c>
      <c r="Y63" t="n">
        <v>149</v>
      </c>
      <c r="Z63" t="n">
        <v>114</v>
      </c>
      <c r="AA63" t="n">
        <v>114</v>
      </c>
      <c r="AB63" t="n">
        <v>2</v>
      </c>
      <c r="AC63" t="n">
        <v>2</v>
      </c>
      <c r="AD63" t="n">
        <v>14</v>
      </c>
      <c r="AE63" t="n">
        <v>14</v>
      </c>
      <c r="AF63" t="n">
        <v>3</v>
      </c>
      <c r="AG63" t="n">
        <v>3</v>
      </c>
      <c r="AH63" t="n">
        <v>3</v>
      </c>
      <c r="AI63" t="n">
        <v>3</v>
      </c>
      <c r="AJ63" t="n">
        <v>9</v>
      </c>
      <c r="AK63" t="n">
        <v>9</v>
      </c>
      <c r="AL63" t="n">
        <v>1</v>
      </c>
      <c r="AM63" t="n">
        <v>1</v>
      </c>
      <c r="AN63" t="n">
        <v>1</v>
      </c>
      <c r="AO63" t="n">
        <v>1</v>
      </c>
      <c r="AP63" t="inlineStr">
        <is>
          <t>No</t>
        </is>
      </c>
      <c r="AQ63" t="inlineStr">
        <is>
          <t>No</t>
        </is>
      </c>
      <c r="AS63">
        <f>HYPERLINK("https://creighton-primo.hosted.exlibrisgroup.com/primo-explore/search?tab=default_tab&amp;search_scope=EVERYTHING&amp;vid=01CRU&amp;lang=en_US&amp;offset=0&amp;query=any,contains,991002679399702656","Catalog Record")</f>
        <v/>
      </c>
      <c r="AT63">
        <f>HYPERLINK("http://www.worldcat.org/oclc/397951","WorldCat Record")</f>
        <v/>
      </c>
      <c r="AU63" t="inlineStr">
        <is>
          <t>1010842470:eng</t>
        </is>
      </c>
      <c r="AV63" t="inlineStr">
        <is>
          <t>397951</t>
        </is>
      </c>
      <c r="AW63" t="inlineStr">
        <is>
          <t>991002679399702656</t>
        </is>
      </c>
      <c r="AX63" t="inlineStr">
        <is>
          <t>991002679399702656</t>
        </is>
      </c>
      <c r="AY63" t="inlineStr">
        <is>
          <t>2261652440002656</t>
        </is>
      </c>
      <c r="AZ63" t="inlineStr">
        <is>
          <t>BOOK</t>
        </is>
      </c>
      <c r="BC63" t="inlineStr">
        <is>
          <t>32285000691856</t>
        </is>
      </c>
      <c r="BD63" t="inlineStr">
        <is>
          <t>893257571</t>
        </is>
      </c>
    </row>
    <row r="64">
      <c r="A64" t="inlineStr">
        <is>
          <t>No</t>
        </is>
      </c>
      <c r="B64" t="inlineStr">
        <is>
          <t>BT102.H425 K68 1990</t>
        </is>
      </c>
      <c r="C64" t="inlineStr">
        <is>
          <t>0                      BT 0102000H  425                K  68          1990</t>
        </is>
      </c>
      <c r="D64" t="inlineStr">
        <is>
          <t>The question of God in Heidegger's phenomenology / George Kovacs.</t>
        </is>
      </c>
      <c r="F64" t="inlineStr">
        <is>
          <t>No</t>
        </is>
      </c>
      <c r="G64" t="inlineStr">
        <is>
          <t>1</t>
        </is>
      </c>
      <c r="H64" t="inlineStr">
        <is>
          <t>No</t>
        </is>
      </c>
      <c r="I64" t="inlineStr">
        <is>
          <t>No</t>
        </is>
      </c>
      <c r="J64" t="inlineStr">
        <is>
          <t>0</t>
        </is>
      </c>
      <c r="K64" t="inlineStr">
        <is>
          <t>Kovacs, George, 1935-</t>
        </is>
      </c>
      <c r="L64" t="inlineStr">
        <is>
          <t>Evanston, Ill. : Northwestern University Press, c1990.</t>
        </is>
      </c>
      <c r="M64" t="inlineStr">
        <is>
          <t>1990</t>
        </is>
      </c>
      <c r="O64" t="inlineStr">
        <is>
          <t>eng</t>
        </is>
      </c>
      <c r="P64" t="inlineStr">
        <is>
          <t>ilu</t>
        </is>
      </c>
      <c r="Q64" t="inlineStr">
        <is>
          <t>Northwestern University studies in phenomenology and existential philosophy.</t>
        </is>
      </c>
      <c r="R64" t="inlineStr">
        <is>
          <t xml:space="preserve">BT </t>
        </is>
      </c>
      <c r="S64" t="n">
        <v>2</v>
      </c>
      <c r="T64" t="n">
        <v>2</v>
      </c>
      <c r="U64" t="inlineStr">
        <is>
          <t>2002-03-07</t>
        </is>
      </c>
      <c r="V64" t="inlineStr">
        <is>
          <t>2002-03-07</t>
        </is>
      </c>
      <c r="W64" t="inlineStr">
        <is>
          <t>1992-06-30</t>
        </is>
      </c>
      <c r="X64" t="inlineStr">
        <is>
          <t>1992-06-30</t>
        </is>
      </c>
      <c r="Y64" t="n">
        <v>300</v>
      </c>
      <c r="Z64" t="n">
        <v>228</v>
      </c>
      <c r="AA64" t="n">
        <v>231</v>
      </c>
      <c r="AB64" t="n">
        <v>3</v>
      </c>
      <c r="AC64" t="n">
        <v>3</v>
      </c>
      <c r="AD64" t="n">
        <v>20</v>
      </c>
      <c r="AE64" t="n">
        <v>20</v>
      </c>
      <c r="AF64" t="n">
        <v>6</v>
      </c>
      <c r="AG64" t="n">
        <v>6</v>
      </c>
      <c r="AH64" t="n">
        <v>5</v>
      </c>
      <c r="AI64" t="n">
        <v>5</v>
      </c>
      <c r="AJ64" t="n">
        <v>13</v>
      </c>
      <c r="AK64" t="n">
        <v>13</v>
      </c>
      <c r="AL64" t="n">
        <v>2</v>
      </c>
      <c r="AM64" t="n">
        <v>2</v>
      </c>
      <c r="AN64" t="n">
        <v>0</v>
      </c>
      <c r="AO64" t="n">
        <v>0</v>
      </c>
      <c r="AP64" t="inlineStr">
        <is>
          <t>No</t>
        </is>
      </c>
      <c r="AQ64" t="inlineStr">
        <is>
          <t>Yes</t>
        </is>
      </c>
      <c r="AR64">
        <f>HYPERLINK("http://catalog.hathitrust.org/Record/002214204","HathiTrust Record")</f>
        <v/>
      </c>
      <c r="AS64">
        <f>HYPERLINK("https://creighton-primo.hosted.exlibrisgroup.com/primo-explore/search?tab=default_tab&amp;search_scope=EVERYTHING&amp;vid=01CRU&amp;lang=en_US&amp;offset=0&amp;query=any,contains,991001578999702656","Catalog Record")</f>
        <v/>
      </c>
      <c r="AT64">
        <f>HYPERLINK("http://www.worldcat.org/oclc/20454473","WorldCat Record")</f>
        <v/>
      </c>
      <c r="AU64" t="inlineStr">
        <is>
          <t>1075657:eng</t>
        </is>
      </c>
      <c r="AV64" t="inlineStr">
        <is>
          <t>20454473</t>
        </is>
      </c>
      <c r="AW64" t="inlineStr">
        <is>
          <t>991001578999702656</t>
        </is>
      </c>
      <c r="AX64" t="inlineStr">
        <is>
          <t>991001578999702656</t>
        </is>
      </c>
      <c r="AY64" t="inlineStr">
        <is>
          <t>2255088810002656</t>
        </is>
      </c>
      <c r="AZ64" t="inlineStr">
        <is>
          <t>BOOK</t>
        </is>
      </c>
      <c r="BB64" t="inlineStr">
        <is>
          <t>9780810108516</t>
        </is>
      </c>
      <c r="BC64" t="inlineStr">
        <is>
          <t>32285001156636</t>
        </is>
      </c>
      <c r="BD64" t="inlineStr">
        <is>
          <t>893596557</t>
        </is>
      </c>
    </row>
    <row r="65">
      <c r="A65" t="inlineStr">
        <is>
          <t>No</t>
        </is>
      </c>
      <c r="B65" t="inlineStr">
        <is>
          <t>BT102.R272 K56 1982</t>
        </is>
      </c>
      <c r="C65" t="inlineStr">
        <is>
          <t>0                      BT 0102000R  272                K  56          1982</t>
        </is>
      </c>
      <c r="D65" t="inlineStr">
        <is>
          <t>The God of forgiveness and healing in the theology of Karl Rahner / by J. Norman King.</t>
        </is>
      </c>
      <c r="F65" t="inlineStr">
        <is>
          <t>No</t>
        </is>
      </c>
      <c r="G65" t="inlineStr">
        <is>
          <t>1</t>
        </is>
      </c>
      <c r="H65" t="inlineStr">
        <is>
          <t>No</t>
        </is>
      </c>
      <c r="I65" t="inlineStr">
        <is>
          <t>No</t>
        </is>
      </c>
      <c r="J65" t="inlineStr">
        <is>
          <t>0</t>
        </is>
      </c>
      <c r="K65" t="inlineStr">
        <is>
          <t>King, J. Norman.</t>
        </is>
      </c>
      <c r="L65" t="inlineStr">
        <is>
          <t>Washington, D.C. : University Press of America, c1982.</t>
        </is>
      </c>
      <c r="M65" t="inlineStr">
        <is>
          <t>1982</t>
        </is>
      </c>
      <c r="O65" t="inlineStr">
        <is>
          <t>eng</t>
        </is>
      </c>
      <c r="P65" t="inlineStr">
        <is>
          <t>dcu</t>
        </is>
      </c>
      <c r="R65" t="inlineStr">
        <is>
          <t xml:space="preserve">BT </t>
        </is>
      </c>
      <c r="S65" t="n">
        <v>8</v>
      </c>
      <c r="T65" t="n">
        <v>8</v>
      </c>
      <c r="U65" t="inlineStr">
        <is>
          <t>1998-10-15</t>
        </is>
      </c>
      <c r="V65" t="inlineStr">
        <is>
          <t>1998-10-15</t>
        </is>
      </c>
      <c r="W65" t="inlineStr">
        <is>
          <t>1990-06-28</t>
        </is>
      </c>
      <c r="X65" t="inlineStr">
        <is>
          <t>1990-06-28</t>
        </is>
      </c>
      <c r="Y65" t="n">
        <v>275</v>
      </c>
      <c r="Z65" t="n">
        <v>226</v>
      </c>
      <c r="AA65" t="n">
        <v>227</v>
      </c>
      <c r="AB65" t="n">
        <v>4</v>
      </c>
      <c r="AC65" t="n">
        <v>4</v>
      </c>
      <c r="AD65" t="n">
        <v>23</v>
      </c>
      <c r="AE65" t="n">
        <v>23</v>
      </c>
      <c r="AF65" t="n">
        <v>4</v>
      </c>
      <c r="AG65" t="n">
        <v>4</v>
      </c>
      <c r="AH65" t="n">
        <v>5</v>
      </c>
      <c r="AI65" t="n">
        <v>5</v>
      </c>
      <c r="AJ65" t="n">
        <v>18</v>
      </c>
      <c r="AK65" t="n">
        <v>18</v>
      </c>
      <c r="AL65" t="n">
        <v>3</v>
      </c>
      <c r="AM65" t="n">
        <v>3</v>
      </c>
      <c r="AN65" t="n">
        <v>0</v>
      </c>
      <c r="AO65" t="n">
        <v>0</v>
      </c>
      <c r="AP65" t="inlineStr">
        <is>
          <t>No</t>
        </is>
      </c>
      <c r="AQ65" t="inlineStr">
        <is>
          <t>No</t>
        </is>
      </c>
      <c r="AS65">
        <f>HYPERLINK("https://creighton-primo.hosted.exlibrisgroup.com/primo-explore/search?tab=default_tab&amp;search_scope=EVERYTHING&amp;vid=01CRU&amp;lang=en_US&amp;offset=0&amp;query=any,contains,991005197599702656","Catalog Record")</f>
        <v/>
      </c>
      <c r="AT65">
        <f>HYPERLINK("http://www.worldcat.org/oclc/8052055","WorldCat Record")</f>
        <v/>
      </c>
      <c r="AU65" t="inlineStr">
        <is>
          <t>30022325:eng</t>
        </is>
      </c>
      <c r="AV65" t="inlineStr">
        <is>
          <t>8052055</t>
        </is>
      </c>
      <c r="AW65" t="inlineStr">
        <is>
          <t>991005197599702656</t>
        </is>
      </c>
      <c r="AX65" t="inlineStr">
        <is>
          <t>991005197599702656</t>
        </is>
      </c>
      <c r="AY65" t="inlineStr">
        <is>
          <t>2259301770002656</t>
        </is>
      </c>
      <c r="AZ65" t="inlineStr">
        <is>
          <t>BOOK</t>
        </is>
      </c>
      <c r="BB65" t="inlineStr">
        <is>
          <t>9780819122377</t>
        </is>
      </c>
      <c r="BC65" t="inlineStr">
        <is>
          <t>32285000215466</t>
        </is>
      </c>
      <c r="BD65" t="inlineStr">
        <is>
          <t>893707426</t>
        </is>
      </c>
    </row>
    <row r="66">
      <c r="A66" t="inlineStr">
        <is>
          <t>No</t>
        </is>
      </c>
      <c r="B66" t="inlineStr">
        <is>
          <t>BT102.R272 T39 1986</t>
        </is>
      </c>
      <c r="C66" t="inlineStr">
        <is>
          <t>0                      BT 0102000R  272                T  39          1986</t>
        </is>
      </c>
      <c r="D66" t="inlineStr">
        <is>
          <t>God is love : a study in the theology of Karl Rahner / Mark Lloyd Taylor.</t>
        </is>
      </c>
      <c r="F66" t="inlineStr">
        <is>
          <t>No</t>
        </is>
      </c>
      <c r="G66" t="inlineStr">
        <is>
          <t>1</t>
        </is>
      </c>
      <c r="H66" t="inlineStr">
        <is>
          <t>No</t>
        </is>
      </c>
      <c r="I66" t="inlineStr">
        <is>
          <t>No</t>
        </is>
      </c>
      <c r="J66" t="inlineStr">
        <is>
          <t>0</t>
        </is>
      </c>
      <c r="K66" t="inlineStr">
        <is>
          <t>Taylor, Mark Lloyd, 1953-</t>
        </is>
      </c>
      <c r="L66" t="inlineStr">
        <is>
          <t>Atlanta, Ga. : Scholars Press, c1986.</t>
        </is>
      </c>
      <c r="M66" t="inlineStr">
        <is>
          <t>1986</t>
        </is>
      </c>
      <c r="O66" t="inlineStr">
        <is>
          <t>eng</t>
        </is>
      </c>
      <c r="P66" t="inlineStr">
        <is>
          <t>gau</t>
        </is>
      </c>
      <c r="Q66" t="inlineStr">
        <is>
          <t>American Academy of Religion academy series ; no. 50</t>
        </is>
      </c>
      <c r="R66" t="inlineStr">
        <is>
          <t xml:space="preserve">BT </t>
        </is>
      </c>
      <c r="S66" t="n">
        <v>6</v>
      </c>
      <c r="T66" t="n">
        <v>6</v>
      </c>
      <c r="U66" t="inlineStr">
        <is>
          <t>1997-10-14</t>
        </is>
      </c>
      <c r="V66" t="inlineStr">
        <is>
          <t>1997-10-14</t>
        </is>
      </c>
      <c r="W66" t="inlineStr">
        <is>
          <t>1991-07-30</t>
        </is>
      </c>
      <c r="X66" t="inlineStr">
        <is>
          <t>1991-07-30</t>
        </is>
      </c>
      <c r="Y66" t="n">
        <v>286</v>
      </c>
      <c r="Z66" t="n">
        <v>222</v>
      </c>
      <c r="AA66" t="n">
        <v>224</v>
      </c>
      <c r="AB66" t="n">
        <v>2</v>
      </c>
      <c r="AC66" t="n">
        <v>2</v>
      </c>
      <c r="AD66" t="n">
        <v>19</v>
      </c>
      <c r="AE66" t="n">
        <v>19</v>
      </c>
      <c r="AF66" t="n">
        <v>6</v>
      </c>
      <c r="AG66" t="n">
        <v>6</v>
      </c>
      <c r="AH66" t="n">
        <v>6</v>
      </c>
      <c r="AI66" t="n">
        <v>6</v>
      </c>
      <c r="AJ66" t="n">
        <v>11</v>
      </c>
      <c r="AK66" t="n">
        <v>11</v>
      </c>
      <c r="AL66" t="n">
        <v>1</v>
      </c>
      <c r="AM66" t="n">
        <v>1</v>
      </c>
      <c r="AN66" t="n">
        <v>0</v>
      </c>
      <c r="AO66" t="n">
        <v>0</v>
      </c>
      <c r="AP66" t="inlineStr">
        <is>
          <t>No</t>
        </is>
      </c>
      <c r="AQ66" t="inlineStr">
        <is>
          <t>Yes</t>
        </is>
      </c>
      <c r="AR66">
        <f>HYPERLINK("http://catalog.hathitrust.org/Record/000396971","HathiTrust Record")</f>
        <v/>
      </c>
      <c r="AS66">
        <f>HYPERLINK("https://creighton-primo.hosted.exlibrisgroup.com/primo-explore/search?tab=default_tab&amp;search_scope=EVERYTHING&amp;vid=01CRU&amp;lang=en_US&amp;offset=0&amp;query=any,contains,991000704889702656","Catalog Record")</f>
        <v/>
      </c>
      <c r="AT66">
        <f>HYPERLINK("http://www.worldcat.org/oclc/12556496","WorldCat Record")</f>
        <v/>
      </c>
      <c r="AU66" t="inlineStr">
        <is>
          <t>4920527:eng</t>
        </is>
      </c>
      <c r="AV66" t="inlineStr">
        <is>
          <t>12556496</t>
        </is>
      </c>
      <c r="AW66" t="inlineStr">
        <is>
          <t>991000704889702656</t>
        </is>
      </c>
      <c r="AX66" t="inlineStr">
        <is>
          <t>991000704889702656</t>
        </is>
      </c>
      <c r="AY66" t="inlineStr">
        <is>
          <t>2254803530002656</t>
        </is>
      </c>
      <c r="AZ66" t="inlineStr">
        <is>
          <t>BOOK</t>
        </is>
      </c>
      <c r="BB66" t="inlineStr">
        <is>
          <t>9780891309253</t>
        </is>
      </c>
      <c r="BC66" t="inlineStr">
        <is>
          <t>32285000692441</t>
        </is>
      </c>
      <c r="BD66" t="inlineStr">
        <is>
          <t>893496481</t>
        </is>
      </c>
    </row>
    <row r="67">
      <c r="A67" t="inlineStr">
        <is>
          <t>No</t>
        </is>
      </c>
      <c r="B67" t="inlineStr">
        <is>
          <t>BT109 .B7</t>
        </is>
      </c>
      <c r="C67" t="inlineStr">
        <is>
          <t>0                      BT 0109000B  7</t>
        </is>
      </c>
      <c r="D67" t="inlineStr">
        <is>
          <t>What are they saying about the Trinity? / By Joseph A. Bracken.</t>
        </is>
      </c>
      <c r="F67" t="inlineStr">
        <is>
          <t>No</t>
        </is>
      </c>
      <c r="G67" t="inlineStr">
        <is>
          <t>1</t>
        </is>
      </c>
      <c r="H67" t="inlineStr">
        <is>
          <t>No</t>
        </is>
      </c>
      <c r="I67" t="inlineStr">
        <is>
          <t>No</t>
        </is>
      </c>
      <c r="J67" t="inlineStr">
        <is>
          <t>0</t>
        </is>
      </c>
      <c r="K67" t="inlineStr">
        <is>
          <t>Bracken, Joseph A.</t>
        </is>
      </c>
      <c r="L67" t="inlineStr">
        <is>
          <t>New York : Paulist Press, c1979.</t>
        </is>
      </c>
      <c r="M67" t="inlineStr">
        <is>
          <t>1979</t>
        </is>
      </c>
      <c r="O67" t="inlineStr">
        <is>
          <t>eng</t>
        </is>
      </c>
      <c r="P67" t="inlineStr">
        <is>
          <t>nyu</t>
        </is>
      </c>
      <c r="Q67" t="inlineStr">
        <is>
          <t>A Deus book</t>
        </is>
      </c>
      <c r="R67" t="inlineStr">
        <is>
          <t xml:space="preserve">BT </t>
        </is>
      </c>
      <c r="S67" t="n">
        <v>3</v>
      </c>
      <c r="T67" t="n">
        <v>3</v>
      </c>
      <c r="U67" t="inlineStr">
        <is>
          <t>2000-06-20</t>
        </is>
      </c>
      <c r="V67" t="inlineStr">
        <is>
          <t>2000-06-20</t>
        </is>
      </c>
      <c r="W67" t="inlineStr">
        <is>
          <t>1991-07-30</t>
        </is>
      </c>
      <c r="X67" t="inlineStr">
        <is>
          <t>1991-07-30</t>
        </is>
      </c>
      <c r="Y67" t="n">
        <v>303</v>
      </c>
      <c r="Z67" t="n">
        <v>244</v>
      </c>
      <c r="AA67" t="n">
        <v>244</v>
      </c>
      <c r="AB67" t="n">
        <v>2</v>
      </c>
      <c r="AC67" t="n">
        <v>2</v>
      </c>
      <c r="AD67" t="n">
        <v>23</v>
      </c>
      <c r="AE67" t="n">
        <v>23</v>
      </c>
      <c r="AF67" t="n">
        <v>8</v>
      </c>
      <c r="AG67" t="n">
        <v>8</v>
      </c>
      <c r="AH67" t="n">
        <v>5</v>
      </c>
      <c r="AI67" t="n">
        <v>5</v>
      </c>
      <c r="AJ67" t="n">
        <v>17</v>
      </c>
      <c r="AK67" t="n">
        <v>17</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HYPERLINK("https://creighton-primo.hosted.exlibrisgroup.com/primo-explore/search?tab=default_tab&amp;search_scope=EVERYTHING&amp;vid=01CRU&amp;lang=en_US&amp;offset=0&amp;query=any,contains,991004692679702656","Catalog Record")</f>
        <v/>
      </c>
      <c r="AT67">
        <f>HYPERLINK("http://www.worldcat.org/oclc/4628892","WorldCat Record")</f>
        <v/>
      </c>
      <c r="AU67" t="inlineStr">
        <is>
          <t>14877096:eng</t>
        </is>
      </c>
      <c r="AV67" t="inlineStr">
        <is>
          <t>4628892</t>
        </is>
      </c>
      <c r="AW67" t="inlineStr">
        <is>
          <t>991004692679702656</t>
        </is>
      </c>
      <c r="AX67" t="inlineStr">
        <is>
          <t>991004692679702656</t>
        </is>
      </c>
      <c r="AY67" t="inlineStr">
        <is>
          <t>2269629290002656</t>
        </is>
      </c>
      <c r="AZ67" t="inlineStr">
        <is>
          <t>BOOK</t>
        </is>
      </c>
      <c r="BB67" t="inlineStr">
        <is>
          <t>9780809121793</t>
        </is>
      </c>
      <c r="BC67" t="inlineStr">
        <is>
          <t>32285000692581</t>
        </is>
      </c>
      <c r="BD67" t="inlineStr">
        <is>
          <t>893263383</t>
        </is>
      </c>
    </row>
    <row r="68">
      <c r="A68" t="inlineStr">
        <is>
          <t>No</t>
        </is>
      </c>
      <c r="B68" t="inlineStr">
        <is>
          <t>BT109 .C36</t>
        </is>
      </c>
      <c r="C68" t="inlineStr">
        <is>
          <t>0                      BT 0109000C  36</t>
        </is>
      </c>
      <c r="D68" t="inlineStr">
        <is>
          <t>The theology of the Trinity / by Laurence Cantwell.</t>
        </is>
      </c>
      <c r="F68" t="inlineStr">
        <is>
          <t>No</t>
        </is>
      </c>
      <c r="G68" t="inlineStr">
        <is>
          <t>1</t>
        </is>
      </c>
      <c r="H68" t="inlineStr">
        <is>
          <t>No</t>
        </is>
      </c>
      <c r="I68" t="inlineStr">
        <is>
          <t>No</t>
        </is>
      </c>
      <c r="J68" t="inlineStr">
        <is>
          <t>0</t>
        </is>
      </c>
      <c r="K68" t="inlineStr">
        <is>
          <t>Cantwell, Laurence.</t>
        </is>
      </c>
      <c r="L68" t="inlineStr">
        <is>
          <t>Notre Dame, Ind., Fides Publishers [1969]</t>
        </is>
      </c>
      <c r="M68" t="inlineStr">
        <is>
          <t>1969</t>
        </is>
      </c>
      <c r="O68" t="inlineStr">
        <is>
          <t>eng</t>
        </is>
      </c>
      <c r="P68" t="inlineStr">
        <is>
          <t>inu</t>
        </is>
      </c>
      <c r="Q68" t="inlineStr">
        <is>
          <t>Theology today ; no. 4</t>
        </is>
      </c>
      <c r="R68" t="inlineStr">
        <is>
          <t xml:space="preserve">BT </t>
        </is>
      </c>
      <c r="S68" t="n">
        <v>3</v>
      </c>
      <c r="T68" t="n">
        <v>3</v>
      </c>
      <c r="U68" t="inlineStr">
        <is>
          <t>2005-06-23</t>
        </is>
      </c>
      <c r="V68" t="inlineStr">
        <is>
          <t>2005-06-23</t>
        </is>
      </c>
      <c r="W68" t="inlineStr">
        <is>
          <t>1991-07-30</t>
        </is>
      </c>
      <c r="X68" t="inlineStr">
        <is>
          <t>1991-07-30</t>
        </is>
      </c>
      <c r="Y68" t="n">
        <v>166</v>
      </c>
      <c r="Z68" t="n">
        <v>145</v>
      </c>
      <c r="AA68" t="n">
        <v>174</v>
      </c>
      <c r="AB68" t="n">
        <v>1</v>
      </c>
      <c r="AC68" t="n">
        <v>2</v>
      </c>
      <c r="AD68" t="n">
        <v>25</v>
      </c>
      <c r="AE68" t="n">
        <v>26</v>
      </c>
      <c r="AF68" t="n">
        <v>8</v>
      </c>
      <c r="AG68" t="n">
        <v>8</v>
      </c>
      <c r="AH68" t="n">
        <v>5</v>
      </c>
      <c r="AI68" t="n">
        <v>6</v>
      </c>
      <c r="AJ68" t="n">
        <v>19</v>
      </c>
      <c r="AK68" t="n">
        <v>20</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HYPERLINK("https://creighton-primo.hosted.exlibrisgroup.com/primo-explore/search?tab=default_tab&amp;search_scope=EVERYTHING&amp;vid=01CRU&amp;lang=en_US&amp;offset=0&amp;query=any,contains,991000115169702656","Catalog Record")</f>
        <v/>
      </c>
      <c r="AT68">
        <f>HYPERLINK("http://www.worldcat.org/oclc/49011","WorldCat Record")</f>
        <v/>
      </c>
      <c r="AU68" t="inlineStr">
        <is>
          <t>1218571:eng</t>
        </is>
      </c>
      <c r="AV68" t="inlineStr">
        <is>
          <t>49011</t>
        </is>
      </c>
      <c r="AW68" t="inlineStr">
        <is>
          <t>991000115169702656</t>
        </is>
      </c>
      <c r="AX68" t="inlineStr">
        <is>
          <t>991000115169702656</t>
        </is>
      </c>
      <c r="AY68" t="inlineStr">
        <is>
          <t>2263562600002656</t>
        </is>
      </c>
      <c r="AZ68" t="inlineStr">
        <is>
          <t>BOOK</t>
        </is>
      </c>
      <c r="BC68" t="inlineStr">
        <is>
          <t>32285000692599</t>
        </is>
      </c>
      <c r="BD68" t="inlineStr">
        <is>
          <t>893865099</t>
        </is>
      </c>
    </row>
    <row r="69">
      <c r="A69" t="inlineStr">
        <is>
          <t>No</t>
        </is>
      </c>
      <c r="B69" t="inlineStr">
        <is>
          <t>BT109 .D87 1984</t>
        </is>
      </c>
      <c r="C69" t="inlineStr">
        <is>
          <t>0                      BT 0109000D  87          1984</t>
        </is>
      </c>
      <c r="D69" t="inlineStr">
        <is>
          <t>The common life : the origins of Trinitarian mysticism and its development by Jan Ruusbroec / by Louis Dupré.</t>
        </is>
      </c>
      <c r="F69" t="inlineStr">
        <is>
          <t>No</t>
        </is>
      </c>
      <c r="G69" t="inlineStr">
        <is>
          <t>1</t>
        </is>
      </c>
      <c r="H69" t="inlineStr">
        <is>
          <t>No</t>
        </is>
      </c>
      <c r="I69" t="inlineStr">
        <is>
          <t>No</t>
        </is>
      </c>
      <c r="J69" t="inlineStr">
        <is>
          <t>0</t>
        </is>
      </c>
      <c r="K69" t="inlineStr">
        <is>
          <t>Dupré, Louis K., 1925-</t>
        </is>
      </c>
      <c r="L69" t="inlineStr">
        <is>
          <t>New York : Crossroad, 1984.</t>
        </is>
      </c>
      <c r="M69" t="inlineStr">
        <is>
          <t>1984</t>
        </is>
      </c>
      <c r="O69" t="inlineStr">
        <is>
          <t>eng</t>
        </is>
      </c>
      <c r="P69" t="inlineStr">
        <is>
          <t>nyu</t>
        </is>
      </c>
      <c r="R69" t="inlineStr">
        <is>
          <t xml:space="preserve">BT </t>
        </is>
      </c>
      <c r="S69" t="n">
        <v>3</v>
      </c>
      <c r="T69" t="n">
        <v>3</v>
      </c>
      <c r="U69" t="inlineStr">
        <is>
          <t>2004-07-15</t>
        </is>
      </c>
      <c r="V69" t="inlineStr">
        <is>
          <t>2004-07-15</t>
        </is>
      </c>
      <c r="W69" t="inlineStr">
        <is>
          <t>1991-07-30</t>
        </is>
      </c>
      <c r="X69" t="inlineStr">
        <is>
          <t>1991-07-30</t>
        </is>
      </c>
      <c r="Y69" t="n">
        <v>178</v>
      </c>
      <c r="Z69" t="n">
        <v>151</v>
      </c>
      <c r="AA69" t="n">
        <v>151</v>
      </c>
      <c r="AB69" t="n">
        <v>1</v>
      </c>
      <c r="AC69" t="n">
        <v>1</v>
      </c>
      <c r="AD69" t="n">
        <v>12</v>
      </c>
      <c r="AE69" t="n">
        <v>12</v>
      </c>
      <c r="AF69" t="n">
        <v>2</v>
      </c>
      <c r="AG69" t="n">
        <v>2</v>
      </c>
      <c r="AH69" t="n">
        <v>4</v>
      </c>
      <c r="AI69" t="n">
        <v>4</v>
      </c>
      <c r="AJ69" t="n">
        <v>9</v>
      </c>
      <c r="AK69" t="n">
        <v>9</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HYPERLINK("https://creighton-primo.hosted.exlibrisgroup.com/primo-explore/search?tab=default_tab&amp;search_scope=EVERYTHING&amp;vid=01CRU&amp;lang=en_US&amp;offset=0&amp;query=any,contains,991000319699702656","Catalog Record")</f>
        <v/>
      </c>
      <c r="AT69">
        <f>HYPERLINK("http://www.worldcat.org/oclc/10145889","WorldCat Record")</f>
        <v/>
      </c>
      <c r="AU69" t="inlineStr">
        <is>
          <t>3566028:eng</t>
        </is>
      </c>
      <c r="AV69" t="inlineStr">
        <is>
          <t>10145889</t>
        </is>
      </c>
      <c r="AW69" t="inlineStr">
        <is>
          <t>991000319699702656</t>
        </is>
      </c>
      <c r="AX69" t="inlineStr">
        <is>
          <t>991000319699702656</t>
        </is>
      </c>
      <c r="AY69" t="inlineStr">
        <is>
          <t>2255967870002656</t>
        </is>
      </c>
      <c r="AZ69" t="inlineStr">
        <is>
          <t>BOOK</t>
        </is>
      </c>
      <c r="BB69" t="inlineStr">
        <is>
          <t>9780824506278</t>
        </is>
      </c>
      <c r="BC69" t="inlineStr">
        <is>
          <t>32285000692607</t>
        </is>
      </c>
      <c r="BD69" t="inlineStr">
        <is>
          <t>893249243</t>
        </is>
      </c>
    </row>
    <row r="70">
      <c r="A70" t="inlineStr">
        <is>
          <t>No</t>
        </is>
      </c>
      <c r="B70" t="inlineStr">
        <is>
          <t>BT109 .F67 1972</t>
        </is>
      </c>
      <c r="C70" t="inlineStr">
        <is>
          <t>0                      BT 0109000F  67          1972</t>
        </is>
      </c>
      <c r="D70" t="inlineStr">
        <is>
          <t>The Triune God; a historical study of the doctrine of the Trinity / [by] Edmund J. Fortman.</t>
        </is>
      </c>
      <c r="F70" t="inlineStr">
        <is>
          <t>No</t>
        </is>
      </c>
      <c r="G70" t="inlineStr">
        <is>
          <t>1</t>
        </is>
      </c>
      <c r="H70" t="inlineStr">
        <is>
          <t>No</t>
        </is>
      </c>
      <c r="I70" t="inlineStr">
        <is>
          <t>No</t>
        </is>
      </c>
      <c r="J70" t="inlineStr">
        <is>
          <t>0</t>
        </is>
      </c>
      <c r="K70" t="inlineStr">
        <is>
          <t>Fortman, Edmund J., 1901-</t>
        </is>
      </c>
      <c r="L70" t="inlineStr">
        <is>
          <t>Philadelphia, Westminster [1972]</t>
        </is>
      </c>
      <c r="M70" t="inlineStr">
        <is>
          <t>1972</t>
        </is>
      </c>
      <c r="O70" t="inlineStr">
        <is>
          <t>eng</t>
        </is>
      </c>
      <c r="P70" t="inlineStr">
        <is>
          <t>pau</t>
        </is>
      </c>
      <c r="Q70" t="inlineStr">
        <is>
          <t>Theological resources</t>
        </is>
      </c>
      <c r="R70" t="inlineStr">
        <is>
          <t xml:space="preserve">BT </t>
        </is>
      </c>
      <c r="S70" t="n">
        <v>0</v>
      </c>
      <c r="T70" t="n">
        <v>0</v>
      </c>
      <c r="U70" t="inlineStr">
        <is>
          <t>2002-02-22</t>
        </is>
      </c>
      <c r="V70" t="inlineStr">
        <is>
          <t>2002-02-22</t>
        </is>
      </c>
      <c r="W70" t="inlineStr">
        <is>
          <t>1991-07-30</t>
        </is>
      </c>
      <c r="X70" t="inlineStr">
        <is>
          <t>1991-07-30</t>
        </is>
      </c>
      <c r="Y70" t="n">
        <v>347</v>
      </c>
      <c r="Z70" t="n">
        <v>324</v>
      </c>
      <c r="AA70" t="n">
        <v>491</v>
      </c>
      <c r="AB70" t="n">
        <v>4</v>
      </c>
      <c r="AC70" t="n">
        <v>4</v>
      </c>
      <c r="AD70" t="n">
        <v>26</v>
      </c>
      <c r="AE70" t="n">
        <v>35</v>
      </c>
      <c r="AF70" t="n">
        <v>7</v>
      </c>
      <c r="AG70" t="n">
        <v>12</v>
      </c>
      <c r="AH70" t="n">
        <v>6</v>
      </c>
      <c r="AI70" t="n">
        <v>9</v>
      </c>
      <c r="AJ70" t="n">
        <v>19</v>
      </c>
      <c r="AK70" t="n">
        <v>23</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HYPERLINK("https://creighton-primo.hosted.exlibrisgroup.com/primo-explore/search?tab=default_tab&amp;search_scope=EVERYTHING&amp;vid=01CRU&amp;lang=en_US&amp;offset=0&amp;query=any,contains,991002732779702656","Catalog Record")</f>
        <v/>
      </c>
      <c r="AT70">
        <f>HYPERLINK("http://www.worldcat.org/oclc/417879","WorldCat Record")</f>
        <v/>
      </c>
      <c r="AU70" t="inlineStr">
        <is>
          <t>1490170:eng</t>
        </is>
      </c>
      <c r="AV70" t="inlineStr">
        <is>
          <t>417879</t>
        </is>
      </c>
      <c r="AW70" t="inlineStr">
        <is>
          <t>991002732779702656</t>
        </is>
      </c>
      <c r="AX70" t="inlineStr">
        <is>
          <t>991002732779702656</t>
        </is>
      </c>
      <c r="AY70" t="inlineStr">
        <is>
          <t>2258288680002656</t>
        </is>
      </c>
      <c r="AZ70" t="inlineStr">
        <is>
          <t>BOOK</t>
        </is>
      </c>
      <c r="BB70" t="inlineStr">
        <is>
          <t>9780664209179</t>
        </is>
      </c>
      <c r="BC70" t="inlineStr">
        <is>
          <t>32285000692615</t>
        </is>
      </c>
      <c r="BD70" t="inlineStr">
        <is>
          <t>893616508</t>
        </is>
      </c>
    </row>
    <row r="71">
      <c r="A71" t="inlineStr">
        <is>
          <t>No</t>
        </is>
      </c>
      <c r="B71" t="inlineStr">
        <is>
          <t>BT109 .H86 1998</t>
        </is>
      </c>
      <c r="C71" t="inlineStr">
        <is>
          <t>0                      BT 0109000H  86          1998</t>
        </is>
      </c>
      <c r="D71" t="inlineStr">
        <is>
          <t>What are they saying about the Trinity? / Anne Hunt.</t>
        </is>
      </c>
      <c r="F71" t="inlineStr">
        <is>
          <t>No</t>
        </is>
      </c>
      <c r="G71" t="inlineStr">
        <is>
          <t>1</t>
        </is>
      </c>
      <c r="H71" t="inlineStr">
        <is>
          <t>No</t>
        </is>
      </c>
      <c r="I71" t="inlineStr">
        <is>
          <t>No</t>
        </is>
      </c>
      <c r="J71" t="inlineStr">
        <is>
          <t>0</t>
        </is>
      </c>
      <c r="K71" t="inlineStr">
        <is>
          <t>Hunt, Anne, 1952-</t>
        </is>
      </c>
      <c r="L71" t="inlineStr">
        <is>
          <t>New York : Paulist Press, c1998.</t>
        </is>
      </c>
      <c r="M71" t="inlineStr">
        <is>
          <t>1998</t>
        </is>
      </c>
      <c r="O71" t="inlineStr">
        <is>
          <t>eng</t>
        </is>
      </c>
      <c r="P71" t="inlineStr">
        <is>
          <t>nyu</t>
        </is>
      </c>
      <c r="R71" t="inlineStr">
        <is>
          <t xml:space="preserve">BT </t>
        </is>
      </c>
      <c r="S71" t="n">
        <v>5</v>
      </c>
      <c r="T71" t="n">
        <v>5</v>
      </c>
      <c r="U71" t="inlineStr">
        <is>
          <t>2002-07-11</t>
        </is>
      </c>
      <c r="V71" t="inlineStr">
        <is>
          <t>2002-07-11</t>
        </is>
      </c>
      <c r="W71" t="inlineStr">
        <is>
          <t>1998-12-09</t>
        </is>
      </c>
      <c r="X71" t="inlineStr">
        <is>
          <t>1998-12-09</t>
        </is>
      </c>
      <c r="Y71" t="n">
        <v>290</v>
      </c>
      <c r="Z71" t="n">
        <v>228</v>
      </c>
      <c r="AA71" t="n">
        <v>230</v>
      </c>
      <c r="AB71" t="n">
        <v>2</v>
      </c>
      <c r="AC71" t="n">
        <v>2</v>
      </c>
      <c r="AD71" t="n">
        <v>22</v>
      </c>
      <c r="AE71" t="n">
        <v>22</v>
      </c>
      <c r="AF71" t="n">
        <v>8</v>
      </c>
      <c r="AG71" t="n">
        <v>8</v>
      </c>
      <c r="AH71" t="n">
        <v>6</v>
      </c>
      <c r="AI71" t="n">
        <v>6</v>
      </c>
      <c r="AJ71" t="n">
        <v>13</v>
      </c>
      <c r="AK71" t="n">
        <v>13</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HYPERLINK("https://creighton-primo.hosted.exlibrisgroup.com/primo-explore/search?tab=default_tab&amp;search_scope=EVERYTHING&amp;vid=01CRU&amp;lang=en_US&amp;offset=0&amp;query=any,contains,991002924489702656","Catalog Record")</f>
        <v/>
      </c>
      <c r="AT71">
        <f>HYPERLINK("http://www.worldcat.org/oclc/38870718","WorldCat Record")</f>
        <v/>
      </c>
      <c r="AU71" t="inlineStr">
        <is>
          <t>356239498:eng</t>
        </is>
      </c>
      <c r="AV71" t="inlineStr">
        <is>
          <t>38870718</t>
        </is>
      </c>
      <c r="AW71" t="inlineStr">
        <is>
          <t>991002924489702656</t>
        </is>
      </c>
      <c r="AX71" t="inlineStr">
        <is>
          <t>991002924489702656</t>
        </is>
      </c>
      <c r="AY71" t="inlineStr">
        <is>
          <t>2260828110002656</t>
        </is>
      </c>
      <c r="AZ71" t="inlineStr">
        <is>
          <t>BOOK</t>
        </is>
      </c>
      <c r="BB71" t="inlineStr">
        <is>
          <t>9780809138067</t>
        </is>
      </c>
      <c r="BC71" t="inlineStr">
        <is>
          <t>32285003505137</t>
        </is>
      </c>
      <c r="BD71" t="inlineStr">
        <is>
          <t>893227445</t>
        </is>
      </c>
    </row>
    <row r="72">
      <c r="A72" t="inlineStr">
        <is>
          <t>No</t>
        </is>
      </c>
      <c r="B72" t="inlineStr">
        <is>
          <t>BT109 .K54</t>
        </is>
      </c>
      <c r="C72" t="inlineStr">
        <is>
          <t>0                      BT 0109000K  54</t>
        </is>
      </c>
      <c r="D72" t="inlineStr">
        <is>
          <t>The doctrine of the Trinity / by Abbé Félix Klein ; translated by Daniel J. Sullivan.</t>
        </is>
      </c>
      <c r="F72" t="inlineStr">
        <is>
          <t>No</t>
        </is>
      </c>
      <c r="G72" t="inlineStr">
        <is>
          <t>1</t>
        </is>
      </c>
      <c r="H72" t="inlineStr">
        <is>
          <t>No</t>
        </is>
      </c>
      <c r="I72" t="inlineStr">
        <is>
          <t>No</t>
        </is>
      </c>
      <c r="J72" t="inlineStr">
        <is>
          <t>0</t>
        </is>
      </c>
      <c r="K72" t="inlineStr">
        <is>
          <t>Klein, Félix, 1862-1953.</t>
        </is>
      </c>
      <c r="L72" t="inlineStr">
        <is>
          <t>New York, P. J. Kenedy &amp; Sons [c1940]</t>
        </is>
      </c>
      <c r="M72" t="inlineStr">
        <is>
          <t>1940</t>
        </is>
      </c>
      <c r="O72" t="inlineStr">
        <is>
          <t>eng</t>
        </is>
      </c>
      <c r="P72" t="inlineStr">
        <is>
          <t>___</t>
        </is>
      </c>
      <c r="R72" t="inlineStr">
        <is>
          <t xml:space="preserve">BT </t>
        </is>
      </c>
      <c r="S72" t="n">
        <v>2</v>
      </c>
      <c r="T72" t="n">
        <v>2</v>
      </c>
      <c r="U72" t="inlineStr">
        <is>
          <t>2003-12-13</t>
        </is>
      </c>
      <c r="V72" t="inlineStr">
        <is>
          <t>2003-12-13</t>
        </is>
      </c>
      <c r="W72" t="inlineStr">
        <is>
          <t>1991-07-30</t>
        </is>
      </c>
      <c r="X72" t="inlineStr">
        <is>
          <t>1991-07-30</t>
        </is>
      </c>
      <c r="Y72" t="n">
        <v>141</v>
      </c>
      <c r="Z72" t="n">
        <v>126</v>
      </c>
      <c r="AA72" t="n">
        <v>126</v>
      </c>
      <c r="AB72" t="n">
        <v>3</v>
      </c>
      <c r="AC72" t="n">
        <v>3</v>
      </c>
      <c r="AD72" t="n">
        <v>21</v>
      </c>
      <c r="AE72" t="n">
        <v>21</v>
      </c>
      <c r="AF72" t="n">
        <v>3</v>
      </c>
      <c r="AG72" t="n">
        <v>3</v>
      </c>
      <c r="AH72" t="n">
        <v>7</v>
      </c>
      <c r="AI72" t="n">
        <v>7</v>
      </c>
      <c r="AJ72" t="n">
        <v>16</v>
      </c>
      <c r="AK72" t="n">
        <v>16</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HYPERLINK("https://creighton-primo.hosted.exlibrisgroup.com/primo-explore/search?tab=default_tab&amp;search_scope=EVERYTHING&amp;vid=01CRU&amp;lang=en_US&amp;offset=0&amp;query=any,contains,991003694599702656","Catalog Record")</f>
        <v/>
      </c>
      <c r="AT72">
        <f>HYPERLINK("http://www.worldcat.org/oclc/1325310","WorldCat Record")</f>
        <v/>
      </c>
      <c r="AU72" t="inlineStr">
        <is>
          <t>366077373:eng</t>
        </is>
      </c>
      <c r="AV72" t="inlineStr">
        <is>
          <t>1325310</t>
        </is>
      </c>
      <c r="AW72" t="inlineStr">
        <is>
          <t>991003694599702656</t>
        </is>
      </c>
      <c r="AX72" t="inlineStr">
        <is>
          <t>991003694599702656</t>
        </is>
      </c>
      <c r="AY72" t="inlineStr">
        <is>
          <t>2257371180002656</t>
        </is>
      </c>
      <c r="AZ72" t="inlineStr">
        <is>
          <t>BOOK</t>
        </is>
      </c>
      <c r="BC72" t="inlineStr">
        <is>
          <t>32285000692631</t>
        </is>
      </c>
      <c r="BD72" t="inlineStr">
        <is>
          <t>893342871</t>
        </is>
      </c>
    </row>
    <row r="73">
      <c r="A73" t="inlineStr">
        <is>
          <t>No</t>
        </is>
      </c>
      <c r="B73" t="inlineStr">
        <is>
          <t>BT109 .S55</t>
        </is>
      </c>
      <c r="C73" t="inlineStr">
        <is>
          <t>0                      BT 0109000S  55</t>
        </is>
      </c>
      <c r="D73" t="inlineStr">
        <is>
          <t>The three Persons in One God / Gerard S. Sloyan.</t>
        </is>
      </c>
      <c r="F73" t="inlineStr">
        <is>
          <t>No</t>
        </is>
      </c>
      <c r="G73" t="inlineStr">
        <is>
          <t>1</t>
        </is>
      </c>
      <c r="H73" t="inlineStr">
        <is>
          <t>No</t>
        </is>
      </c>
      <c r="I73" t="inlineStr">
        <is>
          <t>No</t>
        </is>
      </c>
      <c r="J73" t="inlineStr">
        <is>
          <t>0</t>
        </is>
      </c>
      <c r="K73" t="inlineStr">
        <is>
          <t>Sloyan, Gerard S., 1919-</t>
        </is>
      </c>
      <c r="L73" t="inlineStr">
        <is>
          <t>Englewood Cliffs, N.J., Prentice-Hall [1964]</t>
        </is>
      </c>
      <c r="M73" t="inlineStr">
        <is>
          <t>1964</t>
        </is>
      </c>
      <c r="O73" t="inlineStr">
        <is>
          <t>eng</t>
        </is>
      </c>
      <c r="P73" t="inlineStr">
        <is>
          <t>nju</t>
        </is>
      </c>
      <c r="Q73" t="inlineStr">
        <is>
          <t>Foundations of Catholic theology series</t>
        </is>
      </c>
      <c r="R73" t="inlineStr">
        <is>
          <t xml:space="preserve">BT </t>
        </is>
      </c>
      <c r="S73" t="n">
        <v>7</v>
      </c>
      <c r="T73" t="n">
        <v>7</v>
      </c>
      <c r="U73" t="inlineStr">
        <is>
          <t>2000-06-29</t>
        </is>
      </c>
      <c r="V73" t="inlineStr">
        <is>
          <t>2000-06-29</t>
        </is>
      </c>
      <c r="W73" t="inlineStr">
        <is>
          <t>1990-05-07</t>
        </is>
      </c>
      <c r="X73" t="inlineStr">
        <is>
          <t>1990-05-07</t>
        </is>
      </c>
      <c r="Y73" t="n">
        <v>333</v>
      </c>
      <c r="Z73" t="n">
        <v>280</v>
      </c>
      <c r="AA73" t="n">
        <v>286</v>
      </c>
      <c r="AB73" t="n">
        <v>3</v>
      </c>
      <c r="AC73" t="n">
        <v>3</v>
      </c>
      <c r="AD73" t="n">
        <v>31</v>
      </c>
      <c r="AE73" t="n">
        <v>31</v>
      </c>
      <c r="AF73" t="n">
        <v>11</v>
      </c>
      <c r="AG73" t="n">
        <v>11</v>
      </c>
      <c r="AH73" t="n">
        <v>9</v>
      </c>
      <c r="AI73" t="n">
        <v>9</v>
      </c>
      <c r="AJ73" t="n">
        <v>23</v>
      </c>
      <c r="AK73" t="n">
        <v>23</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HYPERLINK("https://creighton-primo.hosted.exlibrisgroup.com/primo-explore/search?tab=default_tab&amp;search_scope=EVERYTHING&amp;vid=01CRU&amp;lang=en_US&amp;offset=0&amp;query=any,contains,991002874229702656","Catalog Record")</f>
        <v/>
      </c>
      <c r="AT73">
        <f>HYPERLINK("http://www.worldcat.org/oclc/501752","WorldCat Record")</f>
        <v/>
      </c>
      <c r="AU73" t="inlineStr">
        <is>
          <t>1433966:eng</t>
        </is>
      </c>
      <c r="AV73" t="inlineStr">
        <is>
          <t>501752</t>
        </is>
      </c>
      <c r="AW73" t="inlineStr">
        <is>
          <t>991002874229702656</t>
        </is>
      </c>
      <c r="AX73" t="inlineStr">
        <is>
          <t>991002874229702656</t>
        </is>
      </c>
      <c r="AY73" t="inlineStr">
        <is>
          <t>2261960250002656</t>
        </is>
      </c>
      <c r="AZ73" t="inlineStr">
        <is>
          <t>BOOK</t>
        </is>
      </c>
      <c r="BC73" t="inlineStr">
        <is>
          <t>32285000150440</t>
        </is>
      </c>
      <c r="BD73" t="inlineStr">
        <is>
          <t>893627342</t>
        </is>
      </c>
    </row>
    <row r="74">
      <c r="A74" t="inlineStr">
        <is>
          <t>No</t>
        </is>
      </c>
      <c r="B74" t="inlineStr">
        <is>
          <t>BT109 .S8</t>
        </is>
      </c>
      <c r="C74" t="inlineStr">
        <is>
          <t>0                      BT 0109000S  8</t>
        </is>
      </c>
      <c r="D74" t="inlineStr">
        <is>
          <t>The image of God; the doctrine of St.Augustine and its influence.</t>
        </is>
      </c>
      <c r="F74" t="inlineStr">
        <is>
          <t>No</t>
        </is>
      </c>
      <c r="G74" t="inlineStr">
        <is>
          <t>1</t>
        </is>
      </c>
      <c r="H74" t="inlineStr">
        <is>
          <t>No</t>
        </is>
      </c>
      <c r="I74" t="inlineStr">
        <is>
          <t>No</t>
        </is>
      </c>
      <c r="J74" t="inlineStr">
        <is>
          <t>0</t>
        </is>
      </c>
      <c r="K74" t="inlineStr">
        <is>
          <t>Sullivan, John, 1942-</t>
        </is>
      </c>
      <c r="L74" t="inlineStr">
        <is>
          <t>Dubuque,Iowa, Priory Press [1963]</t>
        </is>
      </c>
      <c r="M74" t="inlineStr">
        <is>
          <t>1963</t>
        </is>
      </c>
      <c r="O74" t="inlineStr">
        <is>
          <t>eng</t>
        </is>
      </c>
      <c r="P74" t="inlineStr">
        <is>
          <t>___</t>
        </is>
      </c>
      <c r="R74" t="inlineStr">
        <is>
          <t xml:space="preserve">BT </t>
        </is>
      </c>
      <c r="S74" t="n">
        <v>7</v>
      </c>
      <c r="T74" t="n">
        <v>7</v>
      </c>
      <c r="U74" t="inlineStr">
        <is>
          <t>1999-11-06</t>
        </is>
      </c>
      <c r="V74" t="inlineStr">
        <is>
          <t>1999-11-06</t>
        </is>
      </c>
      <c r="W74" t="inlineStr">
        <is>
          <t>1991-07-30</t>
        </is>
      </c>
      <c r="X74" t="inlineStr">
        <is>
          <t>1991-07-30</t>
        </is>
      </c>
      <c r="Y74" t="n">
        <v>279</v>
      </c>
      <c r="Z74" t="n">
        <v>229</v>
      </c>
      <c r="AA74" t="n">
        <v>235</v>
      </c>
      <c r="AB74" t="n">
        <v>1</v>
      </c>
      <c r="AC74" t="n">
        <v>1</v>
      </c>
      <c r="AD74" t="n">
        <v>27</v>
      </c>
      <c r="AE74" t="n">
        <v>27</v>
      </c>
      <c r="AF74" t="n">
        <v>9</v>
      </c>
      <c r="AG74" t="n">
        <v>9</v>
      </c>
      <c r="AH74" t="n">
        <v>7</v>
      </c>
      <c r="AI74" t="n">
        <v>7</v>
      </c>
      <c r="AJ74" t="n">
        <v>19</v>
      </c>
      <c r="AK74" t="n">
        <v>19</v>
      </c>
      <c r="AL74" t="n">
        <v>0</v>
      </c>
      <c r="AM74" t="n">
        <v>0</v>
      </c>
      <c r="AN74" t="n">
        <v>0</v>
      </c>
      <c r="AO74" t="n">
        <v>0</v>
      </c>
      <c r="AP74" t="inlineStr">
        <is>
          <t>Yes</t>
        </is>
      </c>
      <c r="AQ74" t="inlineStr">
        <is>
          <t>No</t>
        </is>
      </c>
      <c r="AR74">
        <f>HYPERLINK("http://catalog.hathitrust.org/Record/102293585","HathiTrust Record")</f>
        <v/>
      </c>
      <c r="AS74">
        <f>HYPERLINK("https://creighton-primo.hosted.exlibrisgroup.com/primo-explore/search?tab=default_tab&amp;search_scope=EVERYTHING&amp;vid=01CRU&amp;lang=en_US&amp;offset=0&amp;query=any,contains,991003132069702656","Catalog Record")</f>
        <v/>
      </c>
      <c r="AT74">
        <f>HYPERLINK("http://www.worldcat.org/oclc/675076","WorldCat Record")</f>
        <v/>
      </c>
      <c r="AU74" t="inlineStr">
        <is>
          <t>309358696:eng</t>
        </is>
      </c>
      <c r="AV74" t="inlineStr">
        <is>
          <t>675076</t>
        </is>
      </c>
      <c r="AW74" t="inlineStr">
        <is>
          <t>991003132069702656</t>
        </is>
      </c>
      <c r="AX74" t="inlineStr">
        <is>
          <t>991003132069702656</t>
        </is>
      </c>
      <c r="AY74" t="inlineStr">
        <is>
          <t>2267172560002656</t>
        </is>
      </c>
      <c r="AZ74" t="inlineStr">
        <is>
          <t>BOOK</t>
        </is>
      </c>
      <c r="BC74" t="inlineStr">
        <is>
          <t>32285000692698</t>
        </is>
      </c>
      <c r="BD74" t="inlineStr">
        <is>
          <t>893323796</t>
        </is>
      </c>
    </row>
    <row r="75">
      <c r="A75" t="inlineStr">
        <is>
          <t>No</t>
        </is>
      </c>
      <c r="B75" t="inlineStr">
        <is>
          <t>BT109 .T38</t>
        </is>
      </c>
      <c r="C75" t="inlineStr">
        <is>
          <t>0                      BT 0109000T  38</t>
        </is>
      </c>
      <c r="D75" t="inlineStr">
        <is>
          <t>The vision of the trinity / George H. Tavard.</t>
        </is>
      </c>
      <c r="F75" t="inlineStr">
        <is>
          <t>No</t>
        </is>
      </c>
      <c r="G75" t="inlineStr">
        <is>
          <t>1</t>
        </is>
      </c>
      <c r="H75" t="inlineStr">
        <is>
          <t>No</t>
        </is>
      </c>
      <c r="I75" t="inlineStr">
        <is>
          <t>No</t>
        </is>
      </c>
      <c r="J75" t="inlineStr">
        <is>
          <t>0</t>
        </is>
      </c>
      <c r="K75" t="inlineStr">
        <is>
          <t>Tavard, George H. (George Henry), 1922-2007.</t>
        </is>
      </c>
      <c r="L75" t="inlineStr">
        <is>
          <t>Washington, DC : University Press of America, c1981.</t>
        </is>
      </c>
      <c r="M75" t="inlineStr">
        <is>
          <t>1981</t>
        </is>
      </c>
      <c r="O75" t="inlineStr">
        <is>
          <t>eng</t>
        </is>
      </c>
      <c r="P75" t="inlineStr">
        <is>
          <t>dcu</t>
        </is>
      </c>
      <c r="R75" t="inlineStr">
        <is>
          <t xml:space="preserve">BT </t>
        </is>
      </c>
      <c r="S75" t="n">
        <v>1</v>
      </c>
      <c r="T75" t="n">
        <v>1</v>
      </c>
      <c r="U75" t="inlineStr">
        <is>
          <t>1999-11-06</t>
        </is>
      </c>
      <c r="V75" t="inlineStr">
        <is>
          <t>1999-11-06</t>
        </is>
      </c>
      <c r="W75" t="inlineStr">
        <is>
          <t>1991-07-30</t>
        </is>
      </c>
      <c r="X75" t="inlineStr">
        <is>
          <t>1991-07-30</t>
        </is>
      </c>
      <c r="Y75" t="n">
        <v>228</v>
      </c>
      <c r="Z75" t="n">
        <v>183</v>
      </c>
      <c r="AA75" t="n">
        <v>183</v>
      </c>
      <c r="AB75" t="n">
        <v>2</v>
      </c>
      <c r="AC75" t="n">
        <v>2</v>
      </c>
      <c r="AD75" t="n">
        <v>22</v>
      </c>
      <c r="AE75" t="n">
        <v>22</v>
      </c>
      <c r="AF75" t="n">
        <v>5</v>
      </c>
      <c r="AG75" t="n">
        <v>5</v>
      </c>
      <c r="AH75" t="n">
        <v>5</v>
      </c>
      <c r="AI75" t="n">
        <v>5</v>
      </c>
      <c r="AJ75" t="n">
        <v>16</v>
      </c>
      <c r="AK75" t="n">
        <v>16</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HYPERLINK("https://creighton-primo.hosted.exlibrisgroup.com/primo-explore/search?tab=default_tab&amp;search_scope=EVERYTHING&amp;vid=01CRU&amp;lang=en_US&amp;offset=0&amp;query=any,contains,991005082989702656","Catalog Record")</f>
        <v/>
      </c>
      <c r="AT75">
        <f>HYPERLINK("http://www.worldcat.org/oclc/7175557","WorldCat Record")</f>
        <v/>
      </c>
      <c r="AU75" t="inlineStr">
        <is>
          <t>483153:eng</t>
        </is>
      </c>
      <c r="AV75" t="inlineStr">
        <is>
          <t>7175557</t>
        </is>
      </c>
      <c r="AW75" t="inlineStr">
        <is>
          <t>991005082989702656</t>
        </is>
      </c>
      <c r="AX75" t="inlineStr">
        <is>
          <t>991005082989702656</t>
        </is>
      </c>
      <c r="AY75" t="inlineStr">
        <is>
          <t>2272296830002656</t>
        </is>
      </c>
      <c r="AZ75" t="inlineStr">
        <is>
          <t>BOOK</t>
        </is>
      </c>
      <c r="BB75" t="inlineStr">
        <is>
          <t>9780819114129</t>
        </is>
      </c>
      <c r="BC75" t="inlineStr">
        <is>
          <t>32285000692706</t>
        </is>
      </c>
      <c r="BD75" t="inlineStr">
        <is>
          <t>893533132</t>
        </is>
      </c>
    </row>
    <row r="76">
      <c r="A76" t="inlineStr">
        <is>
          <t>No</t>
        </is>
      </c>
      <c r="B76" t="inlineStr">
        <is>
          <t>BT110 .H35 1992</t>
        </is>
      </c>
      <c r="C76" t="inlineStr">
        <is>
          <t>0                      BT 0110000H  35          1992</t>
        </is>
      </c>
      <c r="D76" t="inlineStr">
        <is>
          <t>The Trinity : an analysis of St. Thomas Aquinas' Expositio of the De Trinitate of Boethius / by Douglas C. Hall.</t>
        </is>
      </c>
      <c r="F76" t="inlineStr">
        <is>
          <t>No</t>
        </is>
      </c>
      <c r="G76" t="inlineStr">
        <is>
          <t>1</t>
        </is>
      </c>
      <c r="H76" t="inlineStr">
        <is>
          <t>No</t>
        </is>
      </c>
      <c r="I76" t="inlineStr">
        <is>
          <t>No</t>
        </is>
      </c>
      <c r="J76" t="inlineStr">
        <is>
          <t>0</t>
        </is>
      </c>
      <c r="K76" t="inlineStr">
        <is>
          <t>Hall, Douglas C.</t>
        </is>
      </c>
      <c r="L76" t="inlineStr">
        <is>
          <t>Leiden ; New York : E.J. Brill, 1992.</t>
        </is>
      </c>
      <c r="M76" t="inlineStr">
        <is>
          <t>1992</t>
        </is>
      </c>
      <c r="O76" t="inlineStr">
        <is>
          <t>eng</t>
        </is>
      </c>
      <c r="P76" t="inlineStr">
        <is>
          <t xml:space="preserve">ne </t>
        </is>
      </c>
      <c r="Q76" t="inlineStr">
        <is>
          <t>Studien und Texte zur Geistesgeschichte des Mittelalters, 0169-8125 ; Bd. 33</t>
        </is>
      </c>
      <c r="R76" t="inlineStr">
        <is>
          <t xml:space="preserve">BT </t>
        </is>
      </c>
      <c r="S76" t="n">
        <v>9</v>
      </c>
      <c r="T76" t="n">
        <v>9</v>
      </c>
      <c r="U76" t="inlineStr">
        <is>
          <t>2010-03-03</t>
        </is>
      </c>
      <c r="V76" t="inlineStr">
        <is>
          <t>2010-03-03</t>
        </is>
      </c>
      <c r="W76" t="inlineStr">
        <is>
          <t>1995-10-19</t>
        </is>
      </c>
      <c r="X76" t="inlineStr">
        <is>
          <t>1995-10-19</t>
        </is>
      </c>
      <c r="Y76" t="n">
        <v>205</v>
      </c>
      <c r="Z76" t="n">
        <v>139</v>
      </c>
      <c r="AA76" t="n">
        <v>140</v>
      </c>
      <c r="AB76" t="n">
        <v>2</v>
      </c>
      <c r="AC76" t="n">
        <v>2</v>
      </c>
      <c r="AD76" t="n">
        <v>12</v>
      </c>
      <c r="AE76" t="n">
        <v>13</v>
      </c>
      <c r="AF76" t="n">
        <v>1</v>
      </c>
      <c r="AG76" t="n">
        <v>2</v>
      </c>
      <c r="AH76" t="n">
        <v>4</v>
      </c>
      <c r="AI76" t="n">
        <v>4</v>
      </c>
      <c r="AJ76" t="n">
        <v>9</v>
      </c>
      <c r="AK76" t="n">
        <v>10</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HYPERLINK("https://creighton-primo.hosted.exlibrisgroup.com/primo-explore/search?tab=default_tab&amp;search_scope=EVERYTHING&amp;vid=01CRU&amp;lang=en_US&amp;offset=0&amp;query=any,contains,991005415279702656","Catalog Record")</f>
        <v/>
      </c>
      <c r="AT76">
        <f>HYPERLINK("http://www.worldcat.org/oclc/25713221","WorldCat Record")</f>
        <v/>
      </c>
      <c r="AU76" t="inlineStr">
        <is>
          <t>806739410:eng</t>
        </is>
      </c>
      <c r="AV76" t="inlineStr">
        <is>
          <t>25713221</t>
        </is>
      </c>
      <c r="AW76" t="inlineStr">
        <is>
          <t>991005415279702656</t>
        </is>
      </c>
      <c r="AX76" t="inlineStr">
        <is>
          <t>991005415279702656</t>
        </is>
      </c>
      <c r="AY76" t="inlineStr">
        <is>
          <t>2262662700002656</t>
        </is>
      </c>
      <c r="AZ76" t="inlineStr">
        <is>
          <t>BOOK</t>
        </is>
      </c>
      <c r="BB76" t="inlineStr">
        <is>
          <t>9789004096318</t>
        </is>
      </c>
      <c r="BC76" t="inlineStr">
        <is>
          <t>32285002068756</t>
        </is>
      </c>
      <c r="BD76" t="inlineStr">
        <is>
          <t>893607356</t>
        </is>
      </c>
    </row>
    <row r="77">
      <c r="A77" t="inlineStr">
        <is>
          <t>No</t>
        </is>
      </c>
      <c r="B77" t="inlineStr">
        <is>
          <t>BT110 .H5414 1999</t>
        </is>
      </c>
      <c r="C77" t="inlineStr">
        <is>
          <t>0                      BT 0110000H  5414        1999</t>
        </is>
      </c>
      <c r="D77" t="inlineStr">
        <is>
          <t>La Trinité / Hilaire de Poitiers ; texte critique par P. Smulders ; introduction par M. Figura et J. Doignon ; traduction par G.M. de Durand, Ch. Morel et G. Pelland ; notes par G. Pelland.</t>
        </is>
      </c>
      <c r="E77" t="inlineStr">
        <is>
          <t>V. 2</t>
        </is>
      </c>
      <c r="F77" t="inlineStr">
        <is>
          <t>Yes</t>
        </is>
      </c>
      <c r="G77" t="inlineStr">
        <is>
          <t>1</t>
        </is>
      </c>
      <c r="H77" t="inlineStr">
        <is>
          <t>No</t>
        </is>
      </c>
      <c r="I77" t="inlineStr">
        <is>
          <t>No</t>
        </is>
      </c>
      <c r="J77" t="inlineStr">
        <is>
          <t>0</t>
        </is>
      </c>
      <c r="K77" t="inlineStr">
        <is>
          <t>Hilary, Saint, Bishop of Poitiers, -367?.</t>
        </is>
      </c>
      <c r="L77" t="inlineStr">
        <is>
          <t>Paris : Éditions du Cerf, 1999-</t>
        </is>
      </c>
      <c r="M77" t="inlineStr">
        <is>
          <t>1999</t>
        </is>
      </c>
      <c r="O77" t="inlineStr">
        <is>
          <t>fre</t>
        </is>
      </c>
      <c r="P77" t="inlineStr">
        <is>
          <t xml:space="preserve">fr </t>
        </is>
      </c>
      <c r="Q77" t="inlineStr">
        <is>
          <t>Sources chrétiennes, 0750-1978 ; no 443, 448, 462, etc.</t>
        </is>
      </c>
      <c r="R77" t="inlineStr">
        <is>
          <t xml:space="preserve">BT </t>
        </is>
      </c>
      <c r="S77" t="n">
        <v>1</v>
      </c>
      <c r="T77" t="n">
        <v>3</v>
      </c>
      <c r="U77" t="inlineStr">
        <is>
          <t>2000-08-24</t>
        </is>
      </c>
      <c r="V77" t="inlineStr">
        <is>
          <t>2002-05-16</t>
        </is>
      </c>
      <c r="W77" t="inlineStr">
        <is>
          <t>2000-08-24</t>
        </is>
      </c>
      <c r="X77" t="inlineStr">
        <is>
          <t>2002-05-08</t>
        </is>
      </c>
      <c r="Y77" t="n">
        <v>152</v>
      </c>
      <c r="Z77" t="n">
        <v>114</v>
      </c>
      <c r="AA77" t="n">
        <v>116</v>
      </c>
      <c r="AB77" t="n">
        <v>1</v>
      </c>
      <c r="AC77" t="n">
        <v>1</v>
      </c>
      <c r="AD77" t="n">
        <v>10</v>
      </c>
      <c r="AE77" t="n">
        <v>10</v>
      </c>
      <c r="AF77" t="n">
        <v>2</v>
      </c>
      <c r="AG77" t="n">
        <v>2</v>
      </c>
      <c r="AH77" t="n">
        <v>1</v>
      </c>
      <c r="AI77" t="n">
        <v>1</v>
      </c>
      <c r="AJ77" t="n">
        <v>9</v>
      </c>
      <c r="AK77" t="n">
        <v>9</v>
      </c>
      <c r="AL77" t="n">
        <v>0</v>
      </c>
      <c r="AM77" t="n">
        <v>0</v>
      </c>
      <c r="AN77" t="n">
        <v>0</v>
      </c>
      <c r="AO77" t="n">
        <v>0</v>
      </c>
      <c r="AP77" t="inlineStr">
        <is>
          <t>No</t>
        </is>
      </c>
      <c r="AQ77" t="inlineStr">
        <is>
          <t>Yes</t>
        </is>
      </c>
      <c r="AR77">
        <f>HYPERLINK("http://catalog.hathitrust.org/Record/101994340","HathiTrust Record")</f>
        <v/>
      </c>
      <c r="AS77">
        <f>HYPERLINK("https://creighton-primo.hosted.exlibrisgroup.com/primo-explore/search?tab=default_tab&amp;search_scope=EVERYTHING&amp;vid=01CRU&amp;lang=en_US&amp;offset=0&amp;query=any,contains,991003272059702656","Catalog Record")</f>
        <v/>
      </c>
      <c r="AT77">
        <f>HYPERLINK("http://www.worldcat.org/oclc/239725458","WorldCat Record")</f>
        <v/>
      </c>
      <c r="AU77" t="inlineStr">
        <is>
          <t>10227536426:fre</t>
        </is>
      </c>
      <c r="AV77" t="inlineStr">
        <is>
          <t>239725458</t>
        </is>
      </c>
      <c r="AW77" t="inlineStr">
        <is>
          <t>991003272059702656</t>
        </is>
      </c>
      <c r="AX77" t="inlineStr">
        <is>
          <t>991003272059702656</t>
        </is>
      </c>
      <c r="AY77" t="inlineStr">
        <is>
          <t>2259534550002656</t>
        </is>
      </c>
      <c r="AZ77" t="inlineStr">
        <is>
          <t>BOOK</t>
        </is>
      </c>
      <c r="BB77" t="inlineStr">
        <is>
          <t>9782204062329</t>
        </is>
      </c>
      <c r="BC77" t="inlineStr">
        <is>
          <t>32285003759213</t>
        </is>
      </c>
      <c r="BD77" t="inlineStr">
        <is>
          <t>893336320</t>
        </is>
      </c>
    </row>
    <row r="78">
      <c r="A78" t="inlineStr">
        <is>
          <t>No</t>
        </is>
      </c>
      <c r="B78" t="inlineStr">
        <is>
          <t>BT110 .H5414 1999</t>
        </is>
      </c>
      <c r="C78" t="inlineStr">
        <is>
          <t>0                      BT 0110000H  5414        1999</t>
        </is>
      </c>
      <c r="D78" t="inlineStr">
        <is>
          <t>La Trinité / Hilaire de Poitiers ; texte critique par P. Smulders ; introduction par M. Figura et J. Doignon ; traduction par G.M. de Durand, Ch. Morel et G. Pelland ; notes par G. Pelland.</t>
        </is>
      </c>
      <c r="E78" t="inlineStr">
        <is>
          <t>V. 1</t>
        </is>
      </c>
      <c r="F78" t="inlineStr">
        <is>
          <t>Yes</t>
        </is>
      </c>
      <c r="G78" t="inlineStr">
        <is>
          <t>1</t>
        </is>
      </c>
      <c r="H78" t="inlineStr">
        <is>
          <t>No</t>
        </is>
      </c>
      <c r="I78" t="inlineStr">
        <is>
          <t>No</t>
        </is>
      </c>
      <c r="J78" t="inlineStr">
        <is>
          <t>0</t>
        </is>
      </c>
      <c r="K78" t="inlineStr">
        <is>
          <t>Hilary, Saint, Bishop of Poitiers, -367?.</t>
        </is>
      </c>
      <c r="L78" t="inlineStr">
        <is>
          <t>Paris : Éditions du Cerf, 1999-</t>
        </is>
      </c>
      <c r="M78" t="inlineStr">
        <is>
          <t>1999</t>
        </is>
      </c>
      <c r="O78" t="inlineStr">
        <is>
          <t>fre</t>
        </is>
      </c>
      <c r="P78" t="inlineStr">
        <is>
          <t xml:space="preserve">fr </t>
        </is>
      </c>
      <c r="Q78" t="inlineStr">
        <is>
          <t>Sources chrétiennes, 0750-1978 ; no 443, 448, 462, etc.</t>
        </is>
      </c>
      <c r="R78" t="inlineStr">
        <is>
          <t xml:space="preserve">BT </t>
        </is>
      </c>
      <c r="S78" t="n">
        <v>1</v>
      </c>
      <c r="T78" t="n">
        <v>3</v>
      </c>
      <c r="U78" t="inlineStr">
        <is>
          <t>2001-02-06</t>
        </is>
      </c>
      <c r="V78" t="inlineStr">
        <is>
          <t>2002-05-16</t>
        </is>
      </c>
      <c r="W78" t="inlineStr">
        <is>
          <t>2001-02-06</t>
        </is>
      </c>
      <c r="X78" t="inlineStr">
        <is>
          <t>2002-05-08</t>
        </is>
      </c>
      <c r="Y78" t="n">
        <v>152</v>
      </c>
      <c r="Z78" t="n">
        <v>114</v>
      </c>
      <c r="AA78" t="n">
        <v>116</v>
      </c>
      <c r="AB78" t="n">
        <v>1</v>
      </c>
      <c r="AC78" t="n">
        <v>1</v>
      </c>
      <c r="AD78" t="n">
        <v>10</v>
      </c>
      <c r="AE78" t="n">
        <v>10</v>
      </c>
      <c r="AF78" t="n">
        <v>2</v>
      </c>
      <c r="AG78" t="n">
        <v>2</v>
      </c>
      <c r="AH78" t="n">
        <v>1</v>
      </c>
      <c r="AI78" t="n">
        <v>1</v>
      </c>
      <c r="AJ78" t="n">
        <v>9</v>
      </c>
      <c r="AK78" t="n">
        <v>9</v>
      </c>
      <c r="AL78" t="n">
        <v>0</v>
      </c>
      <c r="AM78" t="n">
        <v>0</v>
      </c>
      <c r="AN78" t="n">
        <v>0</v>
      </c>
      <c r="AO78" t="n">
        <v>0</v>
      </c>
      <c r="AP78" t="inlineStr">
        <is>
          <t>No</t>
        </is>
      </c>
      <c r="AQ78" t="inlineStr">
        <is>
          <t>Yes</t>
        </is>
      </c>
      <c r="AR78">
        <f>HYPERLINK("http://catalog.hathitrust.org/Record/101994340","HathiTrust Record")</f>
        <v/>
      </c>
      <c r="AS78">
        <f>HYPERLINK("https://creighton-primo.hosted.exlibrisgroup.com/primo-explore/search?tab=default_tab&amp;search_scope=EVERYTHING&amp;vid=01CRU&amp;lang=en_US&amp;offset=0&amp;query=any,contains,991003272059702656","Catalog Record")</f>
        <v/>
      </c>
      <c r="AT78">
        <f>HYPERLINK("http://www.worldcat.org/oclc/239725458","WorldCat Record")</f>
        <v/>
      </c>
      <c r="AU78" t="inlineStr">
        <is>
          <t>10227536426:fre</t>
        </is>
      </c>
      <c r="AV78" t="inlineStr">
        <is>
          <t>239725458</t>
        </is>
      </c>
      <c r="AW78" t="inlineStr">
        <is>
          <t>991003272059702656</t>
        </is>
      </c>
      <c r="AX78" t="inlineStr">
        <is>
          <t>991003272059702656</t>
        </is>
      </c>
      <c r="AY78" t="inlineStr">
        <is>
          <t>2259534550002656</t>
        </is>
      </c>
      <c r="AZ78" t="inlineStr">
        <is>
          <t>BOOK</t>
        </is>
      </c>
      <c r="BB78" t="inlineStr">
        <is>
          <t>9782204062329</t>
        </is>
      </c>
      <c r="BC78" t="inlineStr">
        <is>
          <t>32285004286091</t>
        </is>
      </c>
      <c r="BD78" t="inlineStr">
        <is>
          <t>893336322</t>
        </is>
      </c>
    </row>
    <row r="79">
      <c r="A79" t="inlineStr">
        <is>
          <t>No</t>
        </is>
      </c>
      <c r="B79" t="inlineStr">
        <is>
          <t>BT110 .H5414 1999</t>
        </is>
      </c>
      <c r="C79" t="inlineStr">
        <is>
          <t>0                      BT 0110000H  5414        1999</t>
        </is>
      </c>
      <c r="D79" t="inlineStr">
        <is>
          <t>La Trinité / Hilaire de Poitiers ; texte critique par P. Smulders ; introduction par M. Figura et J. Doignon ; traduction par G.M. de Durand, Ch. Morel et G. Pelland ; notes par G. Pelland.</t>
        </is>
      </c>
      <c r="E79" t="inlineStr">
        <is>
          <t>V. 3</t>
        </is>
      </c>
      <c r="F79" t="inlineStr">
        <is>
          <t>Yes</t>
        </is>
      </c>
      <c r="G79" t="inlineStr">
        <is>
          <t>1</t>
        </is>
      </c>
      <c r="H79" t="inlineStr">
        <is>
          <t>No</t>
        </is>
      </c>
      <c r="I79" t="inlineStr">
        <is>
          <t>No</t>
        </is>
      </c>
      <c r="J79" t="inlineStr">
        <is>
          <t>0</t>
        </is>
      </c>
      <c r="K79" t="inlineStr">
        <is>
          <t>Hilary, Saint, Bishop of Poitiers, -367?.</t>
        </is>
      </c>
      <c r="L79" t="inlineStr">
        <is>
          <t>Paris : Éditions du Cerf, 1999-</t>
        </is>
      </c>
      <c r="M79" t="inlineStr">
        <is>
          <t>1999</t>
        </is>
      </c>
      <c r="O79" t="inlineStr">
        <is>
          <t>fre</t>
        </is>
      </c>
      <c r="P79" t="inlineStr">
        <is>
          <t xml:space="preserve">fr </t>
        </is>
      </c>
      <c r="Q79" t="inlineStr">
        <is>
          <t>Sources chrétiennes, 0750-1978 ; no 443, 448, 462, etc.</t>
        </is>
      </c>
      <c r="R79" t="inlineStr">
        <is>
          <t xml:space="preserve">BT </t>
        </is>
      </c>
      <c r="S79" t="n">
        <v>1</v>
      </c>
      <c r="T79" t="n">
        <v>3</v>
      </c>
      <c r="U79" t="inlineStr">
        <is>
          <t>2002-05-16</t>
        </is>
      </c>
      <c r="V79" t="inlineStr">
        <is>
          <t>2002-05-16</t>
        </is>
      </c>
      <c r="W79" t="inlineStr">
        <is>
          <t>2002-05-08</t>
        </is>
      </c>
      <c r="X79" t="inlineStr">
        <is>
          <t>2002-05-08</t>
        </is>
      </c>
      <c r="Y79" t="n">
        <v>152</v>
      </c>
      <c r="Z79" t="n">
        <v>114</v>
      </c>
      <c r="AA79" t="n">
        <v>116</v>
      </c>
      <c r="AB79" t="n">
        <v>1</v>
      </c>
      <c r="AC79" t="n">
        <v>1</v>
      </c>
      <c r="AD79" t="n">
        <v>10</v>
      </c>
      <c r="AE79" t="n">
        <v>10</v>
      </c>
      <c r="AF79" t="n">
        <v>2</v>
      </c>
      <c r="AG79" t="n">
        <v>2</v>
      </c>
      <c r="AH79" t="n">
        <v>1</v>
      </c>
      <c r="AI79" t="n">
        <v>1</v>
      </c>
      <c r="AJ79" t="n">
        <v>9</v>
      </c>
      <c r="AK79" t="n">
        <v>9</v>
      </c>
      <c r="AL79" t="n">
        <v>0</v>
      </c>
      <c r="AM79" t="n">
        <v>0</v>
      </c>
      <c r="AN79" t="n">
        <v>0</v>
      </c>
      <c r="AO79" t="n">
        <v>0</v>
      </c>
      <c r="AP79" t="inlineStr">
        <is>
          <t>No</t>
        </is>
      </c>
      <c r="AQ79" t="inlineStr">
        <is>
          <t>Yes</t>
        </is>
      </c>
      <c r="AR79">
        <f>HYPERLINK("http://catalog.hathitrust.org/Record/101994340","HathiTrust Record")</f>
        <v/>
      </c>
      <c r="AS79">
        <f>HYPERLINK("https://creighton-primo.hosted.exlibrisgroup.com/primo-explore/search?tab=default_tab&amp;search_scope=EVERYTHING&amp;vid=01CRU&amp;lang=en_US&amp;offset=0&amp;query=any,contains,991003272059702656","Catalog Record")</f>
        <v/>
      </c>
      <c r="AT79">
        <f>HYPERLINK("http://www.worldcat.org/oclc/239725458","WorldCat Record")</f>
        <v/>
      </c>
      <c r="AU79" t="inlineStr">
        <is>
          <t>10227536426:fre</t>
        </is>
      </c>
      <c r="AV79" t="inlineStr">
        <is>
          <t>239725458</t>
        </is>
      </c>
      <c r="AW79" t="inlineStr">
        <is>
          <t>991003272059702656</t>
        </is>
      </c>
      <c r="AX79" t="inlineStr">
        <is>
          <t>991003272059702656</t>
        </is>
      </c>
      <c r="AY79" t="inlineStr">
        <is>
          <t>2259534550002656</t>
        </is>
      </c>
      <c r="AZ79" t="inlineStr">
        <is>
          <t>BOOK</t>
        </is>
      </c>
      <c r="BB79" t="inlineStr">
        <is>
          <t>9782204062329</t>
        </is>
      </c>
      <c r="BC79" t="inlineStr">
        <is>
          <t>32285004487343</t>
        </is>
      </c>
      <c r="BD79" t="inlineStr">
        <is>
          <t>893342407</t>
        </is>
      </c>
    </row>
    <row r="80">
      <c r="A80" t="inlineStr">
        <is>
          <t>No</t>
        </is>
      </c>
      <c r="B80" t="inlineStr">
        <is>
          <t>BT110 .R7</t>
        </is>
      </c>
      <c r="C80" t="inlineStr">
        <is>
          <t>0                      BT 0110000R  7</t>
        </is>
      </c>
      <c r="D80" t="inlineStr">
        <is>
          <t>La Trinité; Texte latin. Introd., traduction et notes de Gaston Salet.</t>
        </is>
      </c>
      <c r="F80" t="inlineStr">
        <is>
          <t>No</t>
        </is>
      </c>
      <c r="G80" t="inlineStr">
        <is>
          <t>1</t>
        </is>
      </c>
      <c r="H80" t="inlineStr">
        <is>
          <t>No</t>
        </is>
      </c>
      <c r="I80" t="inlineStr">
        <is>
          <t>No</t>
        </is>
      </c>
      <c r="J80" t="inlineStr">
        <is>
          <t>0</t>
        </is>
      </c>
      <c r="K80" t="inlineStr">
        <is>
          <t>Richard, of St. Victor, -1173.</t>
        </is>
      </c>
      <c r="L80" t="inlineStr">
        <is>
          <t>Paris, Éditions du Cerf, 1959.</t>
        </is>
      </c>
      <c r="M80" t="inlineStr">
        <is>
          <t>1959</t>
        </is>
      </c>
      <c r="O80" t="inlineStr">
        <is>
          <t>mul</t>
        </is>
      </c>
      <c r="P80" t="inlineStr">
        <is>
          <t>___</t>
        </is>
      </c>
      <c r="Q80" t="inlineStr">
        <is>
          <t>Série des textes monastiques d'Occident ; 3</t>
        </is>
      </c>
      <c r="R80" t="inlineStr">
        <is>
          <t xml:space="preserve">BT </t>
        </is>
      </c>
      <c r="S80" t="n">
        <v>1</v>
      </c>
      <c r="T80" t="n">
        <v>1</v>
      </c>
      <c r="U80" t="inlineStr">
        <is>
          <t>2010-10-04</t>
        </is>
      </c>
      <c r="V80" t="inlineStr">
        <is>
          <t>2010-10-04</t>
        </is>
      </c>
      <c r="W80" t="inlineStr">
        <is>
          <t>1991-07-30</t>
        </is>
      </c>
      <c r="X80" t="inlineStr">
        <is>
          <t>1991-07-30</t>
        </is>
      </c>
      <c r="Y80" t="n">
        <v>174</v>
      </c>
      <c r="Z80" t="n">
        <v>129</v>
      </c>
      <c r="AA80" t="n">
        <v>136</v>
      </c>
      <c r="AB80" t="n">
        <v>2</v>
      </c>
      <c r="AC80" t="n">
        <v>2</v>
      </c>
      <c r="AD80" t="n">
        <v>18</v>
      </c>
      <c r="AE80" t="n">
        <v>18</v>
      </c>
      <c r="AF80" t="n">
        <v>4</v>
      </c>
      <c r="AG80" t="n">
        <v>4</v>
      </c>
      <c r="AH80" t="n">
        <v>3</v>
      </c>
      <c r="AI80" t="n">
        <v>3</v>
      </c>
      <c r="AJ80" t="n">
        <v>14</v>
      </c>
      <c r="AK80" t="n">
        <v>14</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HYPERLINK("https://creighton-primo.hosted.exlibrisgroup.com/primo-explore/search?tab=default_tab&amp;search_scope=EVERYTHING&amp;vid=01CRU&amp;lang=en_US&amp;offset=0&amp;query=any,contains,991003333439702656","Catalog Record")</f>
        <v/>
      </c>
      <c r="AT80">
        <f>HYPERLINK("http://www.worldcat.org/oclc/10647201","WorldCat Record")</f>
        <v/>
      </c>
      <c r="AU80" t="inlineStr">
        <is>
          <t>10628070346:fre</t>
        </is>
      </c>
      <c r="AV80" t="inlineStr">
        <is>
          <t>10647201</t>
        </is>
      </c>
      <c r="AW80" t="inlineStr">
        <is>
          <t>991003333439702656</t>
        </is>
      </c>
      <c r="AX80" t="inlineStr">
        <is>
          <t>991003333439702656</t>
        </is>
      </c>
      <c r="AY80" t="inlineStr">
        <is>
          <t>2264885340002656</t>
        </is>
      </c>
      <c r="AZ80" t="inlineStr">
        <is>
          <t>BOOK</t>
        </is>
      </c>
      <c r="BC80" t="inlineStr">
        <is>
          <t>32285000692763</t>
        </is>
      </c>
      <c r="BD80" t="inlineStr">
        <is>
          <t>893323992</t>
        </is>
      </c>
    </row>
    <row r="81">
      <c r="A81" t="inlineStr">
        <is>
          <t>No</t>
        </is>
      </c>
      <c r="B81" t="inlineStr">
        <is>
          <t>BT110.B65 T52</t>
        </is>
      </c>
      <c r="C81" t="inlineStr">
        <is>
          <t>0                      BT 0110000B  65                 T  52</t>
        </is>
      </c>
      <c r="D81" t="inlineStr">
        <is>
          <t>The Trinity and The unicity of the intellect, by St. Thomas Aquinas, translated by Sister Rose Emmanuella Brennan, S. H. N.</t>
        </is>
      </c>
      <c r="F81" t="inlineStr">
        <is>
          <t>No</t>
        </is>
      </c>
      <c r="G81" t="inlineStr">
        <is>
          <t>1</t>
        </is>
      </c>
      <c r="H81" t="inlineStr">
        <is>
          <t>No</t>
        </is>
      </c>
      <c r="I81" t="inlineStr">
        <is>
          <t>No</t>
        </is>
      </c>
      <c r="J81" t="inlineStr">
        <is>
          <t>0</t>
        </is>
      </c>
      <c r="K81" t="inlineStr">
        <is>
          <t>Thomas, Aquinas, Saint, 1225?-1274.</t>
        </is>
      </c>
      <c r="L81" t="inlineStr">
        <is>
          <t>St. Louis, Mo., London, B. Herder book co., 1946.</t>
        </is>
      </c>
      <c r="M81" t="inlineStr">
        <is>
          <t>1946</t>
        </is>
      </c>
      <c r="O81" t="inlineStr">
        <is>
          <t>eng</t>
        </is>
      </c>
      <c r="P81" t="inlineStr">
        <is>
          <t>mou</t>
        </is>
      </c>
      <c r="R81" t="inlineStr">
        <is>
          <t xml:space="preserve">BT </t>
        </is>
      </c>
      <c r="S81" t="n">
        <v>6</v>
      </c>
      <c r="T81" t="n">
        <v>6</v>
      </c>
      <c r="U81" t="inlineStr">
        <is>
          <t>2006-08-28</t>
        </is>
      </c>
      <c r="V81" t="inlineStr">
        <is>
          <t>2006-08-28</t>
        </is>
      </c>
      <c r="W81" t="inlineStr">
        <is>
          <t>1991-07-30</t>
        </is>
      </c>
      <c r="X81" t="inlineStr">
        <is>
          <t>1991-07-30</t>
        </is>
      </c>
      <c r="Y81" t="n">
        <v>246</v>
      </c>
      <c r="Z81" t="n">
        <v>211</v>
      </c>
      <c r="AA81" t="n">
        <v>216</v>
      </c>
      <c r="AB81" t="n">
        <v>3</v>
      </c>
      <c r="AC81" t="n">
        <v>3</v>
      </c>
      <c r="AD81" t="n">
        <v>34</v>
      </c>
      <c r="AE81" t="n">
        <v>34</v>
      </c>
      <c r="AF81" t="n">
        <v>13</v>
      </c>
      <c r="AG81" t="n">
        <v>13</v>
      </c>
      <c r="AH81" t="n">
        <v>9</v>
      </c>
      <c r="AI81" t="n">
        <v>9</v>
      </c>
      <c r="AJ81" t="n">
        <v>24</v>
      </c>
      <c r="AK81" t="n">
        <v>24</v>
      </c>
      <c r="AL81" t="n">
        <v>0</v>
      </c>
      <c r="AM81" t="n">
        <v>0</v>
      </c>
      <c r="AN81" t="n">
        <v>0</v>
      </c>
      <c r="AO81" t="n">
        <v>0</v>
      </c>
      <c r="AP81" t="inlineStr">
        <is>
          <t>No</t>
        </is>
      </c>
      <c r="AQ81" t="inlineStr">
        <is>
          <t>Yes</t>
        </is>
      </c>
      <c r="AR81">
        <f>HYPERLINK("http://catalog.hathitrust.org/Record/011804163","HathiTrust Record")</f>
        <v/>
      </c>
      <c r="AS81">
        <f>HYPERLINK("https://creighton-primo.hosted.exlibrisgroup.com/primo-explore/search?tab=default_tab&amp;search_scope=EVERYTHING&amp;vid=01CRU&amp;lang=en_US&amp;offset=0&amp;query=any,contains,991003911879702656","Catalog Record")</f>
        <v/>
      </c>
      <c r="AT81">
        <f>HYPERLINK("http://www.worldcat.org/oclc/1853425","WorldCat Record")</f>
        <v/>
      </c>
      <c r="AU81" t="inlineStr">
        <is>
          <t>4241237599:eng</t>
        </is>
      </c>
      <c r="AV81" t="inlineStr">
        <is>
          <t>1853425</t>
        </is>
      </c>
      <c r="AW81" t="inlineStr">
        <is>
          <t>991003911879702656</t>
        </is>
      </c>
      <c r="AX81" t="inlineStr">
        <is>
          <t>991003911879702656</t>
        </is>
      </c>
      <c r="AY81" t="inlineStr">
        <is>
          <t>2264708230002656</t>
        </is>
      </c>
      <c r="AZ81" t="inlineStr">
        <is>
          <t>BOOK</t>
        </is>
      </c>
      <c r="BC81" t="inlineStr">
        <is>
          <t>32285000692722</t>
        </is>
      </c>
      <c r="BD81" t="inlineStr">
        <is>
          <t>893605390</t>
        </is>
      </c>
    </row>
    <row r="82">
      <c r="A82" t="inlineStr">
        <is>
          <t>No</t>
        </is>
      </c>
      <c r="B82" t="inlineStr">
        <is>
          <t>BT110.B65 T54 1959</t>
        </is>
      </c>
      <c r="C82" t="inlineStr">
        <is>
          <t>0                      BT 0110000B  65                 T  54          1959</t>
        </is>
      </c>
      <c r="D82" t="inlineStr">
        <is>
          <t>Expositio super librum Boethii De Trinitate / ad Sancti Thomae de Aquino ; fidem codicis autographi nec non ceterorum codicum manu scriptorum recensuit Bruno Decker.</t>
        </is>
      </c>
      <c r="F82" t="inlineStr">
        <is>
          <t>No</t>
        </is>
      </c>
      <c r="G82" t="inlineStr">
        <is>
          <t>1</t>
        </is>
      </c>
      <c r="H82" t="inlineStr">
        <is>
          <t>No</t>
        </is>
      </c>
      <c r="I82" t="inlineStr">
        <is>
          <t>No</t>
        </is>
      </c>
      <c r="J82" t="inlineStr">
        <is>
          <t>0</t>
        </is>
      </c>
      <c r="K82" t="inlineStr">
        <is>
          <t>Thomas, Aquinas, Saint, 1225?-1274.</t>
        </is>
      </c>
      <c r="L82" t="inlineStr">
        <is>
          <t>Leiden : E. J. Brill, 1959.</t>
        </is>
      </c>
      <c r="M82" t="inlineStr">
        <is>
          <t>1959</t>
        </is>
      </c>
      <c r="N82" t="inlineStr">
        <is>
          <t>Editio altera.</t>
        </is>
      </c>
      <c r="O82" t="inlineStr">
        <is>
          <t>lat</t>
        </is>
      </c>
      <c r="P82" t="inlineStr">
        <is>
          <t xml:space="preserve">ne </t>
        </is>
      </c>
      <c r="Q82" t="inlineStr">
        <is>
          <t>Studien und Texte zur Geistesgeschichte des Mittelalters ; Bd. 4</t>
        </is>
      </c>
      <c r="R82" t="inlineStr">
        <is>
          <t xml:space="preserve">BT </t>
        </is>
      </c>
      <c r="S82" t="n">
        <v>3</v>
      </c>
      <c r="T82" t="n">
        <v>3</v>
      </c>
      <c r="U82" t="inlineStr">
        <is>
          <t>1998-09-30</t>
        </is>
      </c>
      <c r="V82" t="inlineStr">
        <is>
          <t>1998-09-30</t>
        </is>
      </c>
      <c r="W82" t="inlineStr">
        <is>
          <t>1991-07-30</t>
        </is>
      </c>
      <c r="X82" t="inlineStr">
        <is>
          <t>1991-07-30</t>
        </is>
      </c>
      <c r="Y82" t="n">
        <v>55</v>
      </c>
      <c r="Z82" t="n">
        <v>36</v>
      </c>
      <c r="AA82" t="n">
        <v>140</v>
      </c>
      <c r="AB82" t="n">
        <v>1</v>
      </c>
      <c r="AC82" t="n">
        <v>2</v>
      </c>
      <c r="AD82" t="n">
        <v>4</v>
      </c>
      <c r="AE82" t="n">
        <v>17</v>
      </c>
      <c r="AF82" t="n">
        <v>0</v>
      </c>
      <c r="AG82" t="n">
        <v>3</v>
      </c>
      <c r="AH82" t="n">
        <v>2</v>
      </c>
      <c r="AI82" t="n">
        <v>8</v>
      </c>
      <c r="AJ82" t="n">
        <v>3</v>
      </c>
      <c r="AK82" t="n">
        <v>13</v>
      </c>
      <c r="AL82" t="n">
        <v>0</v>
      </c>
      <c r="AM82" t="n">
        <v>0</v>
      </c>
      <c r="AN82" t="n">
        <v>0</v>
      </c>
      <c r="AO82" t="n">
        <v>0</v>
      </c>
      <c r="AP82" t="inlineStr">
        <is>
          <t>No</t>
        </is>
      </c>
      <c r="AQ82" t="inlineStr">
        <is>
          <t>Yes</t>
        </is>
      </c>
      <c r="AR82">
        <f>HYPERLINK("http://catalog.hathitrust.org/Record/007905136","HathiTrust Record")</f>
        <v/>
      </c>
      <c r="AS82">
        <f>HYPERLINK("https://creighton-primo.hosted.exlibrisgroup.com/primo-explore/search?tab=default_tab&amp;search_scope=EVERYTHING&amp;vid=01CRU&amp;lang=en_US&amp;offset=0&amp;query=any,contains,991004939629702656","Catalog Record")</f>
        <v/>
      </c>
      <c r="AT82">
        <f>HYPERLINK("http://www.worldcat.org/oclc/6172324","WorldCat Record")</f>
        <v/>
      </c>
      <c r="AU82" t="inlineStr">
        <is>
          <t>2908477081:lat</t>
        </is>
      </c>
      <c r="AV82" t="inlineStr">
        <is>
          <t>6172324</t>
        </is>
      </c>
      <c r="AW82" t="inlineStr">
        <is>
          <t>991004939629702656</t>
        </is>
      </c>
      <c r="AX82" t="inlineStr">
        <is>
          <t>991004939629702656</t>
        </is>
      </c>
      <c r="AY82" t="inlineStr">
        <is>
          <t>2254700790002656</t>
        </is>
      </c>
      <c r="AZ82" t="inlineStr">
        <is>
          <t>BOOK</t>
        </is>
      </c>
      <c r="BC82" t="inlineStr">
        <is>
          <t>32285000692730</t>
        </is>
      </c>
      <c r="BD82" t="inlineStr">
        <is>
          <t>893501114</t>
        </is>
      </c>
    </row>
    <row r="83">
      <c r="A83" t="inlineStr">
        <is>
          <t>No</t>
        </is>
      </c>
      <c r="B83" t="inlineStr">
        <is>
          <t>BT1100 .C25</t>
        </is>
      </c>
      <c r="C83" t="inlineStr">
        <is>
          <t>0                      BT 1100000C  25</t>
        </is>
      </c>
      <c r="D83" t="inlineStr">
        <is>
          <t>Ten reasons, proposed to his adversaries for disputation in the name of the faith and presented to the illustrious members of our universities / by Edmund Campion.</t>
        </is>
      </c>
      <c r="F83" t="inlineStr">
        <is>
          <t>No</t>
        </is>
      </c>
      <c r="G83" t="inlineStr">
        <is>
          <t>1</t>
        </is>
      </c>
      <c r="H83" t="inlineStr">
        <is>
          <t>No</t>
        </is>
      </c>
      <c r="I83" t="inlineStr">
        <is>
          <t>No</t>
        </is>
      </c>
      <c r="J83" t="inlineStr">
        <is>
          <t>0</t>
        </is>
      </c>
      <c r="K83" t="inlineStr">
        <is>
          <t>Campion, Edmund, Saint, 1540-1581.</t>
        </is>
      </c>
      <c r="L83" t="inlineStr">
        <is>
          <t>St. Louis, B. Herder, 1914.</t>
        </is>
      </c>
      <c r="M83" t="inlineStr">
        <is>
          <t>1914</t>
        </is>
      </c>
      <c r="O83" t="inlineStr">
        <is>
          <t>eng</t>
        </is>
      </c>
      <c r="P83" t="inlineStr">
        <is>
          <t>mou</t>
        </is>
      </c>
      <c r="Q83" t="inlineStr">
        <is>
          <t>The Catholic library, 6</t>
        </is>
      </c>
      <c r="R83" t="inlineStr">
        <is>
          <t xml:space="preserve">BT </t>
        </is>
      </c>
      <c r="S83" t="n">
        <v>4</v>
      </c>
      <c r="T83" t="n">
        <v>4</v>
      </c>
      <c r="U83" t="inlineStr">
        <is>
          <t>2006-02-27</t>
        </is>
      </c>
      <c r="V83" t="inlineStr">
        <is>
          <t>2006-02-27</t>
        </is>
      </c>
      <c r="W83" t="inlineStr">
        <is>
          <t>1991-10-25</t>
        </is>
      </c>
      <c r="X83" t="inlineStr">
        <is>
          <t>1991-10-25</t>
        </is>
      </c>
      <c r="Y83" t="n">
        <v>70</v>
      </c>
      <c r="Z83" t="n">
        <v>61</v>
      </c>
      <c r="AA83" t="n">
        <v>171</v>
      </c>
      <c r="AB83" t="n">
        <v>1</v>
      </c>
      <c r="AC83" t="n">
        <v>1</v>
      </c>
      <c r="AD83" t="n">
        <v>16</v>
      </c>
      <c r="AE83" t="n">
        <v>28</v>
      </c>
      <c r="AF83" t="n">
        <v>4</v>
      </c>
      <c r="AG83" t="n">
        <v>8</v>
      </c>
      <c r="AH83" t="n">
        <v>5</v>
      </c>
      <c r="AI83" t="n">
        <v>7</v>
      </c>
      <c r="AJ83" t="n">
        <v>14</v>
      </c>
      <c r="AK83" t="n">
        <v>23</v>
      </c>
      <c r="AL83" t="n">
        <v>0</v>
      </c>
      <c r="AM83" t="n">
        <v>0</v>
      </c>
      <c r="AN83" t="n">
        <v>0</v>
      </c>
      <c r="AO83" t="n">
        <v>0</v>
      </c>
      <c r="AP83" t="inlineStr">
        <is>
          <t>Yes</t>
        </is>
      </c>
      <c r="AQ83" t="inlineStr">
        <is>
          <t>No</t>
        </is>
      </c>
      <c r="AR83">
        <f>HYPERLINK("http://catalog.hathitrust.org/Record/100372900","HathiTrust Record")</f>
        <v/>
      </c>
      <c r="AS83">
        <f>HYPERLINK("https://creighton-primo.hosted.exlibrisgroup.com/primo-explore/search?tab=default_tab&amp;search_scope=EVERYTHING&amp;vid=01CRU&amp;lang=en_US&amp;offset=0&amp;query=any,contains,991000225219702656","Catalog Record")</f>
        <v/>
      </c>
      <c r="AT83">
        <f>HYPERLINK("http://www.worldcat.org/oclc/9615456","WorldCat Record")</f>
        <v/>
      </c>
      <c r="AU83" t="inlineStr">
        <is>
          <t>1150942433:eng</t>
        </is>
      </c>
      <c r="AV83" t="inlineStr">
        <is>
          <t>9615456</t>
        </is>
      </c>
      <c r="AW83" t="inlineStr">
        <is>
          <t>991000225219702656</t>
        </is>
      </c>
      <c r="AX83" t="inlineStr">
        <is>
          <t>991000225219702656</t>
        </is>
      </c>
      <c r="AY83" t="inlineStr">
        <is>
          <t>2257160700002656</t>
        </is>
      </c>
      <c r="AZ83" t="inlineStr">
        <is>
          <t>BOOK</t>
        </is>
      </c>
      <c r="BC83" t="inlineStr">
        <is>
          <t>32285000808104</t>
        </is>
      </c>
      <c r="BD83" t="inlineStr">
        <is>
          <t>893701963</t>
        </is>
      </c>
    </row>
    <row r="84">
      <c r="A84" t="inlineStr">
        <is>
          <t>No</t>
        </is>
      </c>
      <c r="B84" t="inlineStr">
        <is>
          <t>BT1100 .F7 1909</t>
        </is>
      </c>
      <c r="C84" t="inlineStr">
        <is>
          <t>0                      BT 1100000F  7           1909</t>
        </is>
      </c>
      <c r="D84" t="inlineStr">
        <is>
          <t>The Catholic controversy / translated into English by H.B. Canon Mackey ; edited from the autograph MSS. at Rome and at Annecy.</t>
        </is>
      </c>
      <c r="F84" t="inlineStr">
        <is>
          <t>No</t>
        </is>
      </c>
      <c r="G84" t="inlineStr">
        <is>
          <t>1</t>
        </is>
      </c>
      <c r="H84" t="inlineStr">
        <is>
          <t>No</t>
        </is>
      </c>
      <c r="I84" t="inlineStr">
        <is>
          <t>No</t>
        </is>
      </c>
      <c r="J84" t="inlineStr">
        <is>
          <t>0</t>
        </is>
      </c>
      <c r="K84" t="inlineStr">
        <is>
          <t>Francis, de Sales, Saint, 1567-1622.</t>
        </is>
      </c>
      <c r="L84" t="inlineStr">
        <is>
          <t>London : Burns and Oates ; New York : Benziger, 1909.</t>
        </is>
      </c>
      <c r="M84" t="inlineStr">
        <is>
          <t>1909</t>
        </is>
      </c>
      <c r="N84" t="inlineStr">
        <is>
          <t>3d ed., rev. and augmented.</t>
        </is>
      </c>
      <c r="O84" t="inlineStr">
        <is>
          <t>eng</t>
        </is>
      </c>
      <c r="P84" t="inlineStr">
        <is>
          <t>enk</t>
        </is>
      </c>
      <c r="Q84" t="inlineStr">
        <is>
          <t>Library of St. Francis de Sales ; III</t>
        </is>
      </c>
      <c r="R84" t="inlineStr">
        <is>
          <t xml:space="preserve">BT </t>
        </is>
      </c>
      <c r="S84" t="n">
        <v>2</v>
      </c>
      <c r="T84" t="n">
        <v>2</v>
      </c>
      <c r="U84" t="inlineStr">
        <is>
          <t>2010-05-02</t>
        </is>
      </c>
      <c r="V84" t="inlineStr">
        <is>
          <t>2010-05-02</t>
        </is>
      </c>
      <c r="W84" t="inlineStr">
        <is>
          <t>1991-10-25</t>
        </is>
      </c>
      <c r="X84" t="inlineStr">
        <is>
          <t>1991-10-25</t>
        </is>
      </c>
      <c r="Y84" t="n">
        <v>29</v>
      </c>
      <c r="Z84" t="n">
        <v>26</v>
      </c>
      <c r="AA84" t="n">
        <v>47</v>
      </c>
      <c r="AB84" t="n">
        <v>1</v>
      </c>
      <c r="AC84" t="n">
        <v>1</v>
      </c>
      <c r="AD84" t="n">
        <v>4</v>
      </c>
      <c r="AE84" t="n">
        <v>6</v>
      </c>
      <c r="AF84" t="n">
        <v>1</v>
      </c>
      <c r="AG84" t="n">
        <v>1</v>
      </c>
      <c r="AH84" t="n">
        <v>1</v>
      </c>
      <c r="AI84" t="n">
        <v>2</v>
      </c>
      <c r="AJ84" t="n">
        <v>2</v>
      </c>
      <c r="AK84" t="n">
        <v>4</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HYPERLINK("https://creighton-primo.hosted.exlibrisgroup.com/primo-explore/search?tab=default_tab&amp;search_scope=EVERYTHING&amp;vid=01CRU&amp;lang=en_US&amp;offset=0&amp;query=any,contains,991000063299702656","Catalog Record")</f>
        <v/>
      </c>
      <c r="AT84">
        <f>HYPERLINK("http://www.worldcat.org/oclc/8752362","WorldCat Record")</f>
        <v/>
      </c>
      <c r="AU84" t="inlineStr">
        <is>
          <t>4417261737:eng</t>
        </is>
      </c>
      <c r="AV84" t="inlineStr">
        <is>
          <t>8752362</t>
        </is>
      </c>
      <c r="AW84" t="inlineStr">
        <is>
          <t>991000063299702656</t>
        </is>
      </c>
      <c r="AX84" t="inlineStr">
        <is>
          <t>991000063299702656</t>
        </is>
      </c>
      <c r="AY84" t="inlineStr">
        <is>
          <t>2267702620002656</t>
        </is>
      </c>
      <c r="AZ84" t="inlineStr">
        <is>
          <t>BOOK</t>
        </is>
      </c>
      <c r="BC84" t="inlineStr">
        <is>
          <t>32285000808112</t>
        </is>
      </c>
      <c r="BD84" t="inlineStr">
        <is>
          <t>893695557</t>
        </is>
      </c>
    </row>
    <row r="85">
      <c r="A85" t="inlineStr">
        <is>
          <t>No</t>
        </is>
      </c>
      <c r="B85" t="inlineStr">
        <is>
          <t>BT1100 .P2 1970</t>
        </is>
      </c>
      <c r="C85" t="inlineStr">
        <is>
          <t>0                      BT 1100000P  2           1970</t>
        </is>
      </c>
      <c r="D85" t="inlineStr">
        <is>
          <t>A view of the evidences of Christianity, in three parts / by William Paley.</t>
        </is>
      </c>
      <c r="E85" t="inlineStr">
        <is>
          <t>V. 1</t>
        </is>
      </c>
      <c r="F85" t="inlineStr">
        <is>
          <t>Yes</t>
        </is>
      </c>
      <c r="G85" t="inlineStr">
        <is>
          <t>1</t>
        </is>
      </c>
      <c r="H85" t="inlineStr">
        <is>
          <t>No</t>
        </is>
      </c>
      <c r="I85" t="inlineStr">
        <is>
          <t>No</t>
        </is>
      </c>
      <c r="J85" t="inlineStr">
        <is>
          <t>0</t>
        </is>
      </c>
      <c r="K85" t="inlineStr">
        <is>
          <t>Paley, William, 1743-1805.</t>
        </is>
      </c>
      <c r="L85" t="inlineStr">
        <is>
          <t>London, R. Faulder, 1796 [1970]</t>
        </is>
      </c>
      <c r="M85" t="inlineStr">
        <is>
          <t>1970</t>
        </is>
      </c>
      <c r="N85" t="inlineStr">
        <is>
          <t>5th ed.</t>
        </is>
      </c>
      <c r="O85" t="inlineStr">
        <is>
          <t>eng</t>
        </is>
      </c>
      <c r="P85" t="inlineStr">
        <is>
          <t>___</t>
        </is>
      </c>
      <c r="R85" t="inlineStr">
        <is>
          <t xml:space="preserve">BT </t>
        </is>
      </c>
      <c r="S85" t="n">
        <v>4</v>
      </c>
      <c r="T85" t="n">
        <v>6</v>
      </c>
      <c r="U85" t="inlineStr">
        <is>
          <t>1996-03-27</t>
        </is>
      </c>
      <c r="V85" t="inlineStr">
        <is>
          <t>1996-03-27</t>
        </is>
      </c>
      <c r="W85" t="inlineStr">
        <is>
          <t>1991-10-25</t>
        </is>
      </c>
      <c r="X85" t="inlineStr">
        <is>
          <t>1991-10-25</t>
        </is>
      </c>
      <c r="Y85" t="n">
        <v>46</v>
      </c>
      <c r="Z85" t="n">
        <v>43</v>
      </c>
      <c r="AA85" t="n">
        <v>282</v>
      </c>
      <c r="AB85" t="n">
        <v>1</v>
      </c>
      <c r="AC85" t="n">
        <v>4</v>
      </c>
      <c r="AD85" t="n">
        <v>3</v>
      </c>
      <c r="AE85" t="n">
        <v>12</v>
      </c>
      <c r="AF85" t="n">
        <v>1</v>
      </c>
      <c r="AG85" t="n">
        <v>2</v>
      </c>
      <c r="AH85" t="n">
        <v>1</v>
      </c>
      <c r="AI85" t="n">
        <v>3</v>
      </c>
      <c r="AJ85" t="n">
        <v>2</v>
      </c>
      <c r="AK85" t="n">
        <v>6</v>
      </c>
      <c r="AL85" t="n">
        <v>0</v>
      </c>
      <c r="AM85" t="n">
        <v>3</v>
      </c>
      <c r="AN85" t="n">
        <v>0</v>
      </c>
      <c r="AO85" t="n">
        <v>0</v>
      </c>
      <c r="AP85" t="inlineStr">
        <is>
          <t>No</t>
        </is>
      </c>
      <c r="AQ85" t="inlineStr">
        <is>
          <t>Yes</t>
        </is>
      </c>
      <c r="AR85">
        <f>HYPERLINK("http://catalog.hathitrust.org/Record/102631909","HathiTrust Record")</f>
        <v/>
      </c>
      <c r="AS85">
        <f>HYPERLINK("https://creighton-primo.hosted.exlibrisgroup.com/primo-explore/search?tab=default_tab&amp;search_scope=EVERYTHING&amp;vid=01CRU&amp;lang=en_US&amp;offset=0&amp;query=any,contains,991003556729702656","Catalog Record")</f>
        <v/>
      </c>
      <c r="AT85">
        <f>HYPERLINK("http://www.worldcat.org/oclc/1125190","WorldCat Record")</f>
        <v/>
      </c>
      <c r="AU85" t="inlineStr">
        <is>
          <t>9437853269:eng</t>
        </is>
      </c>
      <c r="AV85" t="inlineStr">
        <is>
          <t>1125190</t>
        </is>
      </c>
      <c r="AW85" t="inlineStr">
        <is>
          <t>991003556729702656</t>
        </is>
      </c>
      <c r="AX85" t="inlineStr">
        <is>
          <t>991003556729702656</t>
        </is>
      </c>
      <c r="AY85" t="inlineStr">
        <is>
          <t>2270909060002656</t>
        </is>
      </c>
      <c r="AZ85" t="inlineStr">
        <is>
          <t>BOOK</t>
        </is>
      </c>
      <c r="BB85" t="inlineStr">
        <is>
          <t>9780576299497</t>
        </is>
      </c>
      <c r="BC85" t="inlineStr">
        <is>
          <t>32285000808120</t>
        </is>
      </c>
      <c r="BD85" t="inlineStr">
        <is>
          <t>893505698</t>
        </is>
      </c>
    </row>
    <row r="86">
      <c r="A86" t="inlineStr">
        <is>
          <t>No</t>
        </is>
      </c>
      <c r="B86" t="inlineStr">
        <is>
          <t>BT1100 .P2 1970</t>
        </is>
      </c>
      <c r="C86" t="inlineStr">
        <is>
          <t>0                      BT 1100000P  2           1970</t>
        </is>
      </c>
      <c r="D86" t="inlineStr">
        <is>
          <t>A view of the evidences of Christianity, in three parts / by William Paley.</t>
        </is>
      </c>
      <c r="E86" t="inlineStr">
        <is>
          <t>V. 2</t>
        </is>
      </c>
      <c r="F86" t="inlineStr">
        <is>
          <t>Yes</t>
        </is>
      </c>
      <c r="G86" t="inlineStr">
        <is>
          <t>1</t>
        </is>
      </c>
      <c r="H86" t="inlineStr">
        <is>
          <t>No</t>
        </is>
      </c>
      <c r="I86" t="inlineStr">
        <is>
          <t>No</t>
        </is>
      </c>
      <c r="J86" t="inlineStr">
        <is>
          <t>0</t>
        </is>
      </c>
      <c r="K86" t="inlineStr">
        <is>
          <t>Paley, William, 1743-1805.</t>
        </is>
      </c>
      <c r="L86" t="inlineStr">
        <is>
          <t>London, R. Faulder, 1796 [1970]</t>
        </is>
      </c>
      <c r="M86" t="inlineStr">
        <is>
          <t>1970</t>
        </is>
      </c>
      <c r="N86" t="inlineStr">
        <is>
          <t>5th ed.</t>
        </is>
      </c>
      <c r="O86" t="inlineStr">
        <is>
          <t>eng</t>
        </is>
      </c>
      <c r="P86" t="inlineStr">
        <is>
          <t>___</t>
        </is>
      </c>
      <c r="R86" t="inlineStr">
        <is>
          <t xml:space="preserve">BT </t>
        </is>
      </c>
      <c r="S86" t="n">
        <v>2</v>
      </c>
      <c r="T86" t="n">
        <v>6</v>
      </c>
      <c r="U86" t="inlineStr">
        <is>
          <t>1995-03-01</t>
        </is>
      </c>
      <c r="V86" t="inlineStr">
        <is>
          <t>1996-03-27</t>
        </is>
      </c>
      <c r="W86" t="inlineStr">
        <is>
          <t>1991-10-25</t>
        </is>
      </c>
      <c r="X86" t="inlineStr">
        <is>
          <t>1991-10-25</t>
        </is>
      </c>
      <c r="Y86" t="n">
        <v>46</v>
      </c>
      <c r="Z86" t="n">
        <v>43</v>
      </c>
      <c r="AA86" t="n">
        <v>282</v>
      </c>
      <c r="AB86" t="n">
        <v>1</v>
      </c>
      <c r="AC86" t="n">
        <v>4</v>
      </c>
      <c r="AD86" t="n">
        <v>3</v>
      </c>
      <c r="AE86" t="n">
        <v>12</v>
      </c>
      <c r="AF86" t="n">
        <v>1</v>
      </c>
      <c r="AG86" t="n">
        <v>2</v>
      </c>
      <c r="AH86" t="n">
        <v>1</v>
      </c>
      <c r="AI86" t="n">
        <v>3</v>
      </c>
      <c r="AJ86" t="n">
        <v>2</v>
      </c>
      <c r="AK86" t="n">
        <v>6</v>
      </c>
      <c r="AL86" t="n">
        <v>0</v>
      </c>
      <c r="AM86" t="n">
        <v>3</v>
      </c>
      <c r="AN86" t="n">
        <v>0</v>
      </c>
      <c r="AO86" t="n">
        <v>0</v>
      </c>
      <c r="AP86" t="inlineStr">
        <is>
          <t>No</t>
        </is>
      </c>
      <c r="AQ86" t="inlineStr">
        <is>
          <t>Yes</t>
        </is>
      </c>
      <c r="AR86">
        <f>HYPERLINK("http://catalog.hathitrust.org/Record/102631909","HathiTrust Record")</f>
        <v/>
      </c>
      <c r="AS86">
        <f>HYPERLINK("https://creighton-primo.hosted.exlibrisgroup.com/primo-explore/search?tab=default_tab&amp;search_scope=EVERYTHING&amp;vid=01CRU&amp;lang=en_US&amp;offset=0&amp;query=any,contains,991003556729702656","Catalog Record")</f>
        <v/>
      </c>
      <c r="AT86">
        <f>HYPERLINK("http://www.worldcat.org/oclc/1125190","WorldCat Record")</f>
        <v/>
      </c>
      <c r="AU86" t="inlineStr">
        <is>
          <t>9437853269:eng</t>
        </is>
      </c>
      <c r="AV86" t="inlineStr">
        <is>
          <t>1125190</t>
        </is>
      </c>
      <c r="AW86" t="inlineStr">
        <is>
          <t>991003556729702656</t>
        </is>
      </c>
      <c r="AX86" t="inlineStr">
        <is>
          <t>991003556729702656</t>
        </is>
      </c>
      <c r="AY86" t="inlineStr">
        <is>
          <t>2270909060002656</t>
        </is>
      </c>
      <c r="AZ86" t="inlineStr">
        <is>
          <t>BOOK</t>
        </is>
      </c>
      <c r="BB86" t="inlineStr">
        <is>
          <t>9780576299497</t>
        </is>
      </c>
      <c r="BC86" t="inlineStr">
        <is>
          <t>32285000808138</t>
        </is>
      </c>
      <c r="BD86" t="inlineStr">
        <is>
          <t>893518615</t>
        </is>
      </c>
    </row>
    <row r="87">
      <c r="A87" t="inlineStr">
        <is>
          <t>No</t>
        </is>
      </c>
      <c r="B87" t="inlineStr">
        <is>
          <t>BT1101 .B58</t>
        </is>
      </c>
      <c r="C87" t="inlineStr">
        <is>
          <t>0                      BT 1101000B  58</t>
        </is>
      </c>
      <c r="D87" t="inlineStr">
        <is>
          <t>God, Man and the universe : a Christian answer to modern materialism / edited, with an introduction, by Jacques de Bivort de La Saudee.</t>
        </is>
      </c>
      <c r="F87" t="inlineStr">
        <is>
          <t>No</t>
        </is>
      </c>
      <c r="G87" t="inlineStr">
        <is>
          <t>1</t>
        </is>
      </c>
      <c r="H87" t="inlineStr">
        <is>
          <t>No</t>
        </is>
      </c>
      <c r="I87" t="inlineStr">
        <is>
          <t>No</t>
        </is>
      </c>
      <c r="J87" t="inlineStr">
        <is>
          <t>0</t>
        </is>
      </c>
      <c r="K87" t="inlineStr">
        <is>
          <t>Bivort de la Saudée, Jacques de, 1900- editor.</t>
        </is>
      </c>
      <c r="L87" t="inlineStr">
        <is>
          <t>New York, Kenedy [1953?]</t>
        </is>
      </c>
      <c r="M87" t="inlineStr">
        <is>
          <t>1953</t>
        </is>
      </c>
      <c r="O87" t="inlineStr">
        <is>
          <t>eng</t>
        </is>
      </c>
      <c r="P87" t="inlineStr">
        <is>
          <t>___</t>
        </is>
      </c>
      <c r="R87" t="inlineStr">
        <is>
          <t xml:space="preserve">BT </t>
        </is>
      </c>
      <c r="S87" t="n">
        <v>1</v>
      </c>
      <c r="T87" t="n">
        <v>1</v>
      </c>
      <c r="U87" t="inlineStr">
        <is>
          <t>1997-05-21</t>
        </is>
      </c>
      <c r="V87" t="inlineStr">
        <is>
          <t>1997-05-21</t>
        </is>
      </c>
      <c r="W87" t="inlineStr">
        <is>
          <t>1991-10-25</t>
        </is>
      </c>
      <c r="X87" t="inlineStr">
        <is>
          <t>1991-10-25</t>
        </is>
      </c>
      <c r="Y87" t="n">
        <v>195</v>
      </c>
      <c r="Z87" t="n">
        <v>189</v>
      </c>
      <c r="AA87" t="n">
        <v>213</v>
      </c>
      <c r="AB87" t="n">
        <v>2</v>
      </c>
      <c r="AC87" t="n">
        <v>2</v>
      </c>
      <c r="AD87" t="n">
        <v>27</v>
      </c>
      <c r="AE87" t="n">
        <v>30</v>
      </c>
      <c r="AF87" t="n">
        <v>10</v>
      </c>
      <c r="AG87" t="n">
        <v>10</v>
      </c>
      <c r="AH87" t="n">
        <v>7</v>
      </c>
      <c r="AI87" t="n">
        <v>8</v>
      </c>
      <c r="AJ87" t="n">
        <v>21</v>
      </c>
      <c r="AK87" t="n">
        <v>24</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HYPERLINK("https://creighton-primo.hosted.exlibrisgroup.com/primo-explore/search?tab=default_tab&amp;search_scope=EVERYTHING&amp;vid=01CRU&amp;lang=en_US&amp;offset=0&amp;query=any,contains,991002933759702656","Catalog Record")</f>
        <v/>
      </c>
      <c r="AT87">
        <f>HYPERLINK("http://www.worldcat.org/oclc/531806","WorldCat Record")</f>
        <v/>
      </c>
      <c r="AU87" t="inlineStr">
        <is>
          <t>1546557:eng</t>
        </is>
      </c>
      <c r="AV87" t="inlineStr">
        <is>
          <t>531806</t>
        </is>
      </c>
      <c r="AW87" t="inlineStr">
        <is>
          <t>991002933759702656</t>
        </is>
      </c>
      <c r="AX87" t="inlineStr">
        <is>
          <t>991002933759702656</t>
        </is>
      </c>
      <c r="AY87" t="inlineStr">
        <is>
          <t>2262695140002656</t>
        </is>
      </c>
      <c r="AZ87" t="inlineStr">
        <is>
          <t>BOOK</t>
        </is>
      </c>
      <c r="BC87" t="inlineStr">
        <is>
          <t>32285000808153</t>
        </is>
      </c>
      <c r="BD87" t="inlineStr">
        <is>
          <t>893239695</t>
        </is>
      </c>
    </row>
    <row r="88">
      <c r="A88" t="inlineStr">
        <is>
          <t>No</t>
        </is>
      </c>
      <c r="B88" t="inlineStr">
        <is>
          <t>BT1101 .G897 1955</t>
        </is>
      </c>
      <c r="C88" t="inlineStr">
        <is>
          <t>0                      BT 1101000G  897         1955</t>
        </is>
      </c>
      <c r="D88" t="inlineStr">
        <is>
          <t>The problem of Jesus : a free-thinker's diary / by Jean Guitton. [Translated by A. Gordon Smith]</t>
        </is>
      </c>
      <c r="F88" t="inlineStr">
        <is>
          <t>No</t>
        </is>
      </c>
      <c r="G88" t="inlineStr">
        <is>
          <t>1</t>
        </is>
      </c>
      <c r="H88" t="inlineStr">
        <is>
          <t>No</t>
        </is>
      </c>
      <c r="I88" t="inlineStr">
        <is>
          <t>No</t>
        </is>
      </c>
      <c r="J88" t="inlineStr">
        <is>
          <t>0</t>
        </is>
      </c>
      <c r="K88" t="inlineStr">
        <is>
          <t>Guitton, Jean.</t>
        </is>
      </c>
      <c r="L88" t="inlineStr">
        <is>
          <t>New York : Kenedy, [1955]</t>
        </is>
      </c>
      <c r="M88" t="inlineStr">
        <is>
          <t>1955</t>
        </is>
      </c>
      <c r="O88" t="inlineStr">
        <is>
          <t>eng</t>
        </is>
      </c>
      <c r="P88" t="inlineStr">
        <is>
          <t>___</t>
        </is>
      </c>
      <c r="R88" t="inlineStr">
        <is>
          <t xml:space="preserve">BT </t>
        </is>
      </c>
      <c r="S88" t="n">
        <v>2</v>
      </c>
      <c r="T88" t="n">
        <v>2</v>
      </c>
      <c r="U88" t="inlineStr">
        <is>
          <t>1999-09-20</t>
        </is>
      </c>
      <c r="V88" t="inlineStr">
        <is>
          <t>1999-09-20</t>
        </is>
      </c>
      <c r="W88" t="inlineStr">
        <is>
          <t>1991-10-25</t>
        </is>
      </c>
      <c r="X88" t="inlineStr">
        <is>
          <t>1991-10-25</t>
        </is>
      </c>
      <c r="Y88" t="n">
        <v>204</v>
      </c>
      <c r="Z88" t="n">
        <v>189</v>
      </c>
      <c r="AA88" t="n">
        <v>223</v>
      </c>
      <c r="AB88" t="n">
        <v>2</v>
      </c>
      <c r="AC88" t="n">
        <v>2</v>
      </c>
      <c r="AD88" t="n">
        <v>30</v>
      </c>
      <c r="AE88" t="n">
        <v>32</v>
      </c>
      <c r="AF88" t="n">
        <v>11</v>
      </c>
      <c r="AG88" t="n">
        <v>11</v>
      </c>
      <c r="AH88" t="n">
        <v>5</v>
      </c>
      <c r="AI88" t="n">
        <v>7</v>
      </c>
      <c r="AJ88" t="n">
        <v>24</v>
      </c>
      <c r="AK88" t="n">
        <v>25</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HYPERLINK("https://creighton-primo.hosted.exlibrisgroup.com/primo-explore/search?tab=default_tab&amp;search_scope=EVERYTHING&amp;vid=01CRU&amp;lang=en_US&amp;offset=0&amp;query=any,contains,991003228199702656","Catalog Record")</f>
        <v/>
      </c>
      <c r="AT88">
        <f>HYPERLINK("http://www.worldcat.org/oclc/753347","WorldCat Record")</f>
        <v/>
      </c>
      <c r="AU88" t="inlineStr">
        <is>
          <t>1605030:eng</t>
        </is>
      </c>
      <c r="AV88" t="inlineStr">
        <is>
          <t>753347</t>
        </is>
      </c>
      <c r="AW88" t="inlineStr">
        <is>
          <t>991003228199702656</t>
        </is>
      </c>
      <c r="AX88" t="inlineStr">
        <is>
          <t>991003228199702656</t>
        </is>
      </c>
      <c r="AY88" t="inlineStr">
        <is>
          <t>2270493580002656</t>
        </is>
      </c>
      <c r="AZ88" t="inlineStr">
        <is>
          <t>BOOK</t>
        </is>
      </c>
      <c r="BC88" t="inlineStr">
        <is>
          <t>32285000808195</t>
        </is>
      </c>
      <c r="BD88" t="inlineStr">
        <is>
          <t>893617122</t>
        </is>
      </c>
    </row>
    <row r="89">
      <c r="A89" t="inlineStr">
        <is>
          <t>No</t>
        </is>
      </c>
      <c r="B89" t="inlineStr">
        <is>
          <t>BT1101 .S42</t>
        </is>
      </c>
      <c r="C89" t="inlineStr">
        <is>
          <t>0                      BT 1101000S  42</t>
        </is>
      </c>
      <c r="D89" t="inlineStr">
        <is>
          <t>The credentials of Christianity / by Martin J. Scott.</t>
        </is>
      </c>
      <c r="F89" t="inlineStr">
        <is>
          <t>No</t>
        </is>
      </c>
      <c r="G89" t="inlineStr">
        <is>
          <t>1</t>
        </is>
      </c>
      <c r="H89" t="inlineStr">
        <is>
          <t>No</t>
        </is>
      </c>
      <c r="I89" t="inlineStr">
        <is>
          <t>No</t>
        </is>
      </c>
      <c r="J89" t="inlineStr">
        <is>
          <t>0</t>
        </is>
      </c>
      <c r="K89" t="inlineStr">
        <is>
          <t>Scott, Martin J. (Martin Jerome), 1865-1964.</t>
        </is>
      </c>
      <c r="L89" t="inlineStr">
        <is>
          <t>New York, P. J. Kenedy &amp; sons, 1920.</t>
        </is>
      </c>
      <c r="M89" t="inlineStr">
        <is>
          <t>1920</t>
        </is>
      </c>
      <c r="O89" t="inlineStr">
        <is>
          <t>eng</t>
        </is>
      </c>
      <c r="P89" t="inlineStr">
        <is>
          <t>nyu</t>
        </is>
      </c>
      <c r="R89" t="inlineStr">
        <is>
          <t xml:space="preserve">BT </t>
        </is>
      </c>
      <c r="S89" t="n">
        <v>2</v>
      </c>
      <c r="T89" t="n">
        <v>2</v>
      </c>
      <c r="U89" t="inlineStr">
        <is>
          <t>1999-09-20</t>
        </is>
      </c>
      <c r="V89" t="inlineStr">
        <is>
          <t>1999-09-20</t>
        </is>
      </c>
      <c r="W89" t="inlineStr">
        <is>
          <t>1991-10-28</t>
        </is>
      </c>
      <c r="X89" t="inlineStr">
        <is>
          <t>1991-10-28</t>
        </is>
      </c>
      <c r="Y89" t="n">
        <v>142</v>
      </c>
      <c r="Z89" t="n">
        <v>126</v>
      </c>
      <c r="AA89" t="n">
        <v>142</v>
      </c>
      <c r="AB89" t="n">
        <v>3</v>
      </c>
      <c r="AC89" t="n">
        <v>4</v>
      </c>
      <c r="AD89" t="n">
        <v>23</v>
      </c>
      <c r="AE89" t="n">
        <v>25</v>
      </c>
      <c r="AF89" t="n">
        <v>6</v>
      </c>
      <c r="AG89" t="n">
        <v>6</v>
      </c>
      <c r="AH89" t="n">
        <v>6</v>
      </c>
      <c r="AI89" t="n">
        <v>7</v>
      </c>
      <c r="AJ89" t="n">
        <v>19</v>
      </c>
      <c r="AK89" t="n">
        <v>19</v>
      </c>
      <c r="AL89" t="n">
        <v>0</v>
      </c>
      <c r="AM89" t="n">
        <v>1</v>
      </c>
      <c r="AN89" t="n">
        <v>0</v>
      </c>
      <c r="AO89" t="n">
        <v>0</v>
      </c>
      <c r="AP89" t="inlineStr">
        <is>
          <t>Yes</t>
        </is>
      </c>
      <c r="AQ89" t="inlineStr">
        <is>
          <t>No</t>
        </is>
      </c>
      <c r="AR89">
        <f>HYPERLINK("http://catalog.hathitrust.org/Record/008735122","HathiTrust Record")</f>
        <v/>
      </c>
      <c r="AS89">
        <f>HYPERLINK("https://creighton-primo.hosted.exlibrisgroup.com/primo-explore/search?tab=default_tab&amp;search_scope=EVERYTHING&amp;vid=01CRU&amp;lang=en_US&amp;offset=0&amp;query=any,contains,991002490559702656","Catalog Record")</f>
        <v/>
      </c>
      <c r="AT89">
        <f>HYPERLINK("http://www.worldcat.org/oclc/362567","WorldCat Record")</f>
        <v/>
      </c>
      <c r="AU89" t="inlineStr">
        <is>
          <t>1417085:eng</t>
        </is>
      </c>
      <c r="AV89" t="inlineStr">
        <is>
          <t>362567</t>
        </is>
      </c>
      <c r="AW89" t="inlineStr">
        <is>
          <t>991002490559702656</t>
        </is>
      </c>
      <c r="AX89" t="inlineStr">
        <is>
          <t>991002490559702656</t>
        </is>
      </c>
      <c r="AY89" t="inlineStr">
        <is>
          <t>2262443600002656</t>
        </is>
      </c>
      <c r="AZ89" t="inlineStr">
        <is>
          <t>BOOK</t>
        </is>
      </c>
      <c r="BC89" t="inlineStr">
        <is>
          <t>32285000808302</t>
        </is>
      </c>
      <c r="BD89" t="inlineStr">
        <is>
          <t>893239124</t>
        </is>
      </c>
    </row>
    <row r="90">
      <c r="A90" t="inlineStr">
        <is>
          <t>No</t>
        </is>
      </c>
      <c r="B90" t="inlineStr">
        <is>
          <t>BT1101 .S93</t>
        </is>
      </c>
      <c r="C90" t="inlineStr">
        <is>
          <t>0                      BT 1101000S  93</t>
        </is>
      </c>
      <c r="D90" t="inlineStr">
        <is>
          <t>The Christian faith / by Père Suau; with an introd. by C.C. Martindale.</t>
        </is>
      </c>
      <c r="F90" t="inlineStr">
        <is>
          <t>No</t>
        </is>
      </c>
      <c r="G90" t="inlineStr">
        <is>
          <t>1</t>
        </is>
      </c>
      <c r="H90" t="inlineStr">
        <is>
          <t>No</t>
        </is>
      </c>
      <c r="I90" t="inlineStr">
        <is>
          <t>No</t>
        </is>
      </c>
      <c r="J90" t="inlineStr">
        <is>
          <t>0</t>
        </is>
      </c>
      <c r="K90" t="inlineStr">
        <is>
          <t>Suau, Pierre.</t>
        </is>
      </c>
      <c r="L90" t="inlineStr">
        <is>
          <t>New York ; Cincinnati, [etc.] : Benziger Bros. ; London : Burns, Oates &amp; Washbourne, 1920.</t>
        </is>
      </c>
      <c r="M90" t="inlineStr">
        <is>
          <t>1920</t>
        </is>
      </c>
      <c r="N90" t="inlineStr">
        <is>
          <t>From the French of the 2d ed.</t>
        </is>
      </c>
      <c r="O90" t="inlineStr">
        <is>
          <t>eng</t>
        </is>
      </c>
      <c r="P90" t="inlineStr">
        <is>
          <t xml:space="preserve">xx </t>
        </is>
      </c>
      <c r="R90" t="inlineStr">
        <is>
          <t xml:space="preserve">BT </t>
        </is>
      </c>
      <c r="S90" t="n">
        <v>2</v>
      </c>
      <c r="T90" t="n">
        <v>2</v>
      </c>
      <c r="U90" t="inlineStr">
        <is>
          <t>1996-01-25</t>
        </is>
      </c>
      <c r="V90" t="inlineStr">
        <is>
          <t>1996-01-25</t>
        </is>
      </c>
      <c r="W90" t="inlineStr">
        <is>
          <t>1991-10-28</t>
        </is>
      </c>
      <c r="X90" t="inlineStr">
        <is>
          <t>1991-10-28</t>
        </is>
      </c>
      <c r="Y90" t="n">
        <v>14</v>
      </c>
      <c r="Z90" t="n">
        <v>13</v>
      </c>
      <c r="AA90" t="n">
        <v>31</v>
      </c>
      <c r="AB90" t="n">
        <v>1</v>
      </c>
      <c r="AC90" t="n">
        <v>1</v>
      </c>
      <c r="AD90" t="n">
        <v>3</v>
      </c>
      <c r="AE90" t="n">
        <v>7</v>
      </c>
      <c r="AF90" t="n">
        <v>1</v>
      </c>
      <c r="AG90" t="n">
        <v>2</v>
      </c>
      <c r="AH90" t="n">
        <v>1</v>
      </c>
      <c r="AI90" t="n">
        <v>2</v>
      </c>
      <c r="AJ90" t="n">
        <v>3</v>
      </c>
      <c r="AK90" t="n">
        <v>6</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HYPERLINK("https://creighton-primo.hosted.exlibrisgroup.com/primo-explore/search?tab=default_tab&amp;search_scope=EVERYTHING&amp;vid=01CRU&amp;lang=en_US&amp;offset=0&amp;query=any,contains,991004705519702656","Catalog Record")</f>
        <v/>
      </c>
      <c r="AT90">
        <f>HYPERLINK("http://www.worldcat.org/oclc/4708671","WorldCat Record")</f>
        <v/>
      </c>
      <c r="AU90" t="inlineStr">
        <is>
          <t>14978849:eng</t>
        </is>
      </c>
      <c r="AV90" t="inlineStr">
        <is>
          <t>4708671</t>
        </is>
      </c>
      <c r="AW90" t="inlineStr">
        <is>
          <t>991004705519702656</t>
        </is>
      </c>
      <c r="AX90" t="inlineStr">
        <is>
          <t>991004705519702656</t>
        </is>
      </c>
      <c r="AY90" t="inlineStr">
        <is>
          <t>2269157550002656</t>
        </is>
      </c>
      <c r="AZ90" t="inlineStr">
        <is>
          <t>BOOK</t>
        </is>
      </c>
      <c r="BC90" t="inlineStr">
        <is>
          <t>32285000808310</t>
        </is>
      </c>
      <c r="BD90" t="inlineStr">
        <is>
          <t>893593997</t>
        </is>
      </c>
    </row>
    <row r="91">
      <c r="A91" t="inlineStr">
        <is>
          <t>No</t>
        </is>
      </c>
      <c r="B91" t="inlineStr">
        <is>
          <t>BT1101 .W14</t>
        </is>
      </c>
      <c r="C91" t="inlineStr">
        <is>
          <t>0                      BT 1101000W  14</t>
        </is>
      </c>
      <c r="D91" t="inlineStr">
        <is>
          <t>The principles of Catholic apologetics : a study of modernism based chiefly on the lectures of Pere Garrigou-Lagrange "De revelatione per ecclesiam catholicam proposita" adapted and re-arranged / by T. J. Walshe.</t>
        </is>
      </c>
      <c r="F91" t="inlineStr">
        <is>
          <t>No</t>
        </is>
      </c>
      <c r="G91" t="inlineStr">
        <is>
          <t>1</t>
        </is>
      </c>
      <c r="H91" t="inlineStr">
        <is>
          <t>No</t>
        </is>
      </c>
      <c r="I91" t="inlineStr">
        <is>
          <t>No</t>
        </is>
      </c>
      <c r="J91" t="inlineStr">
        <is>
          <t>0</t>
        </is>
      </c>
      <c r="K91" t="inlineStr">
        <is>
          <t>Walshe, Thomas Joseph.</t>
        </is>
      </c>
      <c r="L91" t="inlineStr">
        <is>
          <t>London : Sands; St. Louis, MO : B. Herder [1926]</t>
        </is>
      </c>
      <c r="M91" t="inlineStr">
        <is>
          <t>1926</t>
        </is>
      </c>
      <c r="O91" t="inlineStr">
        <is>
          <t>eng</t>
        </is>
      </c>
      <c r="P91" t="inlineStr">
        <is>
          <t>enk</t>
        </is>
      </c>
      <c r="R91" t="inlineStr">
        <is>
          <t xml:space="preserve">BT </t>
        </is>
      </c>
      <c r="S91" t="n">
        <v>4</v>
      </c>
      <c r="T91" t="n">
        <v>4</v>
      </c>
      <c r="U91" t="inlineStr">
        <is>
          <t>2006-08-20</t>
        </is>
      </c>
      <c r="V91" t="inlineStr">
        <is>
          <t>2006-08-20</t>
        </is>
      </c>
      <c r="W91" t="inlineStr">
        <is>
          <t>2000-06-15</t>
        </is>
      </c>
      <c r="X91" t="inlineStr">
        <is>
          <t>2000-06-15</t>
        </is>
      </c>
      <c r="Y91" t="n">
        <v>37</v>
      </c>
      <c r="Z91" t="n">
        <v>28</v>
      </c>
      <c r="AA91" t="n">
        <v>31</v>
      </c>
      <c r="AB91" t="n">
        <v>1</v>
      </c>
      <c r="AC91" t="n">
        <v>1</v>
      </c>
      <c r="AD91" t="n">
        <v>7</v>
      </c>
      <c r="AE91" t="n">
        <v>7</v>
      </c>
      <c r="AF91" t="n">
        <v>0</v>
      </c>
      <c r="AG91" t="n">
        <v>0</v>
      </c>
      <c r="AH91" t="n">
        <v>2</v>
      </c>
      <c r="AI91" t="n">
        <v>2</v>
      </c>
      <c r="AJ91" t="n">
        <v>6</v>
      </c>
      <c r="AK91" t="n">
        <v>6</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HYPERLINK("https://creighton-primo.hosted.exlibrisgroup.com/primo-explore/search?tab=default_tab&amp;search_scope=EVERYTHING&amp;vid=01CRU&amp;lang=en_US&amp;offset=0&amp;query=any,contains,991003124999702656","Catalog Record")</f>
        <v/>
      </c>
      <c r="AT91">
        <f>HYPERLINK("http://www.worldcat.org/oclc/3663501","WorldCat Record")</f>
        <v/>
      </c>
      <c r="AU91" t="inlineStr">
        <is>
          <t>377072521:eng</t>
        </is>
      </c>
      <c r="AV91" t="inlineStr">
        <is>
          <t>3663501</t>
        </is>
      </c>
      <c r="AW91" t="inlineStr">
        <is>
          <t>991003124999702656</t>
        </is>
      </c>
      <c r="AX91" t="inlineStr">
        <is>
          <t>991003124999702656</t>
        </is>
      </c>
      <c r="AY91" t="inlineStr">
        <is>
          <t>2261805680002656</t>
        </is>
      </c>
      <c r="AZ91" t="inlineStr">
        <is>
          <t>BOOK</t>
        </is>
      </c>
      <c r="BC91" t="inlineStr">
        <is>
          <t>32285000808344</t>
        </is>
      </c>
      <c r="BD91" t="inlineStr">
        <is>
          <t>893793345</t>
        </is>
      </c>
    </row>
    <row r="92">
      <c r="A92" t="inlineStr">
        <is>
          <t>No</t>
        </is>
      </c>
      <c r="B92" t="inlineStr">
        <is>
          <t>BT1102 .A4</t>
        </is>
      </c>
      <c r="C92" t="inlineStr">
        <is>
          <t>0                      BT 1102000A  4</t>
        </is>
      </c>
      <c r="D92" t="inlineStr">
        <is>
          <t>The reasonableness of faith : a philosophical essay on the grounds for religious beliefs / by Diogenes Allen ; foreword by Gene Fontinell.</t>
        </is>
      </c>
      <c r="F92" t="inlineStr">
        <is>
          <t>No</t>
        </is>
      </c>
      <c r="G92" t="inlineStr">
        <is>
          <t>1</t>
        </is>
      </c>
      <c r="H92" t="inlineStr">
        <is>
          <t>No</t>
        </is>
      </c>
      <c r="I92" t="inlineStr">
        <is>
          <t>No</t>
        </is>
      </c>
      <c r="J92" t="inlineStr">
        <is>
          <t>0</t>
        </is>
      </c>
      <c r="K92" t="inlineStr">
        <is>
          <t>Allen, Diogenes.</t>
        </is>
      </c>
      <c r="L92" t="inlineStr">
        <is>
          <t>Washington, Corpus Books [1968]</t>
        </is>
      </c>
      <c r="M92" t="inlineStr">
        <is>
          <t>1968</t>
        </is>
      </c>
      <c r="O92" t="inlineStr">
        <is>
          <t>eng</t>
        </is>
      </c>
      <c r="P92" t="inlineStr">
        <is>
          <t>dcu</t>
        </is>
      </c>
      <c r="R92" t="inlineStr">
        <is>
          <t xml:space="preserve">BT </t>
        </is>
      </c>
      <c r="S92" t="n">
        <v>3</v>
      </c>
      <c r="T92" t="n">
        <v>3</v>
      </c>
      <c r="U92" t="inlineStr">
        <is>
          <t>2006-02-27</t>
        </is>
      </c>
      <c r="V92" t="inlineStr">
        <is>
          <t>2006-02-27</t>
        </is>
      </c>
      <c r="W92" t="inlineStr">
        <is>
          <t>1991-10-28</t>
        </is>
      </c>
      <c r="X92" t="inlineStr">
        <is>
          <t>1991-10-28</t>
        </is>
      </c>
      <c r="Y92" t="n">
        <v>239</v>
      </c>
      <c r="Z92" t="n">
        <v>210</v>
      </c>
      <c r="AA92" t="n">
        <v>216</v>
      </c>
      <c r="AB92" t="n">
        <v>3</v>
      </c>
      <c r="AC92" t="n">
        <v>3</v>
      </c>
      <c r="AD92" t="n">
        <v>20</v>
      </c>
      <c r="AE92" t="n">
        <v>20</v>
      </c>
      <c r="AF92" t="n">
        <v>4</v>
      </c>
      <c r="AG92" t="n">
        <v>4</v>
      </c>
      <c r="AH92" t="n">
        <v>4</v>
      </c>
      <c r="AI92" t="n">
        <v>4</v>
      </c>
      <c r="AJ92" t="n">
        <v>16</v>
      </c>
      <c r="AK92" t="n">
        <v>16</v>
      </c>
      <c r="AL92" t="n">
        <v>2</v>
      </c>
      <c r="AM92" t="n">
        <v>2</v>
      </c>
      <c r="AN92" t="n">
        <v>0</v>
      </c>
      <c r="AO92" t="n">
        <v>0</v>
      </c>
      <c r="AP92" t="inlineStr">
        <is>
          <t>No</t>
        </is>
      </c>
      <c r="AQ92" t="inlineStr">
        <is>
          <t>Yes</t>
        </is>
      </c>
      <c r="AR92">
        <f>HYPERLINK("http://catalog.hathitrust.org/Record/001925251","HathiTrust Record")</f>
        <v/>
      </c>
      <c r="AS92">
        <f>HYPERLINK("https://creighton-primo.hosted.exlibrisgroup.com/primo-explore/search?tab=default_tab&amp;search_scope=EVERYTHING&amp;vid=01CRU&amp;lang=en_US&amp;offset=0&amp;query=any,contains,991005431609702656","Catalog Record")</f>
        <v/>
      </c>
      <c r="AT92">
        <f>HYPERLINK("http://www.worldcat.org/oclc/655","WorldCat Record")</f>
        <v/>
      </c>
      <c r="AU92" t="inlineStr">
        <is>
          <t>1123850:eng</t>
        </is>
      </c>
      <c r="AV92" t="inlineStr">
        <is>
          <t>655</t>
        </is>
      </c>
      <c r="AW92" t="inlineStr">
        <is>
          <t>991005431609702656</t>
        </is>
      </c>
      <c r="AX92" t="inlineStr">
        <is>
          <t>991005431609702656</t>
        </is>
      </c>
      <c r="AY92" t="inlineStr">
        <is>
          <t>2272635250002656</t>
        </is>
      </c>
      <c r="AZ92" t="inlineStr">
        <is>
          <t>BOOK</t>
        </is>
      </c>
      <c r="BC92" t="inlineStr">
        <is>
          <t>32285000808351</t>
        </is>
      </c>
      <c r="BD92" t="inlineStr">
        <is>
          <t>893883880</t>
        </is>
      </c>
    </row>
    <row r="93">
      <c r="A93" t="inlineStr">
        <is>
          <t>No</t>
        </is>
      </c>
      <c r="B93" t="inlineStr">
        <is>
          <t>BT1102 .B2313</t>
        </is>
      </c>
      <c r="C93" t="inlineStr">
        <is>
          <t>0                      BT 1102000B  2313</t>
        </is>
      </c>
      <c r="D93" t="inlineStr">
        <is>
          <t>Faith for today / Edmond Barbotin. Translated by Matthew J. O'Connell.</t>
        </is>
      </c>
      <c r="F93" t="inlineStr">
        <is>
          <t>No</t>
        </is>
      </c>
      <c r="G93" t="inlineStr">
        <is>
          <t>1</t>
        </is>
      </c>
      <c r="H93" t="inlineStr">
        <is>
          <t>No</t>
        </is>
      </c>
      <c r="I93" t="inlineStr">
        <is>
          <t>No</t>
        </is>
      </c>
      <c r="J93" t="inlineStr">
        <is>
          <t>0</t>
        </is>
      </c>
      <c r="K93" t="inlineStr">
        <is>
          <t>Barbotin, Edmond.</t>
        </is>
      </c>
      <c r="L93" t="inlineStr">
        <is>
          <t>Maryknoll, N.Y., Orbis Books [1974]</t>
        </is>
      </c>
      <c r="M93" t="inlineStr">
        <is>
          <t>1974</t>
        </is>
      </c>
      <c r="O93" t="inlineStr">
        <is>
          <t>eng</t>
        </is>
      </c>
      <c r="P93" t="inlineStr">
        <is>
          <t>nyu</t>
        </is>
      </c>
      <c r="R93" t="inlineStr">
        <is>
          <t xml:space="preserve">BT </t>
        </is>
      </c>
      <c r="S93" t="n">
        <v>2</v>
      </c>
      <c r="T93" t="n">
        <v>2</v>
      </c>
      <c r="U93" t="inlineStr">
        <is>
          <t>1996-01-25</t>
        </is>
      </c>
      <c r="V93" t="inlineStr">
        <is>
          <t>1996-01-25</t>
        </is>
      </c>
      <c r="W93" t="inlineStr">
        <is>
          <t>1991-10-28</t>
        </is>
      </c>
      <c r="X93" t="inlineStr">
        <is>
          <t>1991-10-28</t>
        </is>
      </c>
      <c r="Y93" t="n">
        <v>149</v>
      </c>
      <c r="Z93" t="n">
        <v>129</v>
      </c>
      <c r="AA93" t="n">
        <v>130</v>
      </c>
      <c r="AB93" t="n">
        <v>1</v>
      </c>
      <c r="AC93" t="n">
        <v>1</v>
      </c>
      <c r="AD93" t="n">
        <v>14</v>
      </c>
      <c r="AE93" t="n">
        <v>14</v>
      </c>
      <c r="AF93" t="n">
        <v>5</v>
      </c>
      <c r="AG93" t="n">
        <v>5</v>
      </c>
      <c r="AH93" t="n">
        <v>2</v>
      </c>
      <c r="AI93" t="n">
        <v>2</v>
      </c>
      <c r="AJ93" t="n">
        <v>10</v>
      </c>
      <c r="AK93" t="n">
        <v>10</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HYPERLINK("https://creighton-primo.hosted.exlibrisgroup.com/primo-explore/search?tab=default_tab&amp;search_scope=EVERYTHING&amp;vid=01CRU&amp;lang=en_US&amp;offset=0&amp;query=any,contains,991003293019702656","Catalog Record")</f>
        <v/>
      </c>
      <c r="AT93">
        <f>HYPERLINK("http://www.worldcat.org/oclc/814676","WorldCat Record")</f>
        <v/>
      </c>
      <c r="AU93" t="inlineStr">
        <is>
          <t>1668021:eng</t>
        </is>
      </c>
      <c r="AV93" t="inlineStr">
        <is>
          <t>814676</t>
        </is>
      </c>
      <c r="AW93" t="inlineStr">
        <is>
          <t>991003293019702656</t>
        </is>
      </c>
      <c r="AX93" t="inlineStr">
        <is>
          <t>991003293019702656</t>
        </is>
      </c>
      <c r="AY93" t="inlineStr">
        <is>
          <t>2270230510002656</t>
        </is>
      </c>
      <c r="AZ93" t="inlineStr">
        <is>
          <t>BOOK</t>
        </is>
      </c>
      <c r="BB93" t="inlineStr">
        <is>
          <t>9780883441251</t>
        </is>
      </c>
      <c r="BC93" t="inlineStr">
        <is>
          <t>32285000808385</t>
        </is>
      </c>
      <c r="BD93" t="inlineStr">
        <is>
          <t>893604639</t>
        </is>
      </c>
    </row>
    <row r="94">
      <c r="A94" t="inlineStr">
        <is>
          <t>No</t>
        </is>
      </c>
      <c r="B94" t="inlineStr">
        <is>
          <t>BT1102 .B315 1996</t>
        </is>
      </c>
      <c r="C94" t="inlineStr">
        <is>
          <t>0                      BT 1102000B  315         1996</t>
        </is>
      </c>
      <c r="D94" t="inlineStr">
        <is>
          <t>Uncertain belief : is it rational to be a Christian? / David J. Bartholomew.</t>
        </is>
      </c>
      <c r="F94" t="inlineStr">
        <is>
          <t>No</t>
        </is>
      </c>
      <c r="G94" t="inlineStr">
        <is>
          <t>1</t>
        </is>
      </c>
      <c r="H94" t="inlineStr">
        <is>
          <t>No</t>
        </is>
      </c>
      <c r="I94" t="inlineStr">
        <is>
          <t>No</t>
        </is>
      </c>
      <c r="J94" t="inlineStr">
        <is>
          <t>0</t>
        </is>
      </c>
      <c r="K94" t="inlineStr">
        <is>
          <t>Bartholomew, David J.</t>
        </is>
      </c>
      <c r="L94" t="inlineStr">
        <is>
          <t>Oxford : Clarendon Press ; New York : Oxford University Press, 1996.</t>
        </is>
      </c>
      <c r="M94" t="inlineStr">
        <is>
          <t>1996</t>
        </is>
      </c>
      <c r="O94" t="inlineStr">
        <is>
          <t>eng</t>
        </is>
      </c>
      <c r="P94" t="inlineStr">
        <is>
          <t>enk</t>
        </is>
      </c>
      <c r="R94" t="inlineStr">
        <is>
          <t xml:space="preserve">BT </t>
        </is>
      </c>
      <c r="S94" t="n">
        <v>4</v>
      </c>
      <c r="T94" t="n">
        <v>4</v>
      </c>
      <c r="U94" t="inlineStr">
        <is>
          <t>1999-11-04</t>
        </is>
      </c>
      <c r="V94" t="inlineStr">
        <is>
          <t>1999-11-04</t>
        </is>
      </c>
      <c r="W94" t="inlineStr">
        <is>
          <t>1996-08-06</t>
        </is>
      </c>
      <c r="X94" t="inlineStr">
        <is>
          <t>1996-08-06</t>
        </is>
      </c>
      <c r="Y94" t="n">
        <v>459</v>
      </c>
      <c r="Z94" t="n">
        <v>380</v>
      </c>
      <c r="AA94" t="n">
        <v>446</v>
      </c>
      <c r="AB94" t="n">
        <v>4</v>
      </c>
      <c r="AC94" t="n">
        <v>4</v>
      </c>
      <c r="AD94" t="n">
        <v>22</v>
      </c>
      <c r="AE94" t="n">
        <v>25</v>
      </c>
      <c r="AF94" t="n">
        <v>10</v>
      </c>
      <c r="AG94" t="n">
        <v>11</v>
      </c>
      <c r="AH94" t="n">
        <v>3</v>
      </c>
      <c r="AI94" t="n">
        <v>5</v>
      </c>
      <c r="AJ94" t="n">
        <v>11</v>
      </c>
      <c r="AK94" t="n">
        <v>12</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HYPERLINK("https://creighton-primo.hosted.exlibrisgroup.com/primo-explore/search?tab=default_tab&amp;search_scope=EVERYTHING&amp;vid=01CRU&amp;lang=en_US&amp;offset=0&amp;query=any,contains,991002559499702656","Catalog Record")</f>
        <v/>
      </c>
      <c r="AT94">
        <f>HYPERLINK("http://www.worldcat.org/oclc/33276065","WorldCat Record")</f>
        <v/>
      </c>
      <c r="AU94" t="inlineStr">
        <is>
          <t>836997058:eng</t>
        </is>
      </c>
      <c r="AV94" t="inlineStr">
        <is>
          <t>33276065</t>
        </is>
      </c>
      <c r="AW94" t="inlineStr">
        <is>
          <t>991002559499702656</t>
        </is>
      </c>
      <c r="AX94" t="inlineStr">
        <is>
          <t>991002559499702656</t>
        </is>
      </c>
      <c r="AY94" t="inlineStr">
        <is>
          <t>2257759570002656</t>
        </is>
      </c>
      <c r="AZ94" t="inlineStr">
        <is>
          <t>BOOK</t>
        </is>
      </c>
      <c r="BB94" t="inlineStr">
        <is>
          <t>9780198263784</t>
        </is>
      </c>
      <c r="BC94" t="inlineStr">
        <is>
          <t>32285002270865</t>
        </is>
      </c>
      <c r="BD94" t="inlineStr">
        <is>
          <t>893523759</t>
        </is>
      </c>
    </row>
    <row r="95">
      <c r="A95" t="inlineStr">
        <is>
          <t>No</t>
        </is>
      </c>
      <c r="B95" t="inlineStr">
        <is>
          <t>BT1102 .B613 1967</t>
        </is>
      </c>
      <c r="C95" t="inlineStr">
        <is>
          <t>0                      BT 1102000B  613         1967</t>
        </is>
      </c>
      <c r="D95" t="inlineStr">
        <is>
          <t>The logic of the faith.</t>
        </is>
      </c>
      <c r="F95" t="inlineStr">
        <is>
          <t>No</t>
        </is>
      </c>
      <c r="G95" t="inlineStr">
        <is>
          <t>1</t>
        </is>
      </c>
      <c r="H95" t="inlineStr">
        <is>
          <t>No</t>
        </is>
      </c>
      <c r="I95" t="inlineStr">
        <is>
          <t>No</t>
        </is>
      </c>
      <c r="J95" t="inlineStr">
        <is>
          <t>0</t>
        </is>
      </c>
      <c r="K95" t="inlineStr">
        <is>
          <t>Bouillard, Henri.</t>
        </is>
      </c>
      <c r="L95" t="inlineStr">
        <is>
          <t>New York, Sheed and Ward [1967]</t>
        </is>
      </c>
      <c r="M95" t="inlineStr">
        <is>
          <t>1967</t>
        </is>
      </c>
      <c r="O95" t="inlineStr">
        <is>
          <t>eng</t>
        </is>
      </c>
      <c r="P95" t="inlineStr">
        <is>
          <t>___</t>
        </is>
      </c>
      <c r="R95" t="inlineStr">
        <is>
          <t xml:space="preserve">BT </t>
        </is>
      </c>
      <c r="S95" t="n">
        <v>2</v>
      </c>
      <c r="T95" t="n">
        <v>2</v>
      </c>
      <c r="U95" t="inlineStr">
        <is>
          <t>1996-01-25</t>
        </is>
      </c>
      <c r="V95" t="inlineStr">
        <is>
          <t>1996-01-25</t>
        </is>
      </c>
      <c r="W95" t="inlineStr">
        <is>
          <t>1991-10-28</t>
        </is>
      </c>
      <c r="X95" t="inlineStr">
        <is>
          <t>1991-10-28</t>
        </is>
      </c>
      <c r="Y95" t="n">
        <v>299</v>
      </c>
      <c r="Z95" t="n">
        <v>263</v>
      </c>
      <c r="AA95" t="n">
        <v>293</v>
      </c>
      <c r="AB95" t="n">
        <v>5</v>
      </c>
      <c r="AC95" t="n">
        <v>5</v>
      </c>
      <c r="AD95" t="n">
        <v>31</v>
      </c>
      <c r="AE95" t="n">
        <v>31</v>
      </c>
      <c r="AF95" t="n">
        <v>9</v>
      </c>
      <c r="AG95" t="n">
        <v>9</v>
      </c>
      <c r="AH95" t="n">
        <v>7</v>
      </c>
      <c r="AI95" t="n">
        <v>7</v>
      </c>
      <c r="AJ95" t="n">
        <v>24</v>
      </c>
      <c r="AK95" t="n">
        <v>24</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HYPERLINK("https://creighton-primo.hosted.exlibrisgroup.com/primo-explore/search?tab=default_tab&amp;search_scope=EVERYTHING&amp;vid=01CRU&amp;lang=en_US&amp;offset=0&amp;query=any,contains,991003094999702656","Catalog Record")</f>
        <v/>
      </c>
      <c r="AT95">
        <f>HYPERLINK("http://www.worldcat.org/oclc/644774","WorldCat Record")</f>
        <v/>
      </c>
      <c r="AU95" t="inlineStr">
        <is>
          <t>2242287928:eng</t>
        </is>
      </c>
      <c r="AV95" t="inlineStr">
        <is>
          <t>644774</t>
        </is>
      </c>
      <c r="AW95" t="inlineStr">
        <is>
          <t>991003094999702656</t>
        </is>
      </c>
      <c r="AX95" t="inlineStr">
        <is>
          <t>991003094999702656</t>
        </is>
      </c>
      <c r="AY95" t="inlineStr">
        <is>
          <t>2261284620002656</t>
        </is>
      </c>
      <c r="AZ95" t="inlineStr">
        <is>
          <t>BOOK</t>
        </is>
      </c>
      <c r="BC95" t="inlineStr">
        <is>
          <t>32285000808435</t>
        </is>
      </c>
      <c r="BD95" t="inlineStr">
        <is>
          <t>893317638</t>
        </is>
      </c>
    </row>
    <row r="96">
      <c r="A96" t="inlineStr">
        <is>
          <t>No</t>
        </is>
      </c>
      <c r="B96" t="inlineStr">
        <is>
          <t>BT1102 .C6 1970</t>
        </is>
      </c>
      <c r="C96" t="inlineStr">
        <is>
          <t>0                      BT 1102000C  6           1970</t>
        </is>
      </c>
      <c r="D96" t="inlineStr">
        <is>
          <t>Christian community, response to reality / [by] Bernard J. Cooke.</t>
        </is>
      </c>
      <c r="F96" t="inlineStr">
        <is>
          <t>No</t>
        </is>
      </c>
      <c r="G96" t="inlineStr">
        <is>
          <t>1</t>
        </is>
      </c>
      <c r="H96" t="inlineStr">
        <is>
          <t>No</t>
        </is>
      </c>
      <c r="I96" t="inlineStr">
        <is>
          <t>No</t>
        </is>
      </c>
      <c r="J96" t="inlineStr">
        <is>
          <t>0</t>
        </is>
      </c>
      <c r="K96" t="inlineStr">
        <is>
          <t>Cooke, Bernard J., 1922-</t>
        </is>
      </c>
      <c r="L96" t="inlineStr">
        <is>
          <t>New York, Holt, Rinehart, and Winston [1970]</t>
        </is>
      </c>
      <c r="M96" t="inlineStr">
        <is>
          <t>1970</t>
        </is>
      </c>
      <c r="O96" t="inlineStr">
        <is>
          <t>eng</t>
        </is>
      </c>
      <c r="P96" t="inlineStr">
        <is>
          <t>nyu</t>
        </is>
      </c>
      <c r="R96" t="inlineStr">
        <is>
          <t xml:space="preserve">BT </t>
        </is>
      </c>
      <c r="S96" t="n">
        <v>2</v>
      </c>
      <c r="T96" t="n">
        <v>2</v>
      </c>
      <c r="U96" t="inlineStr">
        <is>
          <t>1994-04-13</t>
        </is>
      </c>
      <c r="V96" t="inlineStr">
        <is>
          <t>1994-04-13</t>
        </is>
      </c>
      <c r="W96" t="inlineStr">
        <is>
          <t>1991-09-03</t>
        </is>
      </c>
      <c r="X96" t="inlineStr">
        <is>
          <t>1991-09-03</t>
        </is>
      </c>
      <c r="Y96" t="n">
        <v>239</v>
      </c>
      <c r="Z96" t="n">
        <v>217</v>
      </c>
      <c r="AA96" t="n">
        <v>254</v>
      </c>
      <c r="AB96" t="n">
        <v>3</v>
      </c>
      <c r="AC96" t="n">
        <v>3</v>
      </c>
      <c r="AD96" t="n">
        <v>26</v>
      </c>
      <c r="AE96" t="n">
        <v>30</v>
      </c>
      <c r="AF96" t="n">
        <v>10</v>
      </c>
      <c r="AG96" t="n">
        <v>10</v>
      </c>
      <c r="AH96" t="n">
        <v>6</v>
      </c>
      <c r="AI96" t="n">
        <v>8</v>
      </c>
      <c r="AJ96" t="n">
        <v>18</v>
      </c>
      <c r="AK96" t="n">
        <v>22</v>
      </c>
      <c r="AL96" t="n">
        <v>1</v>
      </c>
      <c r="AM96" t="n">
        <v>1</v>
      </c>
      <c r="AN96" t="n">
        <v>0</v>
      </c>
      <c r="AO96" t="n">
        <v>0</v>
      </c>
      <c r="AP96" t="inlineStr">
        <is>
          <t>No</t>
        </is>
      </c>
      <c r="AQ96" t="inlineStr">
        <is>
          <t>No</t>
        </is>
      </c>
      <c r="AS96">
        <f>HYPERLINK("https://creighton-primo.hosted.exlibrisgroup.com/primo-explore/search?tab=default_tab&amp;search_scope=EVERYTHING&amp;vid=01CRU&amp;lang=en_US&amp;offset=0&amp;query=any,contains,991000647649702656","Catalog Record")</f>
        <v/>
      </c>
      <c r="AT96">
        <f>HYPERLINK("http://www.worldcat.org/oclc/111535","WorldCat Record")</f>
        <v/>
      </c>
      <c r="AU96" t="inlineStr">
        <is>
          <t>422223131:eng</t>
        </is>
      </c>
      <c r="AV96" t="inlineStr">
        <is>
          <t>111535</t>
        </is>
      </c>
      <c r="AW96" t="inlineStr">
        <is>
          <t>991000647649702656</t>
        </is>
      </c>
      <c r="AX96" t="inlineStr">
        <is>
          <t>991000647649702656</t>
        </is>
      </c>
      <c r="AY96" t="inlineStr">
        <is>
          <t>2268648760002656</t>
        </is>
      </c>
      <c r="AZ96" t="inlineStr">
        <is>
          <t>BOOK</t>
        </is>
      </c>
      <c r="BB96" t="inlineStr">
        <is>
          <t>9780030845574</t>
        </is>
      </c>
      <c r="BC96" t="inlineStr">
        <is>
          <t>32285000734664</t>
        </is>
      </c>
      <c r="BD96" t="inlineStr">
        <is>
          <t>893444412</t>
        </is>
      </c>
    </row>
    <row r="97">
      <c r="A97" t="inlineStr">
        <is>
          <t>No</t>
        </is>
      </c>
      <c r="B97" t="inlineStr">
        <is>
          <t>BT1102 .C8</t>
        </is>
      </c>
      <c r="C97" t="inlineStr">
        <is>
          <t>0                      BT 1102000C  8</t>
        </is>
      </c>
      <c r="D97" t="inlineStr">
        <is>
          <t>Crisis of moral authority / by Don Cupitt.</t>
        </is>
      </c>
      <c r="F97" t="inlineStr">
        <is>
          <t>No</t>
        </is>
      </c>
      <c r="G97" t="inlineStr">
        <is>
          <t>1</t>
        </is>
      </c>
      <c r="H97" t="inlineStr">
        <is>
          <t>No</t>
        </is>
      </c>
      <c r="I97" t="inlineStr">
        <is>
          <t>No</t>
        </is>
      </c>
      <c r="J97" t="inlineStr">
        <is>
          <t>0</t>
        </is>
      </c>
      <c r="K97" t="inlineStr">
        <is>
          <t>Cupitt, Don.</t>
        </is>
      </c>
      <c r="L97" t="inlineStr">
        <is>
          <t>Philadelphia, Westminster Press [1972]</t>
        </is>
      </c>
      <c r="M97" t="inlineStr">
        <is>
          <t>1972</t>
        </is>
      </c>
      <c r="O97" t="inlineStr">
        <is>
          <t>eng</t>
        </is>
      </c>
      <c r="P97" t="inlineStr">
        <is>
          <t>pau</t>
        </is>
      </c>
      <c r="R97" t="inlineStr">
        <is>
          <t xml:space="preserve">BT </t>
        </is>
      </c>
      <c r="S97" t="n">
        <v>2</v>
      </c>
      <c r="T97" t="n">
        <v>2</v>
      </c>
      <c r="U97" t="inlineStr">
        <is>
          <t>1996-05-08</t>
        </is>
      </c>
      <c r="V97" t="inlineStr">
        <is>
          <t>1996-05-08</t>
        </is>
      </c>
      <c r="W97" t="inlineStr">
        <is>
          <t>1991-10-28</t>
        </is>
      </c>
      <c r="X97" t="inlineStr">
        <is>
          <t>1991-10-28</t>
        </is>
      </c>
      <c r="Y97" t="n">
        <v>243</v>
      </c>
      <c r="Z97" t="n">
        <v>223</v>
      </c>
      <c r="AA97" t="n">
        <v>263</v>
      </c>
      <c r="AB97" t="n">
        <v>3</v>
      </c>
      <c r="AC97" t="n">
        <v>3</v>
      </c>
      <c r="AD97" t="n">
        <v>15</v>
      </c>
      <c r="AE97" t="n">
        <v>17</v>
      </c>
      <c r="AF97" t="n">
        <v>4</v>
      </c>
      <c r="AG97" t="n">
        <v>5</v>
      </c>
      <c r="AH97" t="n">
        <v>5</v>
      </c>
      <c r="AI97" t="n">
        <v>5</v>
      </c>
      <c r="AJ97" t="n">
        <v>8</v>
      </c>
      <c r="AK97" t="n">
        <v>9</v>
      </c>
      <c r="AL97" t="n">
        <v>2</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HYPERLINK("https://creighton-primo.hosted.exlibrisgroup.com/primo-explore/search?tab=default_tab&amp;search_scope=EVERYTHING&amp;vid=01CRU&amp;lang=en_US&amp;offset=0&amp;query=any,contains,991002247869702656","Catalog Record")</f>
        <v/>
      </c>
      <c r="AT97">
        <f>HYPERLINK("http://www.worldcat.org/oclc/297865","WorldCat Record")</f>
        <v/>
      </c>
      <c r="AU97" t="inlineStr">
        <is>
          <t>1501150:eng</t>
        </is>
      </c>
      <c r="AV97" t="inlineStr">
        <is>
          <t>297865</t>
        </is>
      </c>
      <c r="AW97" t="inlineStr">
        <is>
          <t>991002247869702656</t>
        </is>
      </c>
      <c r="AX97" t="inlineStr">
        <is>
          <t>991002247869702656</t>
        </is>
      </c>
      <c r="AY97" t="inlineStr">
        <is>
          <t>2264845790002656</t>
        </is>
      </c>
      <c r="AZ97" t="inlineStr">
        <is>
          <t>BOOK</t>
        </is>
      </c>
      <c r="BB97" t="inlineStr">
        <is>
          <t>9780664209506</t>
        </is>
      </c>
      <c r="BC97" t="inlineStr">
        <is>
          <t>32285000808450</t>
        </is>
      </c>
      <c r="BD97" t="inlineStr">
        <is>
          <t>893341214</t>
        </is>
      </c>
    </row>
    <row r="98">
      <c r="A98" t="inlineStr">
        <is>
          <t>No</t>
        </is>
      </c>
      <c r="B98" t="inlineStr">
        <is>
          <t>BT1102 .G43 1988</t>
        </is>
      </c>
      <c r="C98" t="inlineStr">
        <is>
          <t>0                      BT 1102000G  43          1988</t>
        </is>
      </c>
      <c r="D98" t="inlineStr">
        <is>
          <t>Christian apologetics / Norman L. Geisler.</t>
        </is>
      </c>
      <c r="F98" t="inlineStr">
        <is>
          <t>No</t>
        </is>
      </c>
      <c r="G98" t="inlineStr">
        <is>
          <t>1</t>
        </is>
      </c>
      <c r="H98" t="inlineStr">
        <is>
          <t>No</t>
        </is>
      </c>
      <c r="I98" t="inlineStr">
        <is>
          <t>No</t>
        </is>
      </c>
      <c r="J98" t="inlineStr">
        <is>
          <t>0</t>
        </is>
      </c>
      <c r="K98" t="inlineStr">
        <is>
          <t>Geisler, Norman L.</t>
        </is>
      </c>
      <c r="L98" t="inlineStr">
        <is>
          <t>Grand Rapids, Mich. : Baker Book House, 1988, c1976.</t>
        </is>
      </c>
      <c r="M98" t="inlineStr">
        <is>
          <t>1988</t>
        </is>
      </c>
      <c r="N98" t="inlineStr">
        <is>
          <t>Paperback ed.</t>
        </is>
      </c>
      <c r="O98" t="inlineStr">
        <is>
          <t>eng</t>
        </is>
      </c>
      <c r="P98" t="inlineStr">
        <is>
          <t>miu</t>
        </is>
      </c>
      <c r="R98" t="inlineStr">
        <is>
          <t xml:space="preserve">BT </t>
        </is>
      </c>
      <c r="S98" t="n">
        <v>1</v>
      </c>
      <c r="T98" t="n">
        <v>1</v>
      </c>
      <c r="U98" t="inlineStr">
        <is>
          <t>2008-12-11</t>
        </is>
      </c>
      <c r="V98" t="inlineStr">
        <is>
          <t>2008-12-11</t>
        </is>
      </c>
      <c r="W98" t="inlineStr">
        <is>
          <t>2008-12-11</t>
        </is>
      </c>
      <c r="X98" t="inlineStr">
        <is>
          <t>2008-12-11</t>
        </is>
      </c>
      <c r="Y98" t="n">
        <v>96</v>
      </c>
      <c r="Z98" t="n">
        <v>90</v>
      </c>
      <c r="AA98" t="n">
        <v>382</v>
      </c>
      <c r="AB98" t="n">
        <v>3</v>
      </c>
      <c r="AC98" t="n">
        <v>6</v>
      </c>
      <c r="AD98" t="n">
        <v>4</v>
      </c>
      <c r="AE98" t="n">
        <v>15</v>
      </c>
      <c r="AF98" t="n">
        <v>1</v>
      </c>
      <c r="AG98" t="n">
        <v>4</v>
      </c>
      <c r="AH98" t="n">
        <v>0</v>
      </c>
      <c r="AI98" t="n">
        <v>3</v>
      </c>
      <c r="AJ98" t="n">
        <v>2</v>
      </c>
      <c r="AK98" t="n">
        <v>6</v>
      </c>
      <c r="AL98" t="n">
        <v>1</v>
      </c>
      <c r="AM98" t="n">
        <v>3</v>
      </c>
      <c r="AN98" t="n">
        <v>0</v>
      </c>
      <c r="AO98" t="n">
        <v>0</v>
      </c>
      <c r="AP98" t="inlineStr">
        <is>
          <t>No</t>
        </is>
      </c>
      <c r="AQ98" t="inlineStr">
        <is>
          <t>No</t>
        </is>
      </c>
      <c r="AS98">
        <f>HYPERLINK("https://creighton-primo.hosted.exlibrisgroup.com/primo-explore/search?tab=default_tab&amp;search_scope=EVERYTHING&amp;vid=01CRU&amp;lang=en_US&amp;offset=0&amp;query=any,contains,991005283389702656","Catalog Record")</f>
        <v/>
      </c>
      <c r="AT98">
        <f>HYPERLINK("http://www.worldcat.org/oclc/19890780","WorldCat Record")</f>
        <v/>
      </c>
      <c r="AU98" t="inlineStr">
        <is>
          <t>6318993:eng</t>
        </is>
      </c>
      <c r="AV98" t="inlineStr">
        <is>
          <t>19890780</t>
        </is>
      </c>
      <c r="AW98" t="inlineStr">
        <is>
          <t>991005283389702656</t>
        </is>
      </c>
      <c r="AX98" t="inlineStr">
        <is>
          <t>991005283389702656</t>
        </is>
      </c>
      <c r="AY98" t="inlineStr">
        <is>
          <t>2255898880002656</t>
        </is>
      </c>
      <c r="AZ98" t="inlineStr">
        <is>
          <t>BOOK</t>
        </is>
      </c>
      <c r="BB98" t="inlineStr">
        <is>
          <t>9780801038228</t>
        </is>
      </c>
      <c r="BC98" t="inlineStr">
        <is>
          <t>32285005472658</t>
        </is>
      </c>
      <c r="BD98" t="inlineStr">
        <is>
          <t>893501634</t>
        </is>
      </c>
    </row>
    <row r="99">
      <c r="A99" t="inlineStr">
        <is>
          <t>No</t>
        </is>
      </c>
      <c r="B99" t="inlineStr">
        <is>
          <t>BT1102 .H32 1993</t>
        </is>
      </c>
      <c r="C99" t="inlineStr">
        <is>
          <t>0                      BT 1102000H  32          1993</t>
        </is>
      </c>
      <c r="D99" t="inlineStr">
        <is>
          <t>Virgin time / Patricia Hampl.</t>
        </is>
      </c>
      <c r="F99" t="inlineStr">
        <is>
          <t>No</t>
        </is>
      </c>
      <c r="G99" t="inlineStr">
        <is>
          <t>1</t>
        </is>
      </c>
      <c r="H99" t="inlineStr">
        <is>
          <t>No</t>
        </is>
      </c>
      <c r="I99" t="inlineStr">
        <is>
          <t>No</t>
        </is>
      </c>
      <c r="J99" t="inlineStr">
        <is>
          <t>0</t>
        </is>
      </c>
      <c r="K99" t="inlineStr">
        <is>
          <t>Hampl, Patricia, 1946-</t>
        </is>
      </c>
      <c r="L99" t="inlineStr">
        <is>
          <t>New York : Ballantine Books, 1993, c1992.</t>
        </is>
      </c>
      <c r="M99" t="inlineStr">
        <is>
          <t>1993</t>
        </is>
      </c>
      <c r="N99" t="inlineStr">
        <is>
          <t>1st Ballantine Books ed.</t>
        </is>
      </c>
      <c r="O99" t="inlineStr">
        <is>
          <t>eng</t>
        </is>
      </c>
      <c r="P99" t="inlineStr">
        <is>
          <t>nyu</t>
        </is>
      </c>
      <c r="R99" t="inlineStr">
        <is>
          <t xml:space="preserve">BT </t>
        </is>
      </c>
      <c r="S99" t="n">
        <v>1</v>
      </c>
      <c r="T99" t="n">
        <v>1</v>
      </c>
      <c r="U99" t="inlineStr">
        <is>
          <t>2003-12-11</t>
        </is>
      </c>
      <c r="V99" t="inlineStr">
        <is>
          <t>2003-12-11</t>
        </is>
      </c>
      <c r="W99" t="inlineStr">
        <is>
          <t>2003-12-11</t>
        </is>
      </c>
      <c r="X99" t="inlineStr">
        <is>
          <t>2003-12-11</t>
        </is>
      </c>
      <c r="Y99" t="n">
        <v>148</v>
      </c>
      <c r="Z99" t="n">
        <v>135</v>
      </c>
      <c r="AA99" t="n">
        <v>544</v>
      </c>
      <c r="AB99" t="n">
        <v>1</v>
      </c>
      <c r="AC99" t="n">
        <v>3</v>
      </c>
      <c r="AD99" t="n">
        <v>5</v>
      </c>
      <c r="AE99" t="n">
        <v>23</v>
      </c>
      <c r="AF99" t="n">
        <v>2</v>
      </c>
      <c r="AG99" t="n">
        <v>7</v>
      </c>
      <c r="AH99" t="n">
        <v>1</v>
      </c>
      <c r="AI99" t="n">
        <v>7</v>
      </c>
      <c r="AJ99" t="n">
        <v>4</v>
      </c>
      <c r="AK99" t="n">
        <v>15</v>
      </c>
      <c r="AL99" t="n">
        <v>0</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HYPERLINK("https://creighton-primo.hosted.exlibrisgroup.com/primo-explore/search?tab=default_tab&amp;search_scope=EVERYTHING&amp;vid=01CRU&amp;lang=en_US&amp;offset=0&amp;query=any,contains,991004203819702656","Catalog Record")</f>
        <v/>
      </c>
      <c r="AT99">
        <f>HYPERLINK("http://www.worldcat.org/oclc/29188619","WorldCat Record")</f>
        <v/>
      </c>
      <c r="AU99" t="inlineStr">
        <is>
          <t>2261151481:eng</t>
        </is>
      </c>
      <c r="AV99" t="inlineStr">
        <is>
          <t>29188619</t>
        </is>
      </c>
      <c r="AW99" t="inlineStr">
        <is>
          <t>991004203819702656</t>
        </is>
      </c>
      <c r="AX99" t="inlineStr">
        <is>
          <t>991004203819702656</t>
        </is>
      </c>
      <c r="AY99" t="inlineStr">
        <is>
          <t>2259933060002656</t>
        </is>
      </c>
      <c r="AZ99" t="inlineStr">
        <is>
          <t>BOOK</t>
        </is>
      </c>
      <c r="BB99" t="inlineStr">
        <is>
          <t>9780345384249</t>
        </is>
      </c>
      <c r="BC99" t="inlineStr">
        <is>
          <t>32285004846480</t>
        </is>
      </c>
      <c r="BD99" t="inlineStr">
        <is>
          <t>893423508</t>
        </is>
      </c>
    </row>
    <row r="100">
      <c r="A100" t="inlineStr">
        <is>
          <t>No</t>
        </is>
      </c>
      <c r="B100" t="inlineStr">
        <is>
          <t>BT1102 .H34 1995</t>
        </is>
      </c>
      <c r="C100" t="inlineStr">
        <is>
          <t>0                      BT 1102000H  34          1995</t>
        </is>
      </c>
      <c r="D100" t="inlineStr">
        <is>
          <t>Show me God : what the message from space is telling us about God / Fred Heeren ; forewords by George Verwer and George Smoot.</t>
        </is>
      </c>
      <c r="F100" t="inlineStr">
        <is>
          <t>No</t>
        </is>
      </c>
      <c r="G100" t="inlineStr">
        <is>
          <t>1</t>
        </is>
      </c>
      <c r="H100" t="inlineStr">
        <is>
          <t>No</t>
        </is>
      </c>
      <c r="I100" t="inlineStr">
        <is>
          <t>No</t>
        </is>
      </c>
      <c r="J100" t="inlineStr">
        <is>
          <t>0</t>
        </is>
      </c>
      <c r="K100" t="inlineStr">
        <is>
          <t>Heeren, Fred, 1953-</t>
        </is>
      </c>
      <c r="L100" t="inlineStr">
        <is>
          <t>Wheeling, IL : Searchlight Publications : Distributed by Day Star Productions, c1995.</t>
        </is>
      </c>
      <c r="M100" t="inlineStr">
        <is>
          <t>1995</t>
        </is>
      </c>
      <c r="O100" t="inlineStr">
        <is>
          <t>eng</t>
        </is>
      </c>
      <c r="P100" t="inlineStr">
        <is>
          <t>ilu</t>
        </is>
      </c>
      <c r="Q100" t="inlineStr">
        <is>
          <t>Wonders that witness to the Bible's truth ; v. 1</t>
        </is>
      </c>
      <c r="R100" t="inlineStr">
        <is>
          <t xml:space="preserve">BT </t>
        </is>
      </c>
      <c r="S100" t="n">
        <v>9</v>
      </c>
      <c r="T100" t="n">
        <v>9</v>
      </c>
      <c r="U100" t="inlineStr">
        <is>
          <t>2006-10-10</t>
        </is>
      </c>
      <c r="V100" t="inlineStr">
        <is>
          <t>2006-10-10</t>
        </is>
      </c>
      <c r="W100" t="inlineStr">
        <is>
          <t>1996-08-08</t>
        </is>
      </c>
      <c r="X100" t="inlineStr">
        <is>
          <t>1996-08-08</t>
        </is>
      </c>
      <c r="Y100" t="n">
        <v>184</v>
      </c>
      <c r="Z100" t="n">
        <v>171</v>
      </c>
      <c r="AA100" t="n">
        <v>450</v>
      </c>
      <c r="AB100" t="n">
        <v>3</v>
      </c>
      <c r="AC100" t="n">
        <v>4</v>
      </c>
      <c r="AD100" t="n">
        <v>5</v>
      </c>
      <c r="AE100" t="n">
        <v>7</v>
      </c>
      <c r="AF100" t="n">
        <v>1</v>
      </c>
      <c r="AG100" t="n">
        <v>3</v>
      </c>
      <c r="AH100" t="n">
        <v>0</v>
      </c>
      <c r="AI100" t="n">
        <v>0</v>
      </c>
      <c r="AJ100" t="n">
        <v>3</v>
      </c>
      <c r="AK100" t="n">
        <v>3</v>
      </c>
      <c r="AL100" t="n">
        <v>1</v>
      </c>
      <c r="AM100" t="n">
        <v>1</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HYPERLINK("https://creighton-primo.hosted.exlibrisgroup.com/primo-explore/search?tab=default_tab&amp;search_scope=EVERYTHING&amp;vid=01CRU&amp;lang=en_US&amp;offset=0&amp;query=any,contains,991002446569702656","Catalog Record")</f>
        <v/>
      </c>
      <c r="AT100">
        <f>HYPERLINK("http://www.worldcat.org/oclc/31901400","WorldCat Record")</f>
        <v/>
      </c>
      <c r="AU100" t="inlineStr">
        <is>
          <t>622204:eng</t>
        </is>
      </c>
      <c r="AV100" t="inlineStr">
        <is>
          <t>31901400</t>
        </is>
      </c>
      <c r="AW100" t="inlineStr">
        <is>
          <t>991002446569702656</t>
        </is>
      </c>
      <c r="AX100" t="inlineStr">
        <is>
          <t>991002446569702656</t>
        </is>
      </c>
      <c r="AY100" t="inlineStr">
        <is>
          <t>2262797490002656</t>
        </is>
      </c>
      <c r="AZ100" t="inlineStr">
        <is>
          <t>BOOK</t>
        </is>
      </c>
      <c r="BB100" t="inlineStr">
        <is>
          <t>9781885849519</t>
        </is>
      </c>
      <c r="BC100" t="inlineStr">
        <is>
          <t>32285002271806</t>
        </is>
      </c>
      <c r="BD100" t="inlineStr">
        <is>
          <t>893804624</t>
        </is>
      </c>
    </row>
    <row r="101">
      <c r="A101" t="inlineStr">
        <is>
          <t>No</t>
        </is>
      </c>
      <c r="B101" t="inlineStr">
        <is>
          <t>BT1102 .H69 1982</t>
        </is>
      </c>
      <c r="C101" t="inlineStr">
        <is>
          <t>0                      BT 1102000H  69          1982</t>
        </is>
      </c>
      <c r="D101" t="inlineStr">
        <is>
          <t>Challenge and response, a handbook of Christian apologetics / Frederic R. Howe.</t>
        </is>
      </c>
      <c r="F101" t="inlineStr">
        <is>
          <t>No</t>
        </is>
      </c>
      <c r="G101" t="inlineStr">
        <is>
          <t>1</t>
        </is>
      </c>
      <c r="H101" t="inlineStr">
        <is>
          <t>No</t>
        </is>
      </c>
      <c r="I101" t="inlineStr">
        <is>
          <t>No</t>
        </is>
      </c>
      <c r="J101" t="inlineStr">
        <is>
          <t>0</t>
        </is>
      </c>
      <c r="K101" t="inlineStr">
        <is>
          <t>Howe, Frederic R.</t>
        </is>
      </c>
      <c r="L101" t="inlineStr">
        <is>
          <t>Grand Rapids, MI : Zondervan Pub. House, c1982.</t>
        </is>
      </c>
      <c r="M101" t="inlineStr">
        <is>
          <t>1982</t>
        </is>
      </c>
      <c r="O101" t="inlineStr">
        <is>
          <t>eng</t>
        </is>
      </c>
      <c r="P101" t="inlineStr">
        <is>
          <t>miu</t>
        </is>
      </c>
      <c r="R101" t="inlineStr">
        <is>
          <t xml:space="preserve">BT </t>
        </is>
      </c>
      <c r="S101" t="n">
        <v>1</v>
      </c>
      <c r="T101" t="n">
        <v>1</v>
      </c>
      <c r="U101" t="inlineStr">
        <is>
          <t>2008-12-04</t>
        </is>
      </c>
      <c r="V101" t="inlineStr">
        <is>
          <t>2008-12-04</t>
        </is>
      </c>
      <c r="W101" t="inlineStr">
        <is>
          <t>2008-12-04</t>
        </is>
      </c>
      <c r="X101" t="inlineStr">
        <is>
          <t>2008-12-04</t>
        </is>
      </c>
      <c r="Y101" t="n">
        <v>180</v>
      </c>
      <c r="Z101" t="n">
        <v>156</v>
      </c>
      <c r="AA101" t="n">
        <v>157</v>
      </c>
      <c r="AB101" t="n">
        <v>1</v>
      </c>
      <c r="AC101" t="n">
        <v>1</v>
      </c>
      <c r="AD101" t="n">
        <v>4</v>
      </c>
      <c r="AE101" t="n">
        <v>4</v>
      </c>
      <c r="AF101" t="n">
        <v>3</v>
      </c>
      <c r="AG101" t="n">
        <v>3</v>
      </c>
      <c r="AH101" t="n">
        <v>0</v>
      </c>
      <c r="AI101" t="n">
        <v>0</v>
      </c>
      <c r="AJ101" t="n">
        <v>2</v>
      </c>
      <c r="AK101" t="n">
        <v>2</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HYPERLINK("https://creighton-primo.hosted.exlibrisgroup.com/primo-explore/search?tab=default_tab&amp;search_scope=EVERYTHING&amp;vid=01CRU&amp;lang=en_US&amp;offset=0&amp;query=any,contains,991005280649702656","Catalog Record")</f>
        <v/>
      </c>
      <c r="AT101">
        <f>HYPERLINK("http://www.worldcat.org/oclc/8242671","WorldCat Record")</f>
        <v/>
      </c>
      <c r="AU101" t="inlineStr">
        <is>
          <t>31270579:eng</t>
        </is>
      </c>
      <c r="AV101" t="inlineStr">
        <is>
          <t>8242671</t>
        </is>
      </c>
      <c r="AW101" t="inlineStr">
        <is>
          <t>991005280649702656</t>
        </is>
      </c>
      <c r="AX101" t="inlineStr">
        <is>
          <t>991005280649702656</t>
        </is>
      </c>
      <c r="AY101" t="inlineStr">
        <is>
          <t>2262382830002656</t>
        </is>
      </c>
      <c r="AZ101" t="inlineStr">
        <is>
          <t>BOOK</t>
        </is>
      </c>
      <c r="BB101" t="inlineStr">
        <is>
          <t>9780310450702</t>
        </is>
      </c>
      <c r="BC101" t="inlineStr">
        <is>
          <t>32285005470645</t>
        </is>
      </c>
      <c r="BD101" t="inlineStr">
        <is>
          <t>893418675</t>
        </is>
      </c>
    </row>
    <row r="102">
      <c r="A102" t="inlineStr">
        <is>
          <t>No</t>
        </is>
      </c>
      <c r="B102" t="inlineStr">
        <is>
          <t>BT1102 .K2813 1989</t>
        </is>
      </c>
      <c r="C102" t="inlineStr">
        <is>
          <t>0                      BT 1102000K  2813        1989</t>
        </is>
      </c>
      <c r="D102" t="inlineStr">
        <is>
          <t>Transcending all understanding : the meaning of Christian faith today / Walter Kasper ; translated by Boniface Ramsey.</t>
        </is>
      </c>
      <c r="F102" t="inlineStr">
        <is>
          <t>No</t>
        </is>
      </c>
      <c r="G102" t="inlineStr">
        <is>
          <t>1</t>
        </is>
      </c>
      <c r="H102" t="inlineStr">
        <is>
          <t>No</t>
        </is>
      </c>
      <c r="I102" t="inlineStr">
        <is>
          <t>No</t>
        </is>
      </c>
      <c r="J102" t="inlineStr">
        <is>
          <t>0</t>
        </is>
      </c>
      <c r="K102" t="inlineStr">
        <is>
          <t>Kasper, Walter, 1933-</t>
        </is>
      </c>
      <c r="L102" t="inlineStr">
        <is>
          <t>San Francisco : Ignatius Press, c1989.</t>
        </is>
      </c>
      <c r="M102" t="inlineStr">
        <is>
          <t>1989</t>
        </is>
      </c>
      <c r="O102" t="inlineStr">
        <is>
          <t>eng</t>
        </is>
      </c>
      <c r="P102" t="inlineStr">
        <is>
          <t>cau</t>
        </is>
      </c>
      <c r="Q102" t="inlineStr">
        <is>
          <t>Communio books</t>
        </is>
      </c>
      <c r="R102" t="inlineStr">
        <is>
          <t xml:space="preserve">BT </t>
        </is>
      </c>
      <c r="S102" t="n">
        <v>1</v>
      </c>
      <c r="T102" t="n">
        <v>1</v>
      </c>
      <c r="U102" t="inlineStr">
        <is>
          <t>1992-03-29</t>
        </is>
      </c>
      <c r="V102" t="inlineStr">
        <is>
          <t>1992-03-29</t>
        </is>
      </c>
      <c r="W102" t="inlineStr">
        <is>
          <t>1990-01-14</t>
        </is>
      </c>
      <c r="X102" t="inlineStr">
        <is>
          <t>1990-01-14</t>
        </is>
      </c>
      <c r="Y102" t="n">
        <v>174</v>
      </c>
      <c r="Z102" t="n">
        <v>140</v>
      </c>
      <c r="AA102" t="n">
        <v>141</v>
      </c>
      <c r="AB102" t="n">
        <v>2</v>
      </c>
      <c r="AC102" t="n">
        <v>2</v>
      </c>
      <c r="AD102" t="n">
        <v>20</v>
      </c>
      <c r="AE102" t="n">
        <v>21</v>
      </c>
      <c r="AF102" t="n">
        <v>4</v>
      </c>
      <c r="AG102" t="n">
        <v>5</v>
      </c>
      <c r="AH102" t="n">
        <v>5</v>
      </c>
      <c r="AI102" t="n">
        <v>5</v>
      </c>
      <c r="AJ102" t="n">
        <v>15</v>
      </c>
      <c r="AK102" t="n">
        <v>15</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HYPERLINK("https://creighton-primo.hosted.exlibrisgroup.com/primo-explore/search?tab=default_tab&amp;search_scope=EVERYTHING&amp;vid=01CRU&amp;lang=en_US&amp;offset=0&amp;query=any,contains,991001590829702656","Catalog Record")</f>
        <v/>
      </c>
      <c r="AT102">
        <f>HYPERLINK("http://www.worldcat.org/oclc/20576087","WorldCat Record")</f>
        <v/>
      </c>
      <c r="AU102" t="inlineStr">
        <is>
          <t>2908533598:eng</t>
        </is>
      </c>
      <c r="AV102" t="inlineStr">
        <is>
          <t>20576087</t>
        </is>
      </c>
      <c r="AW102" t="inlineStr">
        <is>
          <t>991001590829702656</t>
        </is>
      </c>
      <c r="AX102" t="inlineStr">
        <is>
          <t>991001590829702656</t>
        </is>
      </c>
      <c r="AY102" t="inlineStr">
        <is>
          <t>2256598760002656</t>
        </is>
      </c>
      <c r="AZ102" t="inlineStr">
        <is>
          <t>BOOK</t>
        </is>
      </c>
      <c r="BB102" t="inlineStr">
        <is>
          <t>9780898702569</t>
        </is>
      </c>
      <c r="BC102" t="inlineStr">
        <is>
          <t>32285000027093</t>
        </is>
      </c>
      <c r="BD102" t="inlineStr">
        <is>
          <t>893626745</t>
        </is>
      </c>
    </row>
    <row r="103">
      <c r="A103" t="inlineStr">
        <is>
          <t>No</t>
        </is>
      </c>
      <c r="B103" t="inlineStr">
        <is>
          <t>BT1102 .K53</t>
        </is>
      </c>
      <c r="C103" t="inlineStr">
        <is>
          <t>0                      BT 1102000K  53</t>
        </is>
      </c>
      <c r="D103" t="inlineStr">
        <is>
          <t>Limits of unbelief / John Knox.</t>
        </is>
      </c>
      <c r="F103" t="inlineStr">
        <is>
          <t>No</t>
        </is>
      </c>
      <c r="G103" t="inlineStr">
        <is>
          <t>1</t>
        </is>
      </c>
      <c r="H103" t="inlineStr">
        <is>
          <t>No</t>
        </is>
      </c>
      <c r="I103" t="inlineStr">
        <is>
          <t>No</t>
        </is>
      </c>
      <c r="J103" t="inlineStr">
        <is>
          <t>0</t>
        </is>
      </c>
      <c r="K103" t="inlineStr">
        <is>
          <t>Knox, John, 1900-1990.</t>
        </is>
      </c>
      <c r="L103" t="inlineStr">
        <is>
          <t>New York, Seabury Press [1970]</t>
        </is>
      </c>
      <c r="M103" t="inlineStr">
        <is>
          <t>1970</t>
        </is>
      </c>
      <c r="O103" t="inlineStr">
        <is>
          <t>eng</t>
        </is>
      </c>
      <c r="P103" t="inlineStr">
        <is>
          <t>nyu</t>
        </is>
      </c>
      <c r="Q103" t="inlineStr">
        <is>
          <t>A Seabury paperback, SP 65</t>
        </is>
      </c>
      <c r="R103" t="inlineStr">
        <is>
          <t xml:space="preserve">BT </t>
        </is>
      </c>
      <c r="S103" t="n">
        <v>4</v>
      </c>
      <c r="T103" t="n">
        <v>4</v>
      </c>
      <c r="U103" t="inlineStr">
        <is>
          <t>2009-10-12</t>
        </is>
      </c>
      <c r="V103" t="inlineStr">
        <is>
          <t>2009-10-12</t>
        </is>
      </c>
      <c r="W103" t="inlineStr">
        <is>
          <t>1991-10-28</t>
        </is>
      </c>
      <c r="X103" t="inlineStr">
        <is>
          <t>1991-10-28</t>
        </is>
      </c>
      <c r="Y103" t="n">
        <v>171</v>
      </c>
      <c r="Z103" t="n">
        <v>160</v>
      </c>
      <c r="AA103" t="n">
        <v>208</v>
      </c>
      <c r="AB103" t="n">
        <v>1</v>
      </c>
      <c r="AC103" t="n">
        <v>1</v>
      </c>
      <c r="AD103" t="n">
        <v>17</v>
      </c>
      <c r="AE103" t="n">
        <v>17</v>
      </c>
      <c r="AF103" t="n">
        <v>5</v>
      </c>
      <c r="AG103" t="n">
        <v>5</v>
      </c>
      <c r="AH103" t="n">
        <v>3</v>
      </c>
      <c r="AI103" t="n">
        <v>3</v>
      </c>
      <c r="AJ103" t="n">
        <v>12</v>
      </c>
      <c r="AK103" t="n">
        <v>12</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HYPERLINK("https://creighton-primo.hosted.exlibrisgroup.com/primo-explore/search?tab=default_tab&amp;search_scope=EVERYTHING&amp;vid=01CRU&amp;lang=en_US&amp;offset=0&amp;query=any,contains,991000205779702656","Catalog Record")</f>
        <v/>
      </c>
      <c r="AT103">
        <f>HYPERLINK("http://www.worldcat.org/oclc/64999","WorldCat Record")</f>
        <v/>
      </c>
      <c r="AU103" t="inlineStr">
        <is>
          <t>60194755:eng</t>
        </is>
      </c>
      <c r="AV103" t="inlineStr">
        <is>
          <t>64999</t>
        </is>
      </c>
      <c r="AW103" t="inlineStr">
        <is>
          <t>991000205779702656</t>
        </is>
      </c>
      <c r="AX103" t="inlineStr">
        <is>
          <t>991000205779702656</t>
        </is>
      </c>
      <c r="AY103" t="inlineStr">
        <is>
          <t>2255584630002656</t>
        </is>
      </c>
      <c r="AZ103" t="inlineStr">
        <is>
          <t>BOOK</t>
        </is>
      </c>
      <c r="BC103" t="inlineStr">
        <is>
          <t>32285000808484</t>
        </is>
      </c>
      <c r="BD103" t="inlineStr">
        <is>
          <t>893708207</t>
        </is>
      </c>
    </row>
    <row r="104">
      <c r="A104" t="inlineStr">
        <is>
          <t>No</t>
        </is>
      </c>
      <c r="B104" t="inlineStr">
        <is>
          <t>BT1102 .K8313</t>
        </is>
      </c>
      <c r="C104" t="inlineStr">
        <is>
          <t>0                      BT 1102000K  8313</t>
        </is>
      </c>
      <c r="D104" t="inlineStr">
        <is>
          <t>On being a Christian / Hans Küng ; translated by Edward Quinn.</t>
        </is>
      </c>
      <c r="F104" t="inlineStr">
        <is>
          <t>No</t>
        </is>
      </c>
      <c r="G104" t="inlineStr">
        <is>
          <t>1</t>
        </is>
      </c>
      <c r="H104" t="inlineStr">
        <is>
          <t>No</t>
        </is>
      </c>
      <c r="I104" t="inlineStr">
        <is>
          <t>Yes</t>
        </is>
      </c>
      <c r="J104" t="inlineStr">
        <is>
          <t>0</t>
        </is>
      </c>
      <c r="K104" t="inlineStr">
        <is>
          <t>Küng, Hans, 1928-</t>
        </is>
      </c>
      <c r="L104" t="inlineStr">
        <is>
          <t>Garden City, N.Y. : Doubleday, c1976.</t>
        </is>
      </c>
      <c r="M104" t="inlineStr">
        <is>
          <t>1976</t>
        </is>
      </c>
      <c r="O104" t="inlineStr">
        <is>
          <t>eng</t>
        </is>
      </c>
      <c r="P104" t="inlineStr">
        <is>
          <t>nyu</t>
        </is>
      </c>
      <c r="R104" t="inlineStr">
        <is>
          <t xml:space="preserve">BT </t>
        </is>
      </c>
      <c r="S104" t="n">
        <v>4</v>
      </c>
      <c r="T104" t="n">
        <v>4</v>
      </c>
      <c r="U104" t="inlineStr">
        <is>
          <t>2009-02-18</t>
        </is>
      </c>
      <c r="V104" t="inlineStr">
        <is>
          <t>2009-02-18</t>
        </is>
      </c>
      <c r="W104" t="inlineStr">
        <is>
          <t>1991-10-28</t>
        </is>
      </c>
      <c r="X104" t="inlineStr">
        <is>
          <t>1991-10-28</t>
        </is>
      </c>
      <c r="Y104" t="n">
        <v>1822</v>
      </c>
      <c r="Z104" t="n">
        <v>1688</v>
      </c>
      <c r="AA104" t="n">
        <v>1885</v>
      </c>
      <c r="AB104" t="n">
        <v>15</v>
      </c>
      <c r="AC104" t="n">
        <v>17</v>
      </c>
      <c r="AD104" t="n">
        <v>57</v>
      </c>
      <c r="AE104" t="n">
        <v>64</v>
      </c>
      <c r="AF104" t="n">
        <v>23</v>
      </c>
      <c r="AG104" t="n">
        <v>27</v>
      </c>
      <c r="AH104" t="n">
        <v>9</v>
      </c>
      <c r="AI104" t="n">
        <v>10</v>
      </c>
      <c r="AJ104" t="n">
        <v>27</v>
      </c>
      <c r="AK104" t="n">
        <v>28</v>
      </c>
      <c r="AL104" t="n">
        <v>10</v>
      </c>
      <c r="AM104" t="n">
        <v>12</v>
      </c>
      <c r="AN104" t="n">
        <v>0</v>
      </c>
      <c r="AO104" t="n">
        <v>0</v>
      </c>
      <c r="AP104" t="inlineStr">
        <is>
          <t>No</t>
        </is>
      </c>
      <c r="AQ104" t="inlineStr">
        <is>
          <t>Yes</t>
        </is>
      </c>
      <c r="AR104">
        <f>HYPERLINK("http://catalog.hathitrust.org/Record/000728696","HathiTrust Record")</f>
        <v/>
      </c>
      <c r="AS104">
        <f>HYPERLINK("https://creighton-primo.hosted.exlibrisgroup.com/primo-explore/search?tab=default_tab&amp;search_scope=EVERYTHING&amp;vid=01CRU&amp;lang=en_US&amp;offset=0&amp;query=any,contains,991004075099702656","Catalog Record")</f>
        <v/>
      </c>
      <c r="AT104">
        <f>HYPERLINK("http://www.worldcat.org/oclc/2317515","WorldCat Record")</f>
        <v/>
      </c>
      <c r="AU104" t="inlineStr">
        <is>
          <t>1009246:eng</t>
        </is>
      </c>
      <c r="AV104" t="inlineStr">
        <is>
          <t>2317515</t>
        </is>
      </c>
      <c r="AW104" t="inlineStr">
        <is>
          <t>991004075099702656</t>
        </is>
      </c>
      <c r="AX104" t="inlineStr">
        <is>
          <t>991004075099702656</t>
        </is>
      </c>
      <c r="AY104" t="inlineStr">
        <is>
          <t>2261861290002656</t>
        </is>
      </c>
      <c r="AZ104" t="inlineStr">
        <is>
          <t>BOOK</t>
        </is>
      </c>
      <c r="BB104" t="inlineStr">
        <is>
          <t>9780385027120</t>
        </is>
      </c>
      <c r="BC104" t="inlineStr">
        <is>
          <t>32285000808492</t>
        </is>
      </c>
      <c r="BD104" t="inlineStr">
        <is>
          <t>893624318</t>
        </is>
      </c>
    </row>
    <row r="105">
      <c r="A105" t="inlineStr">
        <is>
          <t>No</t>
        </is>
      </c>
      <c r="B105" t="inlineStr">
        <is>
          <t>BT1102 .K8313 1978</t>
        </is>
      </c>
      <c r="C105" t="inlineStr">
        <is>
          <t>0                      BT 1102000K  8313        1978</t>
        </is>
      </c>
      <c r="D105" t="inlineStr">
        <is>
          <t>On being a Christian / Hans Küng ; translated by Edward Quinn.</t>
        </is>
      </c>
      <c r="F105" t="inlineStr">
        <is>
          <t>No</t>
        </is>
      </c>
      <c r="G105" t="inlineStr">
        <is>
          <t>1</t>
        </is>
      </c>
      <c r="H105" t="inlineStr">
        <is>
          <t>No</t>
        </is>
      </c>
      <c r="I105" t="inlineStr">
        <is>
          <t>Yes</t>
        </is>
      </c>
      <c r="J105" t="inlineStr">
        <is>
          <t>0</t>
        </is>
      </c>
      <c r="K105" t="inlineStr">
        <is>
          <t>Küng, Hans, 1928-</t>
        </is>
      </c>
      <c r="L105" t="inlineStr">
        <is>
          <t>New York : Pocket Books, 1978, c1976.</t>
        </is>
      </c>
      <c r="M105" t="inlineStr">
        <is>
          <t>1978</t>
        </is>
      </c>
      <c r="O105" t="inlineStr">
        <is>
          <t>eng</t>
        </is>
      </c>
      <c r="P105" t="inlineStr">
        <is>
          <t>nyu</t>
        </is>
      </c>
      <c r="Q105" t="inlineStr">
        <is>
          <t>A Wallaby book</t>
        </is>
      </c>
      <c r="R105" t="inlineStr">
        <is>
          <t xml:space="preserve">BT </t>
        </is>
      </c>
      <c r="S105" t="n">
        <v>2</v>
      </c>
      <c r="T105" t="n">
        <v>2</v>
      </c>
      <c r="U105" t="inlineStr">
        <is>
          <t>1996-06-12</t>
        </is>
      </c>
      <c r="V105" t="inlineStr">
        <is>
          <t>1996-06-12</t>
        </is>
      </c>
      <c r="W105" t="inlineStr">
        <is>
          <t>1991-10-28</t>
        </is>
      </c>
      <c r="X105" t="inlineStr">
        <is>
          <t>1991-10-28</t>
        </is>
      </c>
      <c r="Y105" t="n">
        <v>33</v>
      </c>
      <c r="Z105" t="n">
        <v>33</v>
      </c>
      <c r="AA105" t="n">
        <v>1885</v>
      </c>
      <c r="AB105" t="n">
        <v>1</v>
      </c>
      <c r="AC105" t="n">
        <v>17</v>
      </c>
      <c r="AD105" t="n">
        <v>0</v>
      </c>
      <c r="AE105" t="n">
        <v>64</v>
      </c>
      <c r="AF105" t="n">
        <v>0</v>
      </c>
      <c r="AG105" t="n">
        <v>27</v>
      </c>
      <c r="AH105" t="n">
        <v>0</v>
      </c>
      <c r="AI105" t="n">
        <v>10</v>
      </c>
      <c r="AJ105" t="n">
        <v>0</v>
      </c>
      <c r="AK105" t="n">
        <v>28</v>
      </c>
      <c r="AL105" t="n">
        <v>0</v>
      </c>
      <c r="AM105" t="n">
        <v>12</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HYPERLINK("https://creighton-primo.hosted.exlibrisgroup.com/primo-explore/search?tab=default_tab&amp;search_scope=EVERYTHING&amp;vid=01CRU&amp;lang=en_US&amp;offset=0&amp;query=any,contains,991004852359702656","Catalog Record")</f>
        <v/>
      </c>
      <c r="AT105">
        <f>HYPERLINK("http://www.worldcat.org/oclc/5625545","WorldCat Record")</f>
        <v/>
      </c>
      <c r="AU105" t="inlineStr">
        <is>
          <t>1009246:eng</t>
        </is>
      </c>
      <c r="AV105" t="inlineStr">
        <is>
          <t>5625545</t>
        </is>
      </c>
      <c r="AW105" t="inlineStr">
        <is>
          <t>991004852359702656</t>
        </is>
      </c>
      <c r="AX105" t="inlineStr">
        <is>
          <t>991004852359702656</t>
        </is>
      </c>
      <c r="AY105" t="inlineStr">
        <is>
          <t>2264369470002656</t>
        </is>
      </c>
      <c r="AZ105" t="inlineStr">
        <is>
          <t>BOOK</t>
        </is>
      </c>
      <c r="BC105" t="inlineStr">
        <is>
          <t>32285000808500</t>
        </is>
      </c>
      <c r="BD105" t="inlineStr">
        <is>
          <t>893789168</t>
        </is>
      </c>
    </row>
    <row r="106">
      <c r="A106" t="inlineStr">
        <is>
          <t>No</t>
        </is>
      </c>
      <c r="B106" t="inlineStr">
        <is>
          <t>BT1102 .M36</t>
        </is>
      </c>
      <c r="C106" t="inlineStr">
        <is>
          <t>0                      BT 1102000M  36</t>
        </is>
      </c>
      <c r="D106" t="inlineStr">
        <is>
          <t>The Christian universe / [by] E.L. Mascall.</t>
        </is>
      </c>
      <c r="F106" t="inlineStr">
        <is>
          <t>No</t>
        </is>
      </c>
      <c r="G106" t="inlineStr">
        <is>
          <t>1</t>
        </is>
      </c>
      <c r="H106" t="inlineStr">
        <is>
          <t>No</t>
        </is>
      </c>
      <c r="I106" t="inlineStr">
        <is>
          <t>No</t>
        </is>
      </c>
      <c r="J106" t="inlineStr">
        <is>
          <t>0</t>
        </is>
      </c>
      <c r="K106" t="inlineStr">
        <is>
          <t>Mascall, E. L. (Eric Lionel), 1905-1993.</t>
        </is>
      </c>
      <c r="L106" t="inlineStr">
        <is>
          <t>New York, Morehouse-Barlow Co. [1966]</t>
        </is>
      </c>
      <c r="M106" t="inlineStr">
        <is>
          <t>1966</t>
        </is>
      </c>
      <c r="O106" t="inlineStr">
        <is>
          <t>eng</t>
        </is>
      </c>
      <c r="P106" t="inlineStr">
        <is>
          <t>nyu</t>
        </is>
      </c>
      <c r="Q106" t="inlineStr">
        <is>
          <t>The Boyle lectures, 1965</t>
        </is>
      </c>
      <c r="R106" t="inlineStr">
        <is>
          <t xml:space="preserve">BT </t>
        </is>
      </c>
      <c r="S106" t="n">
        <v>1</v>
      </c>
      <c r="T106" t="n">
        <v>1</v>
      </c>
      <c r="U106" t="inlineStr">
        <is>
          <t>2005-01-24</t>
        </is>
      </c>
      <c r="V106" t="inlineStr">
        <is>
          <t>2005-01-24</t>
        </is>
      </c>
      <c r="W106" t="inlineStr">
        <is>
          <t>1991-10-28</t>
        </is>
      </c>
      <c r="X106" t="inlineStr">
        <is>
          <t>1991-10-28</t>
        </is>
      </c>
      <c r="Y106" t="n">
        <v>246</v>
      </c>
      <c r="Z106" t="n">
        <v>222</v>
      </c>
      <c r="AA106" t="n">
        <v>298</v>
      </c>
      <c r="AB106" t="n">
        <v>1</v>
      </c>
      <c r="AC106" t="n">
        <v>2</v>
      </c>
      <c r="AD106" t="n">
        <v>16</v>
      </c>
      <c r="AE106" t="n">
        <v>24</v>
      </c>
      <c r="AF106" t="n">
        <v>4</v>
      </c>
      <c r="AG106" t="n">
        <v>6</v>
      </c>
      <c r="AH106" t="n">
        <v>4</v>
      </c>
      <c r="AI106" t="n">
        <v>7</v>
      </c>
      <c r="AJ106" t="n">
        <v>12</v>
      </c>
      <c r="AK106" t="n">
        <v>19</v>
      </c>
      <c r="AL106" t="n">
        <v>0</v>
      </c>
      <c r="AM106" t="n">
        <v>0</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HYPERLINK("https://creighton-primo.hosted.exlibrisgroup.com/primo-explore/search?tab=default_tab&amp;search_scope=EVERYTHING&amp;vid=01CRU&amp;lang=en_US&amp;offset=0&amp;query=any,contains,991002662379702656","Catalog Record")</f>
        <v/>
      </c>
      <c r="AT106">
        <f>HYPERLINK("http://www.worldcat.org/oclc/391935","WorldCat Record")</f>
        <v/>
      </c>
      <c r="AU106" t="inlineStr">
        <is>
          <t>3372550915:eng</t>
        </is>
      </c>
      <c r="AV106" t="inlineStr">
        <is>
          <t>391935</t>
        </is>
      </c>
      <c r="AW106" t="inlineStr">
        <is>
          <t>991002662379702656</t>
        </is>
      </c>
      <c r="AX106" t="inlineStr">
        <is>
          <t>991002662379702656</t>
        </is>
      </c>
      <c r="AY106" t="inlineStr">
        <is>
          <t>2260683720002656</t>
        </is>
      </c>
      <c r="AZ106" t="inlineStr">
        <is>
          <t>BOOK</t>
        </is>
      </c>
      <c r="BC106" t="inlineStr">
        <is>
          <t>32285000808534</t>
        </is>
      </c>
      <c r="BD106" t="inlineStr">
        <is>
          <t>893517571</t>
        </is>
      </c>
    </row>
    <row r="107">
      <c r="A107" t="inlineStr">
        <is>
          <t>No</t>
        </is>
      </c>
      <c r="B107" t="inlineStr">
        <is>
          <t>BT1102 .M656 1987</t>
        </is>
      </c>
      <c r="C107" t="inlineStr">
        <is>
          <t>0                      BT 1102000M  656         1987</t>
        </is>
      </c>
      <c r="D107" t="inlineStr">
        <is>
          <t>Scaling the secular city : a defense of Christianity / J.P. Moreland.</t>
        </is>
      </c>
      <c r="F107" t="inlineStr">
        <is>
          <t>No</t>
        </is>
      </c>
      <c r="G107" t="inlineStr">
        <is>
          <t>1</t>
        </is>
      </c>
      <c r="H107" t="inlineStr">
        <is>
          <t>No</t>
        </is>
      </c>
      <c r="I107" t="inlineStr">
        <is>
          <t>No</t>
        </is>
      </c>
      <c r="J107" t="inlineStr">
        <is>
          <t>0</t>
        </is>
      </c>
      <c r="K107" t="inlineStr">
        <is>
          <t>Moreland, James Porter, 1948-</t>
        </is>
      </c>
      <c r="L107" t="inlineStr">
        <is>
          <t>Grand Rapids, Mich. : Baker Book House, c1987.</t>
        </is>
      </c>
      <c r="M107" t="inlineStr">
        <is>
          <t>1987</t>
        </is>
      </c>
      <c r="O107" t="inlineStr">
        <is>
          <t>eng</t>
        </is>
      </c>
      <c r="P107" t="inlineStr">
        <is>
          <t>miu</t>
        </is>
      </c>
      <c r="R107" t="inlineStr">
        <is>
          <t xml:space="preserve">BT </t>
        </is>
      </c>
      <c r="S107" t="n">
        <v>1</v>
      </c>
      <c r="T107" t="n">
        <v>1</v>
      </c>
      <c r="U107" t="inlineStr">
        <is>
          <t>2008-12-04</t>
        </is>
      </c>
      <c r="V107" t="inlineStr">
        <is>
          <t>2008-12-04</t>
        </is>
      </c>
      <c r="W107" t="inlineStr">
        <is>
          <t>2008-12-04</t>
        </is>
      </c>
      <c r="X107" t="inlineStr">
        <is>
          <t>2008-12-04</t>
        </is>
      </c>
      <c r="Y107" t="n">
        <v>264</v>
      </c>
      <c r="Z107" t="n">
        <v>232</v>
      </c>
      <c r="AA107" t="n">
        <v>291</v>
      </c>
      <c r="AB107" t="n">
        <v>3</v>
      </c>
      <c r="AC107" t="n">
        <v>3</v>
      </c>
      <c r="AD107" t="n">
        <v>7</v>
      </c>
      <c r="AE107" t="n">
        <v>10</v>
      </c>
      <c r="AF107" t="n">
        <v>3</v>
      </c>
      <c r="AG107" t="n">
        <v>5</v>
      </c>
      <c r="AH107" t="n">
        <v>1</v>
      </c>
      <c r="AI107" t="n">
        <v>3</v>
      </c>
      <c r="AJ107" t="n">
        <v>3</v>
      </c>
      <c r="AK107" t="n">
        <v>3</v>
      </c>
      <c r="AL107" t="n">
        <v>1</v>
      </c>
      <c r="AM107" t="n">
        <v>1</v>
      </c>
      <c r="AN107" t="n">
        <v>0</v>
      </c>
      <c r="AO107" t="n">
        <v>0</v>
      </c>
      <c r="AP107" t="inlineStr">
        <is>
          <t>No</t>
        </is>
      </c>
      <c r="AQ107" t="inlineStr">
        <is>
          <t>Yes</t>
        </is>
      </c>
      <c r="AR107">
        <f>HYPERLINK("http://catalog.hathitrust.org/Record/003967591","HathiTrust Record")</f>
        <v/>
      </c>
      <c r="AS107">
        <f>HYPERLINK("https://creighton-primo.hosted.exlibrisgroup.com/primo-explore/search?tab=default_tab&amp;search_scope=EVERYTHING&amp;vid=01CRU&amp;lang=en_US&amp;offset=0&amp;query=any,contains,991005280319702656","Catalog Record")</f>
        <v/>
      </c>
      <c r="AT107">
        <f>HYPERLINK("http://www.worldcat.org/oclc/16807427","WorldCat Record")</f>
        <v/>
      </c>
      <c r="AU107" t="inlineStr">
        <is>
          <t>13222518:eng</t>
        </is>
      </c>
      <c r="AV107" t="inlineStr">
        <is>
          <t>16807427</t>
        </is>
      </c>
      <c r="AW107" t="inlineStr">
        <is>
          <t>991005280319702656</t>
        </is>
      </c>
      <c r="AX107" t="inlineStr">
        <is>
          <t>991005280319702656</t>
        </is>
      </c>
      <c r="AY107" t="inlineStr">
        <is>
          <t>2270990190002656</t>
        </is>
      </c>
      <c r="AZ107" t="inlineStr">
        <is>
          <t>BOOK</t>
        </is>
      </c>
      <c r="BB107" t="inlineStr">
        <is>
          <t>9780801062223</t>
        </is>
      </c>
      <c r="BC107" t="inlineStr">
        <is>
          <t>32285005470819</t>
        </is>
      </c>
      <c r="BD107" t="inlineStr">
        <is>
          <t>893808124</t>
        </is>
      </c>
    </row>
    <row r="108">
      <c r="A108" t="inlineStr">
        <is>
          <t>No</t>
        </is>
      </c>
      <c r="B108" t="inlineStr">
        <is>
          <t>BT1102 .R3313</t>
        </is>
      </c>
      <c r="C108" t="inlineStr">
        <is>
          <t>0                      BT 1102000R  3313</t>
        </is>
      </c>
      <c r="D108" t="inlineStr">
        <is>
          <t>Do you believe in God? / by Karl Rahner. Translated by Richard Strachan.</t>
        </is>
      </c>
      <c r="F108" t="inlineStr">
        <is>
          <t>No</t>
        </is>
      </c>
      <c r="G108" t="inlineStr">
        <is>
          <t>1</t>
        </is>
      </c>
      <c r="H108" t="inlineStr">
        <is>
          <t>No</t>
        </is>
      </c>
      <c r="I108" t="inlineStr">
        <is>
          <t>No</t>
        </is>
      </c>
      <c r="J108" t="inlineStr">
        <is>
          <t>0</t>
        </is>
      </c>
      <c r="K108" t="inlineStr">
        <is>
          <t>Rahner, Karl, 1904-1984.</t>
        </is>
      </c>
      <c r="L108" t="inlineStr">
        <is>
          <t>New York, Newman Press [1969]</t>
        </is>
      </c>
      <c r="M108" t="inlineStr">
        <is>
          <t>1969</t>
        </is>
      </c>
      <c r="O108" t="inlineStr">
        <is>
          <t>eng</t>
        </is>
      </c>
      <c r="P108" t="inlineStr">
        <is>
          <t>nyu</t>
        </is>
      </c>
      <c r="R108" t="inlineStr">
        <is>
          <t xml:space="preserve">BT </t>
        </is>
      </c>
      <c r="S108" t="n">
        <v>5</v>
      </c>
      <c r="T108" t="n">
        <v>5</v>
      </c>
      <c r="U108" t="inlineStr">
        <is>
          <t>2004-04-24</t>
        </is>
      </c>
      <c r="V108" t="inlineStr">
        <is>
          <t>2004-04-24</t>
        </is>
      </c>
      <c r="W108" t="inlineStr">
        <is>
          <t>1991-10-29</t>
        </is>
      </c>
      <c r="X108" t="inlineStr">
        <is>
          <t>1991-10-29</t>
        </is>
      </c>
      <c r="Y108" t="n">
        <v>434</v>
      </c>
      <c r="Z108" t="n">
        <v>387</v>
      </c>
      <c r="AA108" t="n">
        <v>410</v>
      </c>
      <c r="AB108" t="n">
        <v>6</v>
      </c>
      <c r="AC108" t="n">
        <v>6</v>
      </c>
      <c r="AD108" t="n">
        <v>39</v>
      </c>
      <c r="AE108" t="n">
        <v>39</v>
      </c>
      <c r="AF108" t="n">
        <v>12</v>
      </c>
      <c r="AG108" t="n">
        <v>12</v>
      </c>
      <c r="AH108" t="n">
        <v>10</v>
      </c>
      <c r="AI108" t="n">
        <v>10</v>
      </c>
      <c r="AJ108" t="n">
        <v>26</v>
      </c>
      <c r="AK108" t="n">
        <v>26</v>
      </c>
      <c r="AL108" t="n">
        <v>4</v>
      </c>
      <c r="AM108" t="n">
        <v>4</v>
      </c>
      <c r="AN108" t="n">
        <v>0</v>
      </c>
      <c r="AO108" t="n">
        <v>0</v>
      </c>
      <c r="AP108" t="inlineStr">
        <is>
          <t>No</t>
        </is>
      </c>
      <c r="AQ108" t="inlineStr">
        <is>
          <t>Yes</t>
        </is>
      </c>
      <c r="AR108">
        <f>HYPERLINK("http://catalog.hathitrust.org/Record/001412876","HathiTrust Record")</f>
        <v/>
      </c>
      <c r="AS108">
        <f>HYPERLINK("https://creighton-primo.hosted.exlibrisgroup.com/primo-explore/search?tab=default_tab&amp;search_scope=EVERYTHING&amp;vid=01CRU&amp;lang=en_US&amp;offset=0&amp;query=any,contains,991005439519702656","Catalog Record")</f>
        <v/>
      </c>
      <c r="AT108">
        <f>HYPERLINK("http://www.worldcat.org/oclc/6810","WorldCat Record")</f>
        <v/>
      </c>
      <c r="AU108" t="inlineStr">
        <is>
          <t>2908799284:eng</t>
        </is>
      </c>
      <c r="AV108" t="inlineStr">
        <is>
          <t>6810</t>
        </is>
      </c>
      <c r="AW108" t="inlineStr">
        <is>
          <t>991005439519702656</t>
        </is>
      </c>
      <c r="AX108" t="inlineStr">
        <is>
          <t>991005439519702656</t>
        </is>
      </c>
      <c r="AY108" t="inlineStr">
        <is>
          <t>2265342670002656</t>
        </is>
      </c>
      <c r="AZ108" t="inlineStr">
        <is>
          <t>BOOK</t>
        </is>
      </c>
      <c r="BC108" t="inlineStr">
        <is>
          <t>32285000808559</t>
        </is>
      </c>
      <c r="BD108" t="inlineStr">
        <is>
          <t>893320645</t>
        </is>
      </c>
    </row>
    <row r="109">
      <c r="A109" t="inlineStr">
        <is>
          <t>No</t>
        </is>
      </c>
      <c r="B109" t="inlineStr">
        <is>
          <t>BT1105 .Z8313 1973</t>
        </is>
      </c>
      <c r="C109" t="inlineStr">
        <is>
          <t>0                      BT 1105000Z  8313        1973</t>
        </is>
      </c>
      <c r="D109" t="inlineStr">
        <is>
          <t>Two say why / by Hans Urs von Balthasar ; translated by John Griffiths.</t>
        </is>
      </c>
      <c r="F109" t="inlineStr">
        <is>
          <t>No</t>
        </is>
      </c>
      <c r="G109" t="inlineStr">
        <is>
          <t>1</t>
        </is>
      </c>
      <c r="H109" t="inlineStr">
        <is>
          <t>No</t>
        </is>
      </c>
      <c r="I109" t="inlineStr">
        <is>
          <t>No</t>
        </is>
      </c>
      <c r="J109" t="inlineStr">
        <is>
          <t>0</t>
        </is>
      </c>
      <c r="L109" t="inlineStr">
        <is>
          <t>London : Search Press; Chicago : Franciscan Herald Press, 1973.</t>
        </is>
      </c>
      <c r="M109" t="inlineStr">
        <is>
          <t>1973</t>
        </is>
      </c>
      <c r="O109" t="inlineStr">
        <is>
          <t>eng</t>
        </is>
      </c>
      <c r="P109" t="inlineStr">
        <is>
          <t>enk</t>
        </is>
      </c>
      <c r="R109" t="inlineStr">
        <is>
          <t xml:space="preserve">BT </t>
        </is>
      </c>
      <c r="S109" t="n">
        <v>1</v>
      </c>
      <c r="T109" t="n">
        <v>1</v>
      </c>
      <c r="U109" t="inlineStr">
        <is>
          <t>1992-09-29</t>
        </is>
      </c>
      <c r="V109" t="inlineStr">
        <is>
          <t>1992-09-29</t>
        </is>
      </c>
      <c r="W109" t="inlineStr">
        <is>
          <t>1991-10-29</t>
        </is>
      </c>
      <c r="X109" t="inlineStr">
        <is>
          <t>1991-10-29</t>
        </is>
      </c>
      <c r="Y109" t="n">
        <v>41</v>
      </c>
      <c r="Z109" t="n">
        <v>34</v>
      </c>
      <c r="AA109" t="n">
        <v>130</v>
      </c>
      <c r="AB109" t="n">
        <v>2</v>
      </c>
      <c r="AC109" t="n">
        <v>2</v>
      </c>
      <c r="AD109" t="n">
        <v>6</v>
      </c>
      <c r="AE109" t="n">
        <v>20</v>
      </c>
      <c r="AF109" t="n">
        <v>1</v>
      </c>
      <c r="AG109" t="n">
        <v>5</v>
      </c>
      <c r="AH109" t="n">
        <v>3</v>
      </c>
      <c r="AI109" t="n">
        <v>7</v>
      </c>
      <c r="AJ109" t="n">
        <v>3</v>
      </c>
      <c r="AK109" t="n">
        <v>13</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HYPERLINK("https://creighton-primo.hosted.exlibrisgroup.com/primo-explore/search?tab=default_tab&amp;search_scope=EVERYTHING&amp;vid=01CRU&amp;lang=en_US&amp;offset=0&amp;query=any,contains,991000406819702656","Catalog Record")</f>
        <v/>
      </c>
      <c r="AT109">
        <f>HYPERLINK("http://www.worldcat.org/oclc/10694307","WorldCat Record")</f>
        <v/>
      </c>
      <c r="AU109" t="inlineStr">
        <is>
          <t>2908434243:eng</t>
        </is>
      </c>
      <c r="AV109" t="inlineStr">
        <is>
          <t>10694307</t>
        </is>
      </c>
      <c r="AW109" t="inlineStr">
        <is>
          <t>991000406819702656</t>
        </is>
      </c>
      <c r="AX109" t="inlineStr">
        <is>
          <t>991000406819702656</t>
        </is>
      </c>
      <c r="AY109" t="inlineStr">
        <is>
          <t>2270231600002656</t>
        </is>
      </c>
      <c r="AZ109" t="inlineStr">
        <is>
          <t>BOOK</t>
        </is>
      </c>
      <c r="BB109" t="inlineStr">
        <is>
          <t>9780819904348</t>
        </is>
      </c>
      <c r="BC109" t="inlineStr">
        <is>
          <t>32285000808609</t>
        </is>
      </c>
      <c r="BD109" t="inlineStr">
        <is>
          <t>893878005</t>
        </is>
      </c>
    </row>
    <row r="110">
      <c r="A110" t="inlineStr">
        <is>
          <t>No</t>
        </is>
      </c>
      <c r="B110" t="inlineStr">
        <is>
          <t>BT1106 .D85 1971</t>
        </is>
      </c>
      <c r="C110" t="inlineStr">
        <is>
          <t>0                      BT 1106000D  85          1971</t>
        </is>
      </c>
      <c r="D110" t="inlineStr">
        <is>
          <t>A history of apologetics / [by] Avery Dulles.</t>
        </is>
      </c>
      <c r="F110" t="inlineStr">
        <is>
          <t>No</t>
        </is>
      </c>
      <c r="G110" t="inlineStr">
        <is>
          <t>1</t>
        </is>
      </c>
      <c r="H110" t="inlineStr">
        <is>
          <t>No</t>
        </is>
      </c>
      <c r="I110" t="inlineStr">
        <is>
          <t>Yes</t>
        </is>
      </c>
      <c r="J110" t="inlineStr">
        <is>
          <t>0</t>
        </is>
      </c>
      <c r="K110" t="inlineStr">
        <is>
          <t>Dulles, Avery, 1918-2008.</t>
        </is>
      </c>
      <c r="L110" t="inlineStr">
        <is>
          <t>New York, Corpus [1971]</t>
        </is>
      </c>
      <c r="M110" t="inlineStr">
        <is>
          <t>1971</t>
        </is>
      </c>
      <c r="O110" t="inlineStr">
        <is>
          <t>eng</t>
        </is>
      </c>
      <c r="P110" t="inlineStr">
        <is>
          <t>nyu</t>
        </is>
      </c>
      <c r="Q110" t="inlineStr">
        <is>
          <t>Theological resources</t>
        </is>
      </c>
      <c r="R110" t="inlineStr">
        <is>
          <t xml:space="preserve">BT </t>
        </is>
      </c>
      <c r="S110" t="n">
        <v>7</v>
      </c>
      <c r="T110" t="n">
        <v>7</v>
      </c>
      <c r="U110" t="inlineStr">
        <is>
          <t>2005-11-01</t>
        </is>
      </c>
      <c r="V110" t="inlineStr">
        <is>
          <t>2005-11-01</t>
        </is>
      </c>
      <c r="W110" t="inlineStr">
        <is>
          <t>1991-10-29</t>
        </is>
      </c>
      <c r="X110" t="inlineStr">
        <is>
          <t>1991-10-29</t>
        </is>
      </c>
      <c r="Y110" t="n">
        <v>400</v>
      </c>
      <c r="Z110" t="n">
        <v>358</v>
      </c>
      <c r="AA110" t="n">
        <v>510</v>
      </c>
      <c r="AB110" t="n">
        <v>4</v>
      </c>
      <c r="AC110" t="n">
        <v>5</v>
      </c>
      <c r="AD110" t="n">
        <v>34</v>
      </c>
      <c r="AE110" t="n">
        <v>39</v>
      </c>
      <c r="AF110" t="n">
        <v>11</v>
      </c>
      <c r="AG110" t="n">
        <v>13</v>
      </c>
      <c r="AH110" t="n">
        <v>8</v>
      </c>
      <c r="AI110" t="n">
        <v>9</v>
      </c>
      <c r="AJ110" t="n">
        <v>23</v>
      </c>
      <c r="AK110" t="n">
        <v>27</v>
      </c>
      <c r="AL110" t="n">
        <v>2</v>
      </c>
      <c r="AM110" t="n">
        <v>3</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HYPERLINK("https://creighton-primo.hosted.exlibrisgroup.com/primo-explore/search?tab=default_tab&amp;search_scope=EVERYTHING&amp;vid=01CRU&amp;lang=en_US&amp;offset=0&amp;query=any,contains,991000895289702656","Catalog Record")</f>
        <v/>
      </c>
      <c r="AT110">
        <f>HYPERLINK("http://www.worldcat.org/oclc/155821","WorldCat Record")</f>
        <v/>
      </c>
      <c r="AU110" t="inlineStr">
        <is>
          <t>164762602:eng</t>
        </is>
      </c>
      <c r="AV110" t="inlineStr">
        <is>
          <t>155821</t>
        </is>
      </c>
      <c r="AW110" t="inlineStr">
        <is>
          <t>991000895289702656</t>
        </is>
      </c>
      <c r="AX110" t="inlineStr">
        <is>
          <t>991000895289702656</t>
        </is>
      </c>
      <c r="AY110" t="inlineStr">
        <is>
          <t>2256635680002656</t>
        </is>
      </c>
      <c r="AZ110" t="inlineStr">
        <is>
          <t>BOOK</t>
        </is>
      </c>
      <c r="BB110" t="inlineStr">
        <is>
          <t>9780664209117</t>
        </is>
      </c>
      <c r="BC110" t="inlineStr">
        <is>
          <t>32285000808625</t>
        </is>
      </c>
      <c r="BD110" t="inlineStr">
        <is>
          <t>893346073</t>
        </is>
      </c>
    </row>
    <row r="111">
      <c r="A111" t="inlineStr">
        <is>
          <t>No</t>
        </is>
      </c>
      <c r="B111" t="inlineStr">
        <is>
          <t>BT1106 .G89 1975</t>
        </is>
      </c>
      <c r="C111" t="inlineStr">
        <is>
          <t>0                      BT 1106000G  89          1975</t>
        </is>
      </c>
      <c r="D111" t="inlineStr">
        <is>
          <t>What a modern Catholic believes about salvation / by Tad Guzie.</t>
        </is>
      </c>
      <c r="F111" t="inlineStr">
        <is>
          <t>No</t>
        </is>
      </c>
      <c r="G111" t="inlineStr">
        <is>
          <t>1</t>
        </is>
      </c>
      <c r="H111" t="inlineStr">
        <is>
          <t>No</t>
        </is>
      </c>
      <c r="I111" t="inlineStr">
        <is>
          <t>No</t>
        </is>
      </c>
      <c r="J111" t="inlineStr">
        <is>
          <t>0</t>
        </is>
      </c>
      <c r="K111" t="inlineStr">
        <is>
          <t>Guzie, Tad W.</t>
        </is>
      </c>
      <c r="L111" t="inlineStr">
        <is>
          <t>Chicago : Thomas More Press, [1975]</t>
        </is>
      </c>
      <c r="M111" t="inlineStr">
        <is>
          <t>1975</t>
        </is>
      </c>
      <c r="O111" t="inlineStr">
        <is>
          <t>eng</t>
        </is>
      </c>
      <c r="P111" t="inlineStr">
        <is>
          <t>ilu</t>
        </is>
      </c>
      <c r="R111" t="inlineStr">
        <is>
          <t xml:space="preserve">BT </t>
        </is>
      </c>
      <c r="S111" t="n">
        <v>9</v>
      </c>
      <c r="T111" t="n">
        <v>9</v>
      </c>
      <c r="U111" t="inlineStr">
        <is>
          <t>2009-10-12</t>
        </is>
      </c>
      <c r="V111" t="inlineStr">
        <is>
          <t>2009-10-12</t>
        </is>
      </c>
      <c r="W111" t="inlineStr">
        <is>
          <t>1991-10-29</t>
        </is>
      </c>
      <c r="X111" t="inlineStr">
        <is>
          <t>1991-10-29</t>
        </is>
      </c>
      <c r="Y111" t="n">
        <v>104</v>
      </c>
      <c r="Z111" t="n">
        <v>91</v>
      </c>
      <c r="AA111" t="n">
        <v>91</v>
      </c>
      <c r="AB111" t="n">
        <v>3</v>
      </c>
      <c r="AC111" t="n">
        <v>3</v>
      </c>
      <c r="AD111" t="n">
        <v>14</v>
      </c>
      <c r="AE111" t="n">
        <v>14</v>
      </c>
      <c r="AF111" t="n">
        <v>3</v>
      </c>
      <c r="AG111" t="n">
        <v>3</v>
      </c>
      <c r="AH111" t="n">
        <v>5</v>
      </c>
      <c r="AI111" t="n">
        <v>5</v>
      </c>
      <c r="AJ111" t="n">
        <v>10</v>
      </c>
      <c r="AK111" t="n">
        <v>10</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HYPERLINK("https://creighton-primo.hosted.exlibrisgroup.com/primo-explore/search?tab=default_tab&amp;search_scope=EVERYTHING&amp;vid=01CRU&amp;lang=en_US&amp;offset=0&amp;query=any,contains,991003921589702656","Catalog Record")</f>
        <v/>
      </c>
      <c r="AT111">
        <f>HYPERLINK("http://www.worldcat.org/oclc/1872209","WorldCat Record")</f>
        <v/>
      </c>
      <c r="AU111" t="inlineStr">
        <is>
          <t>2733783:eng</t>
        </is>
      </c>
      <c r="AV111" t="inlineStr">
        <is>
          <t>1872209</t>
        </is>
      </c>
      <c r="AW111" t="inlineStr">
        <is>
          <t>991003921589702656</t>
        </is>
      </c>
      <c r="AX111" t="inlineStr">
        <is>
          <t>991003921589702656</t>
        </is>
      </c>
      <c r="AY111" t="inlineStr">
        <is>
          <t>2255233950002656</t>
        </is>
      </c>
      <c r="AZ111" t="inlineStr">
        <is>
          <t>BOOK</t>
        </is>
      </c>
      <c r="BC111" t="inlineStr">
        <is>
          <t>32285000808633</t>
        </is>
      </c>
      <c r="BD111" t="inlineStr">
        <is>
          <t>893330994</t>
        </is>
      </c>
    </row>
    <row r="112">
      <c r="A112" t="inlineStr">
        <is>
          <t>No</t>
        </is>
      </c>
      <c r="B112" t="inlineStr">
        <is>
          <t>BT1106 .R4 1970</t>
        </is>
      </c>
      <c r="C112" t="inlineStr">
        <is>
          <t>0                      BT 1106000R  4           1970</t>
        </is>
      </c>
      <c r="D112" t="inlineStr">
        <is>
          <t>Christian apologetics / by J. K. S. Reid.</t>
        </is>
      </c>
      <c r="F112" t="inlineStr">
        <is>
          <t>No</t>
        </is>
      </c>
      <c r="G112" t="inlineStr">
        <is>
          <t>1</t>
        </is>
      </c>
      <c r="H112" t="inlineStr">
        <is>
          <t>No</t>
        </is>
      </c>
      <c r="I112" t="inlineStr">
        <is>
          <t>No</t>
        </is>
      </c>
      <c r="J112" t="inlineStr">
        <is>
          <t>0</t>
        </is>
      </c>
      <c r="K112" t="inlineStr">
        <is>
          <t>Reid, John Kelman Sutherland.</t>
        </is>
      </c>
      <c r="L112" t="inlineStr">
        <is>
          <t>Grand Rapids, Eerdmans [1970, c1969]</t>
        </is>
      </c>
      <c r="M112" t="inlineStr">
        <is>
          <t>1970</t>
        </is>
      </c>
      <c r="N112" t="inlineStr">
        <is>
          <t>[1st U.S. ed.]</t>
        </is>
      </c>
      <c r="O112" t="inlineStr">
        <is>
          <t>eng</t>
        </is>
      </c>
      <c r="P112" t="inlineStr">
        <is>
          <t>miu</t>
        </is>
      </c>
      <c r="R112" t="inlineStr">
        <is>
          <t xml:space="preserve">BT </t>
        </is>
      </c>
      <c r="S112" t="n">
        <v>3</v>
      </c>
      <c r="T112" t="n">
        <v>3</v>
      </c>
      <c r="U112" t="inlineStr">
        <is>
          <t>2007-11-04</t>
        </is>
      </c>
      <c r="V112" t="inlineStr">
        <is>
          <t>2007-11-04</t>
        </is>
      </c>
      <c r="W112" t="inlineStr">
        <is>
          <t>1991-10-29</t>
        </is>
      </c>
      <c r="X112" t="inlineStr">
        <is>
          <t>1991-10-29</t>
        </is>
      </c>
      <c r="Y112" t="n">
        <v>203</v>
      </c>
      <c r="Z112" t="n">
        <v>180</v>
      </c>
      <c r="AA112" t="n">
        <v>258</v>
      </c>
      <c r="AB112" t="n">
        <v>3</v>
      </c>
      <c r="AC112" t="n">
        <v>3</v>
      </c>
      <c r="AD112" t="n">
        <v>15</v>
      </c>
      <c r="AE112" t="n">
        <v>17</v>
      </c>
      <c r="AF112" t="n">
        <v>5</v>
      </c>
      <c r="AG112" t="n">
        <v>6</v>
      </c>
      <c r="AH112" t="n">
        <v>2</v>
      </c>
      <c r="AI112" t="n">
        <v>2</v>
      </c>
      <c r="AJ112" t="n">
        <v>9</v>
      </c>
      <c r="AK112" t="n">
        <v>11</v>
      </c>
      <c r="AL112" t="n">
        <v>2</v>
      </c>
      <c r="AM112" t="n">
        <v>2</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HYPERLINK("https://creighton-primo.hosted.exlibrisgroup.com/primo-explore/search?tab=default_tab&amp;search_scope=EVERYTHING&amp;vid=01CRU&amp;lang=en_US&amp;offset=0&amp;query=any,contains,991000539319702656","Catalog Record")</f>
        <v/>
      </c>
      <c r="AT112">
        <f>HYPERLINK("http://www.worldcat.org/oclc/90192","WorldCat Record")</f>
        <v/>
      </c>
      <c r="AU112" t="inlineStr">
        <is>
          <t>1232960:eng</t>
        </is>
      </c>
      <c r="AV112" t="inlineStr">
        <is>
          <t>90192</t>
        </is>
      </c>
      <c r="AW112" t="inlineStr">
        <is>
          <t>991000539319702656</t>
        </is>
      </c>
      <c r="AX112" t="inlineStr">
        <is>
          <t>991000539319702656</t>
        </is>
      </c>
      <c r="AY112" t="inlineStr">
        <is>
          <t>2266237690002656</t>
        </is>
      </c>
      <c r="AZ112" t="inlineStr">
        <is>
          <t>BOOK</t>
        </is>
      </c>
      <c r="BB112" t="inlineStr">
        <is>
          <t>9780340109854</t>
        </is>
      </c>
      <c r="BC112" t="inlineStr">
        <is>
          <t>32285000808641</t>
        </is>
      </c>
      <c r="BD112" t="inlineStr">
        <is>
          <t>893407288</t>
        </is>
      </c>
    </row>
    <row r="113">
      <c r="A113" t="inlineStr">
        <is>
          <t>No</t>
        </is>
      </c>
      <c r="B113" t="inlineStr">
        <is>
          <t>BT1106 .W3 1972</t>
        </is>
      </c>
      <c r="C113" t="inlineStr">
        <is>
          <t>0                      BT 1106000W  3           1972</t>
        </is>
      </c>
      <c r="D113" t="inlineStr">
        <is>
          <t>The ancient theology : studies in Christian Platonism from the fifteenth to the eighteenth century / [by] D. P. Walker.</t>
        </is>
      </c>
      <c r="F113" t="inlineStr">
        <is>
          <t>No</t>
        </is>
      </c>
      <c r="G113" t="inlineStr">
        <is>
          <t>1</t>
        </is>
      </c>
      <c r="H113" t="inlineStr">
        <is>
          <t>No</t>
        </is>
      </c>
      <c r="I113" t="inlineStr">
        <is>
          <t>No</t>
        </is>
      </c>
      <c r="J113" t="inlineStr">
        <is>
          <t>0</t>
        </is>
      </c>
      <c r="K113" t="inlineStr">
        <is>
          <t>Walker, D. P. (Daniel Pickering)</t>
        </is>
      </c>
      <c r="L113" t="inlineStr">
        <is>
          <t>Ithaca, N.Y., Cornell University Press [1972]</t>
        </is>
      </c>
      <c r="M113" t="inlineStr">
        <is>
          <t>1972</t>
        </is>
      </c>
      <c r="O113" t="inlineStr">
        <is>
          <t>eng</t>
        </is>
      </c>
      <c r="P113" t="inlineStr">
        <is>
          <t>nyu</t>
        </is>
      </c>
      <c r="R113" t="inlineStr">
        <is>
          <t xml:space="preserve">BT </t>
        </is>
      </c>
      <c r="S113" t="n">
        <v>1</v>
      </c>
      <c r="T113" t="n">
        <v>1</v>
      </c>
      <c r="U113" t="inlineStr">
        <is>
          <t>2002-05-04</t>
        </is>
      </c>
      <c r="V113" t="inlineStr">
        <is>
          <t>2002-05-04</t>
        </is>
      </c>
      <c r="W113" t="inlineStr">
        <is>
          <t>1991-10-29</t>
        </is>
      </c>
      <c r="X113" t="inlineStr">
        <is>
          <t>1991-10-29</t>
        </is>
      </c>
      <c r="Y113" t="n">
        <v>509</v>
      </c>
      <c r="Z113" t="n">
        <v>467</v>
      </c>
      <c r="AA113" t="n">
        <v>546</v>
      </c>
      <c r="AB113" t="n">
        <v>4</v>
      </c>
      <c r="AC113" t="n">
        <v>4</v>
      </c>
      <c r="AD113" t="n">
        <v>23</v>
      </c>
      <c r="AE113" t="n">
        <v>27</v>
      </c>
      <c r="AF113" t="n">
        <v>7</v>
      </c>
      <c r="AG113" t="n">
        <v>8</v>
      </c>
      <c r="AH113" t="n">
        <v>5</v>
      </c>
      <c r="AI113" t="n">
        <v>7</v>
      </c>
      <c r="AJ113" t="n">
        <v>12</v>
      </c>
      <c r="AK113" t="n">
        <v>15</v>
      </c>
      <c r="AL113" t="n">
        <v>3</v>
      </c>
      <c r="AM113" t="n">
        <v>3</v>
      </c>
      <c r="AN113" t="n">
        <v>0</v>
      </c>
      <c r="AO113" t="n">
        <v>0</v>
      </c>
      <c r="AP113" t="inlineStr">
        <is>
          <t>No</t>
        </is>
      </c>
      <c r="AQ113" t="inlineStr">
        <is>
          <t>Yes</t>
        </is>
      </c>
      <c r="AR113">
        <f>HYPERLINK("http://catalog.hathitrust.org/Record/001412888","HathiTrust Record")</f>
        <v/>
      </c>
      <c r="AS113">
        <f>HYPERLINK("https://creighton-primo.hosted.exlibrisgroup.com/primo-explore/search?tab=default_tab&amp;search_scope=EVERYTHING&amp;vid=01CRU&amp;lang=en_US&amp;offset=0&amp;query=any,contains,991002383579702656","Catalog Record")</f>
        <v/>
      </c>
      <c r="AT113">
        <f>HYPERLINK("http://www.worldcat.org/oclc/328954","WorldCat Record")</f>
        <v/>
      </c>
      <c r="AU113" t="inlineStr">
        <is>
          <t>1733854:eng</t>
        </is>
      </c>
      <c r="AV113" t="inlineStr">
        <is>
          <t>328954</t>
        </is>
      </c>
      <c r="AW113" t="inlineStr">
        <is>
          <t>991002383579702656</t>
        </is>
      </c>
      <c r="AX113" t="inlineStr">
        <is>
          <t>991002383579702656</t>
        </is>
      </c>
      <c r="AY113" t="inlineStr">
        <is>
          <t>2271422020002656</t>
        </is>
      </c>
      <c r="AZ113" t="inlineStr">
        <is>
          <t>BOOK</t>
        </is>
      </c>
      <c r="BB113" t="inlineStr">
        <is>
          <t>9780801407499</t>
        </is>
      </c>
      <c r="BC113" t="inlineStr">
        <is>
          <t>32285000808658</t>
        </is>
      </c>
      <c r="BD113" t="inlineStr">
        <is>
          <t>893773559</t>
        </is>
      </c>
    </row>
    <row r="114">
      <c r="A114" t="inlineStr">
        <is>
          <t>No</t>
        </is>
      </c>
      <c r="B114" t="inlineStr">
        <is>
          <t>BT111 .J3</t>
        </is>
      </c>
      <c r="C114" t="inlineStr">
        <is>
          <t>0                      BT 0111000J  3</t>
        </is>
      </c>
      <c r="D114" t="inlineStr">
        <is>
          <t>The mystery of the Trinity / by Al. Janssens.</t>
        </is>
      </c>
      <c r="F114" t="inlineStr">
        <is>
          <t>No</t>
        </is>
      </c>
      <c r="G114" t="inlineStr">
        <is>
          <t>1</t>
        </is>
      </c>
      <c r="H114" t="inlineStr">
        <is>
          <t>No</t>
        </is>
      </c>
      <c r="I114" t="inlineStr">
        <is>
          <t>No</t>
        </is>
      </c>
      <c r="J114" t="inlineStr">
        <is>
          <t>0</t>
        </is>
      </c>
      <c r="K114" t="inlineStr">
        <is>
          <t>Janssens, Aloïs, 1887-1941.</t>
        </is>
      </c>
      <c r="L114" t="inlineStr">
        <is>
          <t>Fresno, Calif. : Academy Library Guild, 1954 [i.e. 1956]</t>
        </is>
      </c>
      <c r="M114" t="inlineStr">
        <is>
          <t>1956</t>
        </is>
      </c>
      <c r="O114" t="inlineStr">
        <is>
          <t>eng</t>
        </is>
      </c>
      <c r="P114" t="inlineStr">
        <is>
          <t>___</t>
        </is>
      </c>
      <c r="R114" t="inlineStr">
        <is>
          <t xml:space="preserve">BT </t>
        </is>
      </c>
      <c r="S114" t="n">
        <v>5</v>
      </c>
      <c r="T114" t="n">
        <v>5</v>
      </c>
      <c r="U114" t="inlineStr">
        <is>
          <t>2009-12-04</t>
        </is>
      </c>
      <c r="V114" t="inlineStr">
        <is>
          <t>2009-12-04</t>
        </is>
      </c>
      <c r="W114" t="inlineStr">
        <is>
          <t>1991-07-30</t>
        </is>
      </c>
      <c r="X114" t="inlineStr">
        <is>
          <t>1991-07-30</t>
        </is>
      </c>
      <c r="Y114" t="n">
        <v>35</v>
      </c>
      <c r="Z114" t="n">
        <v>35</v>
      </c>
      <c r="AA114" t="n">
        <v>52</v>
      </c>
      <c r="AB114" t="n">
        <v>1</v>
      </c>
      <c r="AC114" t="n">
        <v>1</v>
      </c>
      <c r="AD114" t="n">
        <v>7</v>
      </c>
      <c r="AE114" t="n">
        <v>10</v>
      </c>
      <c r="AF114" t="n">
        <v>1</v>
      </c>
      <c r="AG114" t="n">
        <v>2</v>
      </c>
      <c r="AH114" t="n">
        <v>3</v>
      </c>
      <c r="AI114" t="n">
        <v>3</v>
      </c>
      <c r="AJ114" t="n">
        <v>6</v>
      </c>
      <c r="AK114" t="n">
        <v>9</v>
      </c>
      <c r="AL114" t="n">
        <v>0</v>
      </c>
      <c r="AM114" t="n">
        <v>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HYPERLINK("https://creighton-primo.hosted.exlibrisgroup.com/primo-explore/search?tab=default_tab&amp;search_scope=EVERYTHING&amp;vid=01CRU&amp;lang=en_US&amp;offset=0&amp;query=any,contains,991003672199702656","Catalog Record")</f>
        <v/>
      </c>
      <c r="AT114">
        <f>HYPERLINK("http://www.worldcat.org/oclc/1289644","WorldCat Record")</f>
        <v/>
      </c>
      <c r="AU114" t="inlineStr">
        <is>
          <t>2226088:eng</t>
        </is>
      </c>
      <c r="AV114" t="inlineStr">
        <is>
          <t>1289644</t>
        </is>
      </c>
      <c r="AW114" t="inlineStr">
        <is>
          <t>991003672199702656</t>
        </is>
      </c>
      <c r="AX114" t="inlineStr">
        <is>
          <t>991003672199702656</t>
        </is>
      </c>
      <c r="AY114" t="inlineStr">
        <is>
          <t>2261384820002656</t>
        </is>
      </c>
      <c r="AZ114" t="inlineStr">
        <is>
          <t>BOOK</t>
        </is>
      </c>
      <c r="BC114" t="inlineStr">
        <is>
          <t>32285000692805</t>
        </is>
      </c>
      <c r="BD114" t="inlineStr">
        <is>
          <t>893252612</t>
        </is>
      </c>
    </row>
    <row r="115">
      <c r="A115" t="inlineStr">
        <is>
          <t>No</t>
        </is>
      </c>
      <c r="B115" t="inlineStr">
        <is>
          <t>BT111 .M352 1953</t>
        </is>
      </c>
      <c r="C115" t="inlineStr">
        <is>
          <t>0                      BT 0111000M  352         1953</t>
        </is>
      </c>
      <c r="D115" t="inlineStr">
        <is>
          <t>The Trinity in our spiritual life : an anthology of the writings of Dom Columba Marmion / compiled by Dom Raymund Thibaut.</t>
        </is>
      </c>
      <c r="F115" t="inlineStr">
        <is>
          <t>No</t>
        </is>
      </c>
      <c r="G115" t="inlineStr">
        <is>
          <t>1</t>
        </is>
      </c>
      <c r="H115" t="inlineStr">
        <is>
          <t>No</t>
        </is>
      </c>
      <c r="I115" t="inlineStr">
        <is>
          <t>No</t>
        </is>
      </c>
      <c r="J115" t="inlineStr">
        <is>
          <t>0</t>
        </is>
      </c>
      <c r="K115" t="inlineStr">
        <is>
          <t>Marmion, Columba, 1858-1923.</t>
        </is>
      </c>
      <c r="L115" t="inlineStr">
        <is>
          <t>Westminster, Md. : Newman Press, 1953.</t>
        </is>
      </c>
      <c r="M115" t="inlineStr">
        <is>
          <t>1953</t>
        </is>
      </c>
      <c r="O115" t="inlineStr">
        <is>
          <t>eng</t>
        </is>
      </c>
      <c r="P115" t="inlineStr">
        <is>
          <t>mdu</t>
        </is>
      </c>
      <c r="R115" t="inlineStr">
        <is>
          <t xml:space="preserve">BT </t>
        </is>
      </c>
      <c r="S115" t="n">
        <v>2</v>
      </c>
      <c r="T115" t="n">
        <v>2</v>
      </c>
      <c r="U115" t="inlineStr">
        <is>
          <t>2010-07-26</t>
        </is>
      </c>
      <c r="V115" t="inlineStr">
        <is>
          <t>2010-07-26</t>
        </is>
      </c>
      <c r="W115" t="inlineStr">
        <is>
          <t>1991-07-30</t>
        </is>
      </c>
      <c r="X115" t="inlineStr">
        <is>
          <t>1991-07-30</t>
        </is>
      </c>
      <c r="Y115" t="n">
        <v>159</v>
      </c>
      <c r="Z115" t="n">
        <v>145</v>
      </c>
      <c r="AA115" t="n">
        <v>244</v>
      </c>
      <c r="AB115" t="n">
        <v>2</v>
      </c>
      <c r="AC115" t="n">
        <v>3</v>
      </c>
      <c r="AD115" t="n">
        <v>26</v>
      </c>
      <c r="AE115" t="n">
        <v>32</v>
      </c>
      <c r="AF115" t="n">
        <v>9</v>
      </c>
      <c r="AG115" t="n">
        <v>11</v>
      </c>
      <c r="AH115" t="n">
        <v>5</v>
      </c>
      <c r="AI115" t="n">
        <v>7</v>
      </c>
      <c r="AJ115" t="n">
        <v>22</v>
      </c>
      <c r="AK115" t="n">
        <v>23</v>
      </c>
      <c r="AL115" t="n">
        <v>0</v>
      </c>
      <c r="AM115" t="n">
        <v>1</v>
      </c>
      <c r="AN115" t="n">
        <v>0</v>
      </c>
      <c r="AO115" t="n">
        <v>2</v>
      </c>
      <c r="AP115" t="inlineStr">
        <is>
          <t>No</t>
        </is>
      </c>
      <c r="AQ115" t="inlineStr">
        <is>
          <t>Yes</t>
        </is>
      </c>
      <c r="AR115">
        <f>HYPERLINK("http://catalog.hathitrust.org/Record/102580587","HathiTrust Record")</f>
        <v/>
      </c>
      <c r="AS115">
        <f>HYPERLINK("https://creighton-primo.hosted.exlibrisgroup.com/primo-explore/search?tab=default_tab&amp;search_scope=EVERYTHING&amp;vid=01CRU&amp;lang=en_US&amp;offset=0&amp;query=any,contains,991004135959702656","Catalog Record")</f>
        <v/>
      </c>
      <c r="AT115">
        <f>HYPERLINK("http://www.worldcat.org/oclc/2486070","WorldCat Record")</f>
        <v/>
      </c>
      <c r="AU115" t="inlineStr">
        <is>
          <t>181146611:eng</t>
        </is>
      </c>
      <c r="AV115" t="inlineStr">
        <is>
          <t>2486070</t>
        </is>
      </c>
      <c r="AW115" t="inlineStr">
        <is>
          <t>991004135959702656</t>
        </is>
      </c>
      <c r="AX115" t="inlineStr">
        <is>
          <t>991004135959702656</t>
        </is>
      </c>
      <c r="AY115" t="inlineStr">
        <is>
          <t>2261070710002656</t>
        </is>
      </c>
      <c r="AZ115" t="inlineStr">
        <is>
          <t>BOOK</t>
        </is>
      </c>
      <c r="BC115" t="inlineStr">
        <is>
          <t>32285000692813</t>
        </is>
      </c>
      <c r="BD115" t="inlineStr">
        <is>
          <t>893894604</t>
        </is>
      </c>
    </row>
    <row r="116">
      <c r="A116" t="inlineStr">
        <is>
          <t>No</t>
        </is>
      </c>
      <c r="B116" t="inlineStr">
        <is>
          <t>BT111.2 .B613 1999</t>
        </is>
      </c>
      <c r="C116" t="inlineStr">
        <is>
          <t>0                      BT 0111200B  613         1999</t>
        </is>
      </c>
      <c r="D116" t="inlineStr">
        <is>
          <t>The mystery of the Trinity : trinitarian experience and vision in the biblical and patristic tradition / by Boris Bobrinskoy ; translated by Anthony P. Gythiel.</t>
        </is>
      </c>
      <c r="F116" t="inlineStr">
        <is>
          <t>No</t>
        </is>
      </c>
      <c r="G116" t="inlineStr">
        <is>
          <t>1</t>
        </is>
      </c>
      <c r="H116" t="inlineStr">
        <is>
          <t>No</t>
        </is>
      </c>
      <c r="I116" t="inlineStr">
        <is>
          <t>No</t>
        </is>
      </c>
      <c r="J116" t="inlineStr">
        <is>
          <t>0</t>
        </is>
      </c>
      <c r="K116" t="inlineStr">
        <is>
          <t>Bobrinskoy, Boris.</t>
        </is>
      </c>
      <c r="L116" t="inlineStr">
        <is>
          <t>Crestwood, N.Y. : St. Vladimir's Seminary Press, 1999.</t>
        </is>
      </c>
      <c r="M116" t="inlineStr">
        <is>
          <t>1999</t>
        </is>
      </c>
      <c r="O116" t="inlineStr">
        <is>
          <t>eng</t>
        </is>
      </c>
      <c r="P116" t="inlineStr">
        <is>
          <t>nyu</t>
        </is>
      </c>
      <c r="R116" t="inlineStr">
        <is>
          <t xml:space="preserve">BT </t>
        </is>
      </c>
      <c r="S116" t="n">
        <v>6</v>
      </c>
      <c r="T116" t="n">
        <v>6</v>
      </c>
      <c r="U116" t="inlineStr">
        <is>
          <t>2009-12-04</t>
        </is>
      </c>
      <c r="V116" t="inlineStr">
        <is>
          <t>2009-12-04</t>
        </is>
      </c>
      <c r="W116" t="inlineStr">
        <is>
          <t>2001-08-02</t>
        </is>
      </c>
      <c r="X116" t="inlineStr">
        <is>
          <t>2001-08-02</t>
        </is>
      </c>
      <c r="Y116" t="n">
        <v>229</v>
      </c>
      <c r="Z116" t="n">
        <v>174</v>
      </c>
      <c r="AA116" t="n">
        <v>177</v>
      </c>
      <c r="AB116" t="n">
        <v>2</v>
      </c>
      <c r="AC116" t="n">
        <v>2</v>
      </c>
      <c r="AD116" t="n">
        <v>14</v>
      </c>
      <c r="AE116" t="n">
        <v>14</v>
      </c>
      <c r="AF116" t="n">
        <v>5</v>
      </c>
      <c r="AG116" t="n">
        <v>5</v>
      </c>
      <c r="AH116" t="n">
        <v>3</v>
      </c>
      <c r="AI116" t="n">
        <v>3</v>
      </c>
      <c r="AJ116" t="n">
        <v>10</v>
      </c>
      <c r="AK116" t="n">
        <v>10</v>
      </c>
      <c r="AL116" t="n">
        <v>0</v>
      </c>
      <c r="AM116" t="n">
        <v>0</v>
      </c>
      <c r="AN116" t="n">
        <v>0</v>
      </c>
      <c r="AO116" t="n">
        <v>0</v>
      </c>
      <c r="AP116" t="inlineStr">
        <is>
          <t>No</t>
        </is>
      </c>
      <c r="AQ116" t="inlineStr">
        <is>
          <t>Yes</t>
        </is>
      </c>
      <c r="AR116">
        <f>HYPERLINK("http://catalog.hathitrust.org/Record/004033684","HathiTrust Record")</f>
        <v/>
      </c>
      <c r="AS116">
        <f>HYPERLINK("https://creighton-primo.hosted.exlibrisgroup.com/primo-explore/search?tab=default_tab&amp;search_scope=EVERYTHING&amp;vid=01CRU&amp;lang=en_US&amp;offset=0&amp;query=any,contains,991003564099702656","Catalog Record")</f>
        <v/>
      </c>
      <c r="AT116">
        <f>HYPERLINK("http://www.worldcat.org/oclc/40398050","WorldCat Record")</f>
        <v/>
      </c>
      <c r="AU116" t="inlineStr">
        <is>
          <t>26136161:eng</t>
        </is>
      </c>
      <c r="AV116" t="inlineStr">
        <is>
          <t>40398050</t>
        </is>
      </c>
      <c r="AW116" t="inlineStr">
        <is>
          <t>991003564099702656</t>
        </is>
      </c>
      <c r="AX116" t="inlineStr">
        <is>
          <t>991003564099702656</t>
        </is>
      </c>
      <c r="AY116" t="inlineStr">
        <is>
          <t>2272264270002656</t>
        </is>
      </c>
      <c r="AZ116" t="inlineStr">
        <is>
          <t>BOOK</t>
        </is>
      </c>
      <c r="BB116" t="inlineStr">
        <is>
          <t>9780881411829</t>
        </is>
      </c>
      <c r="BC116" t="inlineStr">
        <is>
          <t>32285004375647</t>
        </is>
      </c>
      <c r="BD116" t="inlineStr">
        <is>
          <t>893598707</t>
        </is>
      </c>
    </row>
    <row r="117">
      <c r="A117" t="inlineStr">
        <is>
          <t>No</t>
        </is>
      </c>
      <c r="B117" t="inlineStr">
        <is>
          <t>BT111.2 .B6413 1988</t>
        </is>
      </c>
      <c r="C117" t="inlineStr">
        <is>
          <t>0                      BT 0111200B  6413        1988</t>
        </is>
      </c>
      <c r="D117" t="inlineStr">
        <is>
          <t>Trinity and society / Leonardo Boff ; translated from the Portuguese by Paul Burns.</t>
        </is>
      </c>
      <c r="F117" t="inlineStr">
        <is>
          <t>No</t>
        </is>
      </c>
      <c r="G117" t="inlineStr">
        <is>
          <t>1</t>
        </is>
      </c>
      <c r="H117" t="inlineStr">
        <is>
          <t>No</t>
        </is>
      </c>
      <c r="I117" t="inlineStr">
        <is>
          <t>No</t>
        </is>
      </c>
      <c r="J117" t="inlineStr">
        <is>
          <t>0</t>
        </is>
      </c>
      <c r="K117" t="inlineStr">
        <is>
          <t>Boff, Leonardo.</t>
        </is>
      </c>
      <c r="L117" t="inlineStr">
        <is>
          <t>Maryknoll, N.Y. : Orbis Books, c1988.</t>
        </is>
      </c>
      <c r="M117" t="inlineStr">
        <is>
          <t>1988</t>
        </is>
      </c>
      <c r="O117" t="inlineStr">
        <is>
          <t>eng</t>
        </is>
      </c>
      <c r="P117" t="inlineStr">
        <is>
          <t>nyu</t>
        </is>
      </c>
      <c r="Q117" t="inlineStr">
        <is>
          <t>Theology and liberation series</t>
        </is>
      </c>
      <c r="R117" t="inlineStr">
        <is>
          <t xml:space="preserve">BT </t>
        </is>
      </c>
      <c r="S117" t="n">
        <v>18</v>
      </c>
      <c r="T117" t="n">
        <v>18</v>
      </c>
      <c r="U117" t="inlineStr">
        <is>
          <t>2004-06-14</t>
        </is>
      </c>
      <c r="V117" t="inlineStr">
        <is>
          <t>2004-06-14</t>
        </is>
      </c>
      <c r="W117" t="inlineStr">
        <is>
          <t>1990-08-10</t>
        </is>
      </c>
      <c r="X117" t="inlineStr">
        <is>
          <t>1990-08-10</t>
        </is>
      </c>
      <c r="Y117" t="n">
        <v>440</v>
      </c>
      <c r="Z117" t="n">
        <v>361</v>
      </c>
      <c r="AA117" t="n">
        <v>396</v>
      </c>
      <c r="AB117" t="n">
        <v>4</v>
      </c>
      <c r="AC117" t="n">
        <v>4</v>
      </c>
      <c r="AD117" t="n">
        <v>31</v>
      </c>
      <c r="AE117" t="n">
        <v>32</v>
      </c>
      <c r="AF117" t="n">
        <v>11</v>
      </c>
      <c r="AG117" t="n">
        <v>12</v>
      </c>
      <c r="AH117" t="n">
        <v>7</v>
      </c>
      <c r="AI117" t="n">
        <v>7</v>
      </c>
      <c r="AJ117" t="n">
        <v>19</v>
      </c>
      <c r="AK117" t="n">
        <v>19</v>
      </c>
      <c r="AL117" t="n">
        <v>3</v>
      </c>
      <c r="AM117" t="n">
        <v>3</v>
      </c>
      <c r="AN117" t="n">
        <v>0</v>
      </c>
      <c r="AO117" t="n">
        <v>0</v>
      </c>
      <c r="AP117" t="inlineStr">
        <is>
          <t>No</t>
        </is>
      </c>
      <c r="AQ117" t="inlineStr">
        <is>
          <t>Yes</t>
        </is>
      </c>
      <c r="AR117">
        <f>HYPERLINK("http://catalog.hathitrust.org/Record/001085129","HathiTrust Record")</f>
        <v/>
      </c>
      <c r="AS117">
        <f>HYPERLINK("https://creighton-primo.hosted.exlibrisgroup.com/primo-explore/search?tab=default_tab&amp;search_scope=EVERYTHING&amp;vid=01CRU&amp;lang=en_US&amp;offset=0&amp;query=any,contains,991001254599702656","Catalog Record")</f>
        <v/>
      </c>
      <c r="AT117">
        <f>HYPERLINK("http://www.worldcat.org/oclc/17727240","WorldCat Record")</f>
        <v/>
      </c>
      <c r="AU117" t="inlineStr">
        <is>
          <t>13204772:eng</t>
        </is>
      </c>
      <c r="AV117" t="inlineStr">
        <is>
          <t>17727240</t>
        </is>
      </c>
      <c r="AW117" t="inlineStr">
        <is>
          <t>991001254599702656</t>
        </is>
      </c>
      <c r="AX117" t="inlineStr">
        <is>
          <t>991001254599702656</t>
        </is>
      </c>
      <c r="AY117" t="inlineStr">
        <is>
          <t>2257961240002656</t>
        </is>
      </c>
      <c r="AZ117" t="inlineStr">
        <is>
          <t>BOOK</t>
        </is>
      </c>
      <c r="BB117" t="inlineStr">
        <is>
          <t>9780883446225</t>
        </is>
      </c>
      <c r="BC117" t="inlineStr">
        <is>
          <t>32285000243450</t>
        </is>
      </c>
      <c r="BD117" t="inlineStr">
        <is>
          <t>893803491</t>
        </is>
      </c>
    </row>
    <row r="118">
      <c r="A118" t="inlineStr">
        <is>
          <t>No</t>
        </is>
      </c>
      <c r="B118" t="inlineStr">
        <is>
          <t>BT111.2 .B73 1985</t>
        </is>
      </c>
      <c r="C118" t="inlineStr">
        <is>
          <t>0                      BT 0111200B  73          1985</t>
        </is>
      </c>
      <c r="D118" t="inlineStr">
        <is>
          <t>The Divine Trinity / David Brown.</t>
        </is>
      </c>
      <c r="F118" t="inlineStr">
        <is>
          <t>No</t>
        </is>
      </c>
      <c r="G118" t="inlineStr">
        <is>
          <t>1</t>
        </is>
      </c>
      <c r="H118" t="inlineStr">
        <is>
          <t>No</t>
        </is>
      </c>
      <c r="I118" t="inlineStr">
        <is>
          <t>No</t>
        </is>
      </c>
      <c r="J118" t="inlineStr">
        <is>
          <t>0</t>
        </is>
      </c>
      <c r="K118" t="inlineStr">
        <is>
          <t>Brown, David, 1922-1982.</t>
        </is>
      </c>
      <c r="L118" t="inlineStr">
        <is>
          <t>La Salle, Ill. : Open Court Pub. Co., c1985.</t>
        </is>
      </c>
      <c r="M118" t="inlineStr">
        <is>
          <t>1985</t>
        </is>
      </c>
      <c r="O118" t="inlineStr">
        <is>
          <t>eng</t>
        </is>
      </c>
      <c r="P118" t="inlineStr">
        <is>
          <t>ilu</t>
        </is>
      </c>
      <c r="R118" t="inlineStr">
        <is>
          <t xml:space="preserve">BT </t>
        </is>
      </c>
      <c r="S118" t="n">
        <v>4</v>
      </c>
      <c r="T118" t="n">
        <v>4</v>
      </c>
      <c r="U118" t="inlineStr">
        <is>
          <t>1999-04-13</t>
        </is>
      </c>
      <c r="V118" t="inlineStr">
        <is>
          <t>1999-04-13</t>
        </is>
      </c>
      <c r="W118" t="inlineStr">
        <is>
          <t>1991-07-30</t>
        </is>
      </c>
      <c r="X118" t="inlineStr">
        <is>
          <t>1991-07-30</t>
        </is>
      </c>
      <c r="Y118" t="n">
        <v>327</v>
      </c>
      <c r="Z118" t="n">
        <v>302</v>
      </c>
      <c r="AA118" t="n">
        <v>355</v>
      </c>
      <c r="AB118" t="n">
        <v>2</v>
      </c>
      <c r="AC118" t="n">
        <v>2</v>
      </c>
      <c r="AD118" t="n">
        <v>25</v>
      </c>
      <c r="AE118" t="n">
        <v>26</v>
      </c>
      <c r="AF118" t="n">
        <v>10</v>
      </c>
      <c r="AG118" t="n">
        <v>10</v>
      </c>
      <c r="AH118" t="n">
        <v>7</v>
      </c>
      <c r="AI118" t="n">
        <v>7</v>
      </c>
      <c r="AJ118" t="n">
        <v>16</v>
      </c>
      <c r="AK118" t="n">
        <v>17</v>
      </c>
      <c r="AL118" t="n">
        <v>1</v>
      </c>
      <c r="AM118" t="n">
        <v>1</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HYPERLINK("https://creighton-primo.hosted.exlibrisgroup.com/primo-explore/search?tab=default_tab&amp;search_scope=EVERYTHING&amp;vid=01CRU&amp;lang=en_US&amp;offset=0&amp;query=any,contains,991000495919702656","Catalog Record")</f>
        <v/>
      </c>
      <c r="AT118">
        <f>HYPERLINK("http://www.worldcat.org/oclc/11134468","WorldCat Record")</f>
        <v/>
      </c>
      <c r="AU118" t="inlineStr">
        <is>
          <t>21070796:eng</t>
        </is>
      </c>
      <c r="AV118" t="inlineStr">
        <is>
          <t>11134468</t>
        </is>
      </c>
      <c r="AW118" t="inlineStr">
        <is>
          <t>991000495919702656</t>
        </is>
      </c>
      <c r="AX118" t="inlineStr">
        <is>
          <t>991000495919702656</t>
        </is>
      </c>
      <c r="AY118" t="inlineStr">
        <is>
          <t>2254834730002656</t>
        </is>
      </c>
      <c r="AZ118" t="inlineStr">
        <is>
          <t>BOOK</t>
        </is>
      </c>
      <c r="BB118" t="inlineStr">
        <is>
          <t>9780875484396</t>
        </is>
      </c>
      <c r="BC118" t="inlineStr">
        <is>
          <t>32285000692821</t>
        </is>
      </c>
      <c r="BD118" t="inlineStr">
        <is>
          <t>893790565</t>
        </is>
      </c>
    </row>
    <row r="119">
      <c r="A119" t="inlineStr">
        <is>
          <t>No</t>
        </is>
      </c>
      <c r="B119" t="inlineStr">
        <is>
          <t>BT111.2 .C85 1998</t>
        </is>
      </c>
      <c r="C119" t="inlineStr">
        <is>
          <t>0                      BT 0111200C  85          1998</t>
        </is>
      </c>
      <c r="D119" t="inlineStr">
        <is>
          <t>These three are one : the practice of Trinitarian theology / David S. Cunningham.</t>
        </is>
      </c>
      <c r="F119" t="inlineStr">
        <is>
          <t>No</t>
        </is>
      </c>
      <c r="G119" t="inlineStr">
        <is>
          <t>1</t>
        </is>
      </c>
      <c r="H119" t="inlineStr">
        <is>
          <t>No</t>
        </is>
      </c>
      <c r="I119" t="inlineStr">
        <is>
          <t>No</t>
        </is>
      </c>
      <c r="J119" t="inlineStr">
        <is>
          <t>0</t>
        </is>
      </c>
      <c r="K119" t="inlineStr">
        <is>
          <t>Cunningham, David S., 1961-</t>
        </is>
      </c>
      <c r="L119" t="inlineStr">
        <is>
          <t>Malden, Mass. : Blackwell Publishers, 1998.</t>
        </is>
      </c>
      <c r="M119" t="inlineStr">
        <is>
          <t>1998</t>
        </is>
      </c>
      <c r="O119" t="inlineStr">
        <is>
          <t>eng</t>
        </is>
      </c>
      <c r="P119" t="inlineStr">
        <is>
          <t>mau</t>
        </is>
      </c>
      <c r="Q119" t="inlineStr">
        <is>
          <t>Challenges in contemporary theology</t>
        </is>
      </c>
      <c r="R119" t="inlineStr">
        <is>
          <t xml:space="preserve">BT </t>
        </is>
      </c>
      <c r="S119" t="n">
        <v>4</v>
      </c>
      <c r="T119" t="n">
        <v>4</v>
      </c>
      <c r="U119" t="inlineStr">
        <is>
          <t>2004-03-17</t>
        </is>
      </c>
      <c r="V119" t="inlineStr">
        <is>
          <t>2004-03-17</t>
        </is>
      </c>
      <c r="W119" t="inlineStr">
        <is>
          <t>1998-03-24</t>
        </is>
      </c>
      <c r="X119" t="inlineStr">
        <is>
          <t>1998-03-24</t>
        </is>
      </c>
      <c r="Y119" t="n">
        <v>366</v>
      </c>
      <c r="Z119" t="n">
        <v>259</v>
      </c>
      <c r="AA119" t="n">
        <v>260</v>
      </c>
      <c r="AB119" t="n">
        <v>1</v>
      </c>
      <c r="AC119" t="n">
        <v>1</v>
      </c>
      <c r="AD119" t="n">
        <v>23</v>
      </c>
      <c r="AE119" t="n">
        <v>23</v>
      </c>
      <c r="AF119" t="n">
        <v>11</v>
      </c>
      <c r="AG119" t="n">
        <v>11</v>
      </c>
      <c r="AH119" t="n">
        <v>6</v>
      </c>
      <c r="AI119" t="n">
        <v>6</v>
      </c>
      <c r="AJ119" t="n">
        <v>16</v>
      </c>
      <c r="AK119" t="n">
        <v>16</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HYPERLINK("https://creighton-primo.hosted.exlibrisgroup.com/primo-explore/search?tab=default_tab&amp;search_scope=EVERYTHING&amp;vid=01CRU&amp;lang=en_US&amp;offset=0&amp;query=any,contains,991002862549702656","Catalog Record")</f>
        <v/>
      </c>
      <c r="AT119">
        <f>HYPERLINK("http://www.worldcat.org/oclc/37725566","WorldCat Record")</f>
        <v/>
      </c>
      <c r="AU119" t="inlineStr">
        <is>
          <t>795104363:eng</t>
        </is>
      </c>
      <c r="AV119" t="inlineStr">
        <is>
          <t>37725566</t>
        </is>
      </c>
      <c r="AW119" t="inlineStr">
        <is>
          <t>991002862549702656</t>
        </is>
      </c>
      <c r="AX119" t="inlineStr">
        <is>
          <t>991002862549702656</t>
        </is>
      </c>
      <c r="AY119" t="inlineStr">
        <is>
          <t>2255769030002656</t>
        </is>
      </c>
      <c r="AZ119" t="inlineStr">
        <is>
          <t>BOOK</t>
        </is>
      </c>
      <c r="BB119" t="inlineStr">
        <is>
          <t>9781557869623</t>
        </is>
      </c>
      <c r="BC119" t="inlineStr">
        <is>
          <t>32285003380069</t>
        </is>
      </c>
      <c r="BD119" t="inlineStr">
        <is>
          <t>893535227</t>
        </is>
      </c>
    </row>
    <row r="120">
      <c r="A120" t="inlineStr">
        <is>
          <t>No</t>
        </is>
      </c>
      <c r="B120" t="inlineStr">
        <is>
          <t>BT111.2 .F6713 1989</t>
        </is>
      </c>
      <c r="C120" t="inlineStr">
        <is>
          <t>0                      BT 0111200F  6713        1989</t>
        </is>
      </c>
      <c r="D120" t="inlineStr">
        <is>
          <t>The Trinity as history : saga of the Christian God / Bruno Forte ; [translated from the third Italian edition by Paul Rotondi].</t>
        </is>
      </c>
      <c r="F120" t="inlineStr">
        <is>
          <t>No</t>
        </is>
      </c>
      <c r="G120" t="inlineStr">
        <is>
          <t>1</t>
        </is>
      </c>
      <c r="H120" t="inlineStr">
        <is>
          <t>No</t>
        </is>
      </c>
      <c r="I120" t="inlineStr">
        <is>
          <t>No</t>
        </is>
      </c>
      <c r="J120" t="inlineStr">
        <is>
          <t>0</t>
        </is>
      </c>
      <c r="K120" t="inlineStr">
        <is>
          <t>Forte, Bruno.</t>
        </is>
      </c>
      <c r="L120" t="inlineStr">
        <is>
          <t>New York : Alba House, c1989.</t>
        </is>
      </c>
      <c r="M120" t="inlineStr">
        <is>
          <t>1989</t>
        </is>
      </c>
      <c r="O120" t="inlineStr">
        <is>
          <t>eng</t>
        </is>
      </c>
      <c r="P120" t="inlineStr">
        <is>
          <t>nyu</t>
        </is>
      </c>
      <c r="R120" t="inlineStr">
        <is>
          <t xml:space="preserve">BT </t>
        </is>
      </c>
      <c r="S120" t="n">
        <v>11</v>
      </c>
      <c r="T120" t="n">
        <v>11</v>
      </c>
      <c r="U120" t="inlineStr">
        <is>
          <t>2002-04-23</t>
        </is>
      </c>
      <c r="V120" t="inlineStr">
        <is>
          <t>2002-04-23</t>
        </is>
      </c>
      <c r="W120" t="inlineStr">
        <is>
          <t>1990-06-27</t>
        </is>
      </c>
      <c r="X120" t="inlineStr">
        <is>
          <t>1990-06-27</t>
        </is>
      </c>
      <c r="Y120" t="n">
        <v>126</v>
      </c>
      <c r="Z120" t="n">
        <v>95</v>
      </c>
      <c r="AA120" t="n">
        <v>95</v>
      </c>
      <c r="AB120" t="n">
        <v>1</v>
      </c>
      <c r="AC120" t="n">
        <v>1</v>
      </c>
      <c r="AD120" t="n">
        <v>8</v>
      </c>
      <c r="AE120" t="n">
        <v>8</v>
      </c>
      <c r="AF120" t="n">
        <v>1</v>
      </c>
      <c r="AG120" t="n">
        <v>1</v>
      </c>
      <c r="AH120" t="n">
        <v>3</v>
      </c>
      <c r="AI120" t="n">
        <v>3</v>
      </c>
      <c r="AJ120" t="n">
        <v>6</v>
      </c>
      <c r="AK120" t="n">
        <v>6</v>
      </c>
      <c r="AL120" t="n">
        <v>0</v>
      </c>
      <c r="AM120" t="n">
        <v>0</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HYPERLINK("https://creighton-primo.hosted.exlibrisgroup.com/primo-explore/search?tab=default_tab&amp;search_scope=EVERYTHING&amp;vid=01CRU&amp;lang=en_US&amp;offset=0&amp;query=any,contains,991001507909702656","Catalog Record")</f>
        <v/>
      </c>
      <c r="AT120">
        <f>HYPERLINK("http://www.worldcat.org/oclc/19849446","WorldCat Record")</f>
        <v/>
      </c>
      <c r="AU120" t="inlineStr">
        <is>
          <t>21970670:eng</t>
        </is>
      </c>
      <c r="AV120" t="inlineStr">
        <is>
          <t>19849446</t>
        </is>
      </c>
      <c r="AW120" t="inlineStr">
        <is>
          <t>991001507909702656</t>
        </is>
      </c>
      <c r="AX120" t="inlineStr">
        <is>
          <t>991001507909702656</t>
        </is>
      </c>
      <c r="AY120" t="inlineStr">
        <is>
          <t>2266334010002656</t>
        </is>
      </c>
      <c r="AZ120" t="inlineStr">
        <is>
          <t>BOOK</t>
        </is>
      </c>
      <c r="BB120" t="inlineStr">
        <is>
          <t>9780818905520</t>
        </is>
      </c>
      <c r="BC120" t="inlineStr">
        <is>
          <t>32285000205749</t>
        </is>
      </c>
      <c r="BD120" t="inlineStr">
        <is>
          <t>893414278</t>
        </is>
      </c>
    </row>
    <row r="121">
      <c r="A121" t="inlineStr">
        <is>
          <t>No</t>
        </is>
      </c>
      <c r="B121" t="inlineStr">
        <is>
          <t>BT111.2 .H85 1997</t>
        </is>
      </c>
      <c r="C121" t="inlineStr">
        <is>
          <t>0                      BT 0111200H  85          1997</t>
        </is>
      </c>
      <c r="D121" t="inlineStr">
        <is>
          <t>The Trinity and the paschal mystery : a development in recent Catholic theology / Anne Hunt.</t>
        </is>
      </c>
      <c r="F121" t="inlineStr">
        <is>
          <t>No</t>
        </is>
      </c>
      <c r="G121" t="inlineStr">
        <is>
          <t>1</t>
        </is>
      </c>
      <c r="H121" t="inlineStr">
        <is>
          <t>No</t>
        </is>
      </c>
      <c r="I121" t="inlineStr">
        <is>
          <t>No</t>
        </is>
      </c>
      <c r="J121" t="inlineStr">
        <is>
          <t>0</t>
        </is>
      </c>
      <c r="K121" t="inlineStr">
        <is>
          <t>Hunt, Anne, 1952-</t>
        </is>
      </c>
      <c r="L121" t="inlineStr">
        <is>
          <t>Collegeville, Minn. : Liturgical Press, c1997.</t>
        </is>
      </c>
      <c r="M121" t="inlineStr">
        <is>
          <t>1997</t>
        </is>
      </c>
      <c r="O121" t="inlineStr">
        <is>
          <t>eng</t>
        </is>
      </c>
      <c r="P121" t="inlineStr">
        <is>
          <t>mnu</t>
        </is>
      </c>
      <c r="Q121" t="inlineStr">
        <is>
          <t>New theology studies ; v. 5</t>
        </is>
      </c>
      <c r="R121" t="inlineStr">
        <is>
          <t xml:space="preserve">BT </t>
        </is>
      </c>
      <c r="S121" t="n">
        <v>4</v>
      </c>
      <c r="T121" t="n">
        <v>4</v>
      </c>
      <c r="U121" t="inlineStr">
        <is>
          <t>2002-04-23</t>
        </is>
      </c>
      <c r="V121" t="inlineStr">
        <is>
          <t>2002-04-23</t>
        </is>
      </c>
      <c r="W121" t="inlineStr">
        <is>
          <t>1998-03-10</t>
        </is>
      </c>
      <c r="X121" t="inlineStr">
        <is>
          <t>1998-03-10</t>
        </is>
      </c>
      <c r="Y121" t="n">
        <v>174</v>
      </c>
      <c r="Z121" t="n">
        <v>130</v>
      </c>
      <c r="AA121" t="n">
        <v>130</v>
      </c>
      <c r="AB121" t="n">
        <v>1</v>
      </c>
      <c r="AC121" t="n">
        <v>1</v>
      </c>
      <c r="AD121" t="n">
        <v>18</v>
      </c>
      <c r="AE121" t="n">
        <v>18</v>
      </c>
      <c r="AF121" t="n">
        <v>6</v>
      </c>
      <c r="AG121" t="n">
        <v>6</v>
      </c>
      <c r="AH121" t="n">
        <v>4</v>
      </c>
      <c r="AI121" t="n">
        <v>4</v>
      </c>
      <c r="AJ121" t="n">
        <v>14</v>
      </c>
      <c r="AK121" t="n">
        <v>14</v>
      </c>
      <c r="AL121" t="n">
        <v>0</v>
      </c>
      <c r="AM121" t="n">
        <v>0</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HYPERLINK("https://creighton-primo.hosted.exlibrisgroup.com/primo-explore/search?tab=default_tab&amp;search_scope=EVERYTHING&amp;vid=01CRU&amp;lang=en_US&amp;offset=0&amp;query=any,contains,991002804639702656","Catalog Record")</f>
        <v/>
      </c>
      <c r="AT121">
        <f>HYPERLINK("http://www.worldcat.org/oclc/36842469","WorldCat Record")</f>
        <v/>
      </c>
      <c r="AU121" t="inlineStr">
        <is>
          <t>138823654:eng</t>
        </is>
      </c>
      <c r="AV121" t="inlineStr">
        <is>
          <t>36842469</t>
        </is>
      </c>
      <c r="AW121" t="inlineStr">
        <is>
          <t>991002804639702656</t>
        </is>
      </c>
      <c r="AX121" t="inlineStr">
        <is>
          <t>991002804639702656</t>
        </is>
      </c>
      <c r="AY121" t="inlineStr">
        <is>
          <t>2254788010002656</t>
        </is>
      </c>
      <c r="AZ121" t="inlineStr">
        <is>
          <t>BOOK</t>
        </is>
      </c>
      <c r="BB121" t="inlineStr">
        <is>
          <t>9780814658659</t>
        </is>
      </c>
      <c r="BC121" t="inlineStr">
        <is>
          <t>32285003357158</t>
        </is>
      </c>
      <c r="BD121" t="inlineStr">
        <is>
          <t>893227298</t>
        </is>
      </c>
    </row>
    <row r="122">
      <c r="A122" t="inlineStr">
        <is>
          <t>No</t>
        </is>
      </c>
      <c r="B122" t="inlineStr">
        <is>
          <t>BT111.2 .J46 1982</t>
        </is>
      </c>
      <c r="C122" t="inlineStr">
        <is>
          <t>0                      BT 0111200J  46          1982</t>
        </is>
      </c>
      <c r="D122" t="inlineStr">
        <is>
          <t>The triune identity : God according to the gospel / by Robert W. Jenson.</t>
        </is>
      </c>
      <c r="F122" t="inlineStr">
        <is>
          <t>No</t>
        </is>
      </c>
      <c r="G122" t="inlineStr">
        <is>
          <t>1</t>
        </is>
      </c>
      <c r="H122" t="inlineStr">
        <is>
          <t>No</t>
        </is>
      </c>
      <c r="I122" t="inlineStr">
        <is>
          <t>No</t>
        </is>
      </c>
      <c r="J122" t="inlineStr">
        <is>
          <t>0</t>
        </is>
      </c>
      <c r="K122" t="inlineStr">
        <is>
          <t>Jenson, Robert W.</t>
        </is>
      </c>
      <c r="L122" t="inlineStr">
        <is>
          <t>Philadelphia : Fortress Press, c1982.</t>
        </is>
      </c>
      <c r="M122" t="inlineStr">
        <is>
          <t>1982</t>
        </is>
      </c>
      <c r="O122" t="inlineStr">
        <is>
          <t>eng</t>
        </is>
      </c>
      <c r="P122" t="inlineStr">
        <is>
          <t>pau</t>
        </is>
      </c>
      <c r="R122" t="inlineStr">
        <is>
          <t xml:space="preserve">BT </t>
        </is>
      </c>
      <c r="S122" t="n">
        <v>9</v>
      </c>
      <c r="T122" t="n">
        <v>9</v>
      </c>
      <c r="U122" t="inlineStr">
        <is>
          <t>2004-08-11</t>
        </is>
      </c>
      <c r="V122" t="inlineStr">
        <is>
          <t>2004-08-11</t>
        </is>
      </c>
      <c r="W122" t="inlineStr">
        <is>
          <t>1991-07-30</t>
        </is>
      </c>
      <c r="X122" t="inlineStr">
        <is>
          <t>1991-07-30</t>
        </is>
      </c>
      <c r="Y122" t="n">
        <v>340</v>
      </c>
      <c r="Z122" t="n">
        <v>271</v>
      </c>
      <c r="AA122" t="n">
        <v>303</v>
      </c>
      <c r="AB122" t="n">
        <v>2</v>
      </c>
      <c r="AC122" t="n">
        <v>2</v>
      </c>
      <c r="AD122" t="n">
        <v>22</v>
      </c>
      <c r="AE122" t="n">
        <v>22</v>
      </c>
      <c r="AF122" t="n">
        <v>8</v>
      </c>
      <c r="AG122" t="n">
        <v>8</v>
      </c>
      <c r="AH122" t="n">
        <v>6</v>
      </c>
      <c r="AI122" t="n">
        <v>6</v>
      </c>
      <c r="AJ122" t="n">
        <v>15</v>
      </c>
      <c r="AK122" t="n">
        <v>15</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HYPERLINK("https://creighton-primo.hosted.exlibrisgroup.com/primo-explore/search?tab=default_tab&amp;search_scope=EVERYTHING&amp;vid=01CRU&amp;lang=en_US&amp;offset=0&amp;query=any,contains,991005180289702656","Catalog Record")</f>
        <v/>
      </c>
      <c r="AT122">
        <f>HYPERLINK("http://www.worldcat.org/oclc/7945261","WorldCat Record")</f>
        <v/>
      </c>
      <c r="AU122" t="inlineStr">
        <is>
          <t>7410882:eng</t>
        </is>
      </c>
      <c r="AV122" t="inlineStr">
        <is>
          <t>7945261</t>
        </is>
      </c>
      <c r="AW122" t="inlineStr">
        <is>
          <t>991005180289702656</t>
        </is>
      </c>
      <c r="AX122" t="inlineStr">
        <is>
          <t>991005180289702656</t>
        </is>
      </c>
      <c r="AY122" t="inlineStr">
        <is>
          <t>2271160030002656</t>
        </is>
      </c>
      <c r="AZ122" t="inlineStr">
        <is>
          <t>BOOK</t>
        </is>
      </c>
      <c r="BB122" t="inlineStr">
        <is>
          <t>9780800606725</t>
        </is>
      </c>
      <c r="BC122" t="inlineStr">
        <is>
          <t>32285000692888</t>
        </is>
      </c>
      <c r="BD122" t="inlineStr">
        <is>
          <t>893688730</t>
        </is>
      </c>
    </row>
    <row r="123">
      <c r="A123" t="inlineStr">
        <is>
          <t>No</t>
        </is>
      </c>
      <c r="B123" t="inlineStr">
        <is>
          <t>BT111.2 .L44 1996</t>
        </is>
      </c>
      <c r="C123" t="inlineStr">
        <is>
          <t>0                      BT 0111200L  44          1996</t>
        </is>
      </c>
      <c r="D123" t="inlineStr">
        <is>
          <t>The Trinity in Asian perspective / Jung Young Lee.</t>
        </is>
      </c>
      <c r="F123" t="inlineStr">
        <is>
          <t>No</t>
        </is>
      </c>
      <c r="G123" t="inlineStr">
        <is>
          <t>1</t>
        </is>
      </c>
      <c r="H123" t="inlineStr">
        <is>
          <t>No</t>
        </is>
      </c>
      <c r="I123" t="inlineStr">
        <is>
          <t>No</t>
        </is>
      </c>
      <c r="J123" t="inlineStr">
        <is>
          <t>0</t>
        </is>
      </c>
      <c r="K123" t="inlineStr">
        <is>
          <t>Lee, Jung Young.</t>
        </is>
      </c>
      <c r="L123" t="inlineStr">
        <is>
          <t>Nashville : Abingdon Press, c1996.</t>
        </is>
      </c>
      <c r="M123" t="inlineStr">
        <is>
          <t>1996</t>
        </is>
      </c>
      <c r="O123" t="inlineStr">
        <is>
          <t>eng</t>
        </is>
      </c>
      <c r="P123" t="inlineStr">
        <is>
          <t>tnu</t>
        </is>
      </c>
      <c r="R123" t="inlineStr">
        <is>
          <t xml:space="preserve">BT </t>
        </is>
      </c>
      <c r="S123" t="n">
        <v>5</v>
      </c>
      <c r="T123" t="n">
        <v>5</v>
      </c>
      <c r="U123" t="inlineStr">
        <is>
          <t>2000-11-01</t>
        </is>
      </c>
      <c r="V123" t="inlineStr">
        <is>
          <t>2000-11-01</t>
        </is>
      </c>
      <c r="W123" t="inlineStr">
        <is>
          <t>1998-12-09</t>
        </is>
      </c>
      <c r="X123" t="inlineStr">
        <is>
          <t>1998-12-09</t>
        </is>
      </c>
      <c r="Y123" t="n">
        <v>328</v>
      </c>
      <c r="Z123" t="n">
        <v>274</v>
      </c>
      <c r="AA123" t="n">
        <v>276</v>
      </c>
      <c r="AB123" t="n">
        <v>4</v>
      </c>
      <c r="AC123" t="n">
        <v>4</v>
      </c>
      <c r="AD123" t="n">
        <v>21</v>
      </c>
      <c r="AE123" t="n">
        <v>21</v>
      </c>
      <c r="AF123" t="n">
        <v>7</v>
      </c>
      <c r="AG123" t="n">
        <v>7</v>
      </c>
      <c r="AH123" t="n">
        <v>5</v>
      </c>
      <c r="AI123" t="n">
        <v>5</v>
      </c>
      <c r="AJ123" t="n">
        <v>12</v>
      </c>
      <c r="AK123" t="n">
        <v>12</v>
      </c>
      <c r="AL123" t="n">
        <v>2</v>
      </c>
      <c r="AM123" t="n">
        <v>2</v>
      </c>
      <c r="AN123" t="n">
        <v>0</v>
      </c>
      <c r="AO123" t="n">
        <v>0</v>
      </c>
      <c r="AP123" t="inlineStr">
        <is>
          <t>No</t>
        </is>
      </c>
      <c r="AQ123" t="inlineStr">
        <is>
          <t>Yes</t>
        </is>
      </c>
      <c r="AR123">
        <f>HYPERLINK("http://catalog.hathitrust.org/Record/003043406","HathiTrust Record")</f>
        <v/>
      </c>
      <c r="AS123">
        <f>HYPERLINK("https://creighton-primo.hosted.exlibrisgroup.com/primo-explore/search?tab=default_tab&amp;search_scope=EVERYTHING&amp;vid=01CRU&amp;lang=en_US&amp;offset=0&amp;query=any,contains,991002536299702656","Catalog Record")</f>
        <v/>
      </c>
      <c r="AT123">
        <f>HYPERLINK("http://www.worldcat.org/oclc/32969167","WorldCat Record")</f>
        <v/>
      </c>
      <c r="AU123" t="inlineStr">
        <is>
          <t>37519580:eng</t>
        </is>
      </c>
      <c r="AV123" t="inlineStr">
        <is>
          <t>32969167</t>
        </is>
      </c>
      <c r="AW123" t="inlineStr">
        <is>
          <t>991002536299702656</t>
        </is>
      </c>
      <c r="AX123" t="inlineStr">
        <is>
          <t>991002536299702656</t>
        </is>
      </c>
      <c r="AY123" t="inlineStr">
        <is>
          <t>2262837950002656</t>
        </is>
      </c>
      <c r="AZ123" t="inlineStr">
        <is>
          <t>BOOK</t>
        </is>
      </c>
      <c r="BB123" t="inlineStr">
        <is>
          <t>9780687426379</t>
        </is>
      </c>
      <c r="BC123" t="inlineStr">
        <is>
          <t>32285003505129</t>
        </is>
      </c>
      <c r="BD123" t="inlineStr">
        <is>
          <t>893773739</t>
        </is>
      </c>
    </row>
    <row r="124">
      <c r="A124" t="inlineStr">
        <is>
          <t>No</t>
        </is>
      </c>
      <c r="B124" t="inlineStr">
        <is>
          <t>BT111.2 .M613 1981</t>
        </is>
      </c>
      <c r="C124" t="inlineStr">
        <is>
          <t>0                      BT 0111200M  613         1981</t>
        </is>
      </c>
      <c r="D124" t="inlineStr">
        <is>
          <t>The Trinity and the kingdom : the doctrine of God / by Jürgen Moltmann ; translated by Margaret Kohl.</t>
        </is>
      </c>
      <c r="F124" t="inlineStr">
        <is>
          <t>No</t>
        </is>
      </c>
      <c r="G124" t="inlineStr">
        <is>
          <t>1</t>
        </is>
      </c>
      <c r="H124" t="inlineStr">
        <is>
          <t>No</t>
        </is>
      </c>
      <c r="I124" t="inlineStr">
        <is>
          <t>No</t>
        </is>
      </c>
      <c r="J124" t="inlineStr">
        <is>
          <t>0</t>
        </is>
      </c>
      <c r="K124" t="inlineStr">
        <is>
          <t>Moltmann, Jürgen.</t>
        </is>
      </c>
      <c r="L124" t="inlineStr">
        <is>
          <t>New York : Harper &amp; Row, c1981.</t>
        </is>
      </c>
      <c r="M124" t="inlineStr">
        <is>
          <t>1981</t>
        </is>
      </c>
      <c r="N124" t="inlineStr">
        <is>
          <t>1st ed.</t>
        </is>
      </c>
      <c r="O124" t="inlineStr">
        <is>
          <t>eng</t>
        </is>
      </c>
      <c r="P124" t="inlineStr">
        <is>
          <t>nyu</t>
        </is>
      </c>
      <c r="R124" t="inlineStr">
        <is>
          <t xml:space="preserve">BT </t>
        </is>
      </c>
      <c r="S124" t="n">
        <v>9</v>
      </c>
      <c r="T124" t="n">
        <v>9</v>
      </c>
      <c r="U124" t="inlineStr">
        <is>
          <t>1995-11-09</t>
        </is>
      </c>
      <c r="V124" t="inlineStr">
        <is>
          <t>1995-11-09</t>
        </is>
      </c>
      <c r="W124" t="inlineStr">
        <is>
          <t>1991-07-30</t>
        </is>
      </c>
      <c r="X124" t="inlineStr">
        <is>
          <t>1991-07-30</t>
        </is>
      </c>
      <c r="Y124" t="n">
        <v>556</v>
      </c>
      <c r="Z124" t="n">
        <v>507</v>
      </c>
      <c r="AA124" t="n">
        <v>663</v>
      </c>
      <c r="AB124" t="n">
        <v>5</v>
      </c>
      <c r="AC124" t="n">
        <v>7</v>
      </c>
      <c r="AD124" t="n">
        <v>38</v>
      </c>
      <c r="AE124" t="n">
        <v>45</v>
      </c>
      <c r="AF124" t="n">
        <v>13</v>
      </c>
      <c r="AG124" t="n">
        <v>18</v>
      </c>
      <c r="AH124" t="n">
        <v>8</v>
      </c>
      <c r="AI124" t="n">
        <v>8</v>
      </c>
      <c r="AJ124" t="n">
        <v>22</v>
      </c>
      <c r="AK124" t="n">
        <v>24</v>
      </c>
      <c r="AL124" t="n">
        <v>4</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HYPERLINK("https://creighton-primo.hosted.exlibrisgroup.com/primo-explore/search?tab=default_tab&amp;search_scope=EVERYTHING&amp;vid=01CRU&amp;lang=en_US&amp;offset=0&amp;query=any,contains,991005086609702656","Catalog Record")</f>
        <v/>
      </c>
      <c r="AT124">
        <f>HYPERLINK("http://www.worldcat.org/oclc/7196936","WorldCat Record")</f>
        <v/>
      </c>
      <c r="AU124" t="inlineStr">
        <is>
          <t>4511404:eng</t>
        </is>
      </c>
      <c r="AV124" t="inlineStr">
        <is>
          <t>7196936</t>
        </is>
      </c>
      <c r="AW124" t="inlineStr">
        <is>
          <t>991005086609702656</t>
        </is>
      </c>
      <c r="AX124" t="inlineStr">
        <is>
          <t>991005086609702656</t>
        </is>
      </c>
      <c r="AY124" t="inlineStr">
        <is>
          <t>2255908970002656</t>
        </is>
      </c>
      <c r="AZ124" t="inlineStr">
        <is>
          <t>BOOK</t>
        </is>
      </c>
      <c r="BB124" t="inlineStr">
        <is>
          <t>9780060659066</t>
        </is>
      </c>
      <c r="BC124" t="inlineStr">
        <is>
          <t>32285000692912</t>
        </is>
      </c>
      <c r="BD124" t="inlineStr">
        <is>
          <t>893789415</t>
        </is>
      </c>
    </row>
    <row r="125">
      <c r="A125" t="inlineStr">
        <is>
          <t>No</t>
        </is>
      </c>
      <c r="B125" t="inlineStr">
        <is>
          <t>BT111.2 .O35 1999</t>
        </is>
      </c>
      <c r="C125" t="inlineStr">
        <is>
          <t>0                      BT 0111200O  35          1999</t>
        </is>
      </c>
      <c r="D125" t="inlineStr">
        <is>
          <t>The tripersonal God : understanding and interpreting the Trinity / by Gerald O'Collins.</t>
        </is>
      </c>
      <c r="F125" t="inlineStr">
        <is>
          <t>No</t>
        </is>
      </c>
      <c r="G125" t="inlineStr">
        <is>
          <t>1</t>
        </is>
      </c>
      <c r="H125" t="inlineStr">
        <is>
          <t>No</t>
        </is>
      </c>
      <c r="I125" t="inlineStr">
        <is>
          <t>Yes</t>
        </is>
      </c>
      <c r="J125" t="inlineStr">
        <is>
          <t>0</t>
        </is>
      </c>
      <c r="K125" t="inlineStr">
        <is>
          <t>O'Collins, Gerald.</t>
        </is>
      </c>
      <c r="L125" t="inlineStr">
        <is>
          <t>New York : Paulist Press, c1999.</t>
        </is>
      </c>
      <c r="M125" t="inlineStr">
        <is>
          <t>1999</t>
        </is>
      </c>
      <c r="O125" t="inlineStr">
        <is>
          <t>eng</t>
        </is>
      </c>
      <c r="P125" t="inlineStr">
        <is>
          <t>nyu</t>
        </is>
      </c>
      <c r="R125" t="inlineStr">
        <is>
          <t xml:space="preserve">BT </t>
        </is>
      </c>
      <c r="S125" t="n">
        <v>6</v>
      </c>
      <c r="T125" t="n">
        <v>6</v>
      </c>
      <c r="U125" t="inlineStr">
        <is>
          <t>2007-07-17</t>
        </is>
      </c>
      <c r="V125" t="inlineStr">
        <is>
          <t>2007-07-17</t>
        </is>
      </c>
      <c r="W125" t="inlineStr">
        <is>
          <t>2000-11-06</t>
        </is>
      </c>
      <c r="X125" t="inlineStr">
        <is>
          <t>2000-11-06</t>
        </is>
      </c>
      <c r="Y125" t="n">
        <v>335</v>
      </c>
      <c r="Z125" t="n">
        <v>272</v>
      </c>
      <c r="AA125" t="n">
        <v>701</v>
      </c>
      <c r="AB125" t="n">
        <v>4</v>
      </c>
      <c r="AC125" t="n">
        <v>9</v>
      </c>
      <c r="AD125" t="n">
        <v>27</v>
      </c>
      <c r="AE125" t="n">
        <v>44</v>
      </c>
      <c r="AF125" t="n">
        <v>10</v>
      </c>
      <c r="AG125" t="n">
        <v>17</v>
      </c>
      <c r="AH125" t="n">
        <v>6</v>
      </c>
      <c r="AI125" t="n">
        <v>9</v>
      </c>
      <c r="AJ125" t="n">
        <v>19</v>
      </c>
      <c r="AK125" t="n">
        <v>23</v>
      </c>
      <c r="AL125" t="n">
        <v>1</v>
      </c>
      <c r="AM125" t="n">
        <v>6</v>
      </c>
      <c r="AN125" t="n">
        <v>0</v>
      </c>
      <c r="AO125" t="n">
        <v>1</v>
      </c>
      <c r="AP125" t="inlineStr">
        <is>
          <t>No</t>
        </is>
      </c>
      <c r="AQ125" t="inlineStr">
        <is>
          <t>No</t>
        </is>
      </c>
      <c r="AS125">
        <f>HYPERLINK("https://creighton-primo.hosted.exlibrisgroup.com/primo-explore/search?tab=default_tab&amp;search_scope=EVERYTHING&amp;vid=01CRU&amp;lang=en_US&amp;offset=0&amp;query=any,contains,991003258089702656","Catalog Record")</f>
        <v/>
      </c>
      <c r="AT125">
        <f>HYPERLINK("http://www.worldcat.org/oclc/41662471","WorldCat Record")</f>
        <v/>
      </c>
      <c r="AU125" t="inlineStr">
        <is>
          <t>838523501:eng</t>
        </is>
      </c>
      <c r="AV125" t="inlineStr">
        <is>
          <t>41662471</t>
        </is>
      </c>
      <c r="AW125" t="inlineStr">
        <is>
          <t>991003258089702656</t>
        </is>
      </c>
      <c r="AX125" t="inlineStr">
        <is>
          <t>991003258089702656</t>
        </is>
      </c>
      <c r="AY125" t="inlineStr">
        <is>
          <t>2255155590002656</t>
        </is>
      </c>
      <c r="AZ125" t="inlineStr">
        <is>
          <t>BOOK</t>
        </is>
      </c>
      <c r="BB125" t="inlineStr">
        <is>
          <t>9780809138876</t>
        </is>
      </c>
      <c r="BC125" t="inlineStr">
        <is>
          <t>32285004263199</t>
        </is>
      </c>
      <c r="BD125" t="inlineStr">
        <is>
          <t>893874589</t>
        </is>
      </c>
    </row>
    <row r="126">
      <c r="A126" t="inlineStr">
        <is>
          <t>No</t>
        </is>
      </c>
      <c r="B126" t="inlineStr">
        <is>
          <t>BT111.2 .O53 1980</t>
        </is>
      </c>
      <c r="C126" t="inlineStr">
        <is>
          <t>0                      BT 0111200O  53          1980</t>
        </is>
      </c>
      <c r="D126" t="inlineStr">
        <is>
          <t>One God in Trinity / edited by Peter Toon, James D. Spiceland.</t>
        </is>
      </c>
      <c r="F126" t="inlineStr">
        <is>
          <t>No</t>
        </is>
      </c>
      <c r="G126" t="inlineStr">
        <is>
          <t>1</t>
        </is>
      </c>
      <c r="H126" t="inlineStr">
        <is>
          <t>No</t>
        </is>
      </c>
      <c r="I126" t="inlineStr">
        <is>
          <t>No</t>
        </is>
      </c>
      <c r="J126" t="inlineStr">
        <is>
          <t>0</t>
        </is>
      </c>
      <c r="L126" t="inlineStr">
        <is>
          <t>Westchester, Ill. : Cornerstone Books, 1980.</t>
        </is>
      </c>
      <c r="M126" t="inlineStr">
        <is>
          <t>1980</t>
        </is>
      </c>
      <c r="O126" t="inlineStr">
        <is>
          <t>eng</t>
        </is>
      </c>
      <c r="P126" t="inlineStr">
        <is>
          <t>ilu</t>
        </is>
      </c>
      <c r="R126" t="inlineStr">
        <is>
          <t xml:space="preserve">BT </t>
        </is>
      </c>
      <c r="S126" t="n">
        <v>9</v>
      </c>
      <c r="T126" t="n">
        <v>9</v>
      </c>
      <c r="U126" t="inlineStr">
        <is>
          <t>1999-11-07</t>
        </is>
      </c>
      <c r="V126" t="inlineStr">
        <is>
          <t>1999-11-07</t>
        </is>
      </c>
      <c r="W126" t="inlineStr">
        <is>
          <t>1991-07-31</t>
        </is>
      </c>
      <c r="X126" t="inlineStr">
        <is>
          <t>1991-07-31</t>
        </is>
      </c>
      <c r="Y126" t="n">
        <v>245</v>
      </c>
      <c r="Z126" t="n">
        <v>211</v>
      </c>
      <c r="AA126" t="n">
        <v>237</v>
      </c>
      <c r="AB126" t="n">
        <v>2</v>
      </c>
      <c r="AC126" t="n">
        <v>2</v>
      </c>
      <c r="AD126" t="n">
        <v>11</v>
      </c>
      <c r="AE126" t="n">
        <v>12</v>
      </c>
      <c r="AF126" t="n">
        <v>3</v>
      </c>
      <c r="AG126" t="n">
        <v>3</v>
      </c>
      <c r="AH126" t="n">
        <v>4</v>
      </c>
      <c r="AI126" t="n">
        <v>4</v>
      </c>
      <c r="AJ126" t="n">
        <v>6</v>
      </c>
      <c r="AK126" t="n">
        <v>7</v>
      </c>
      <c r="AL126" t="n">
        <v>1</v>
      </c>
      <c r="AM126" t="n">
        <v>1</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HYPERLINK("https://creighton-primo.hosted.exlibrisgroup.com/primo-explore/search?tab=default_tab&amp;search_scope=EVERYTHING&amp;vid=01CRU&amp;lang=en_US&amp;offset=0&amp;query=any,contains,991005036139702656","Catalog Record")</f>
        <v/>
      </c>
      <c r="AT126">
        <f>HYPERLINK("http://www.worldcat.org/oclc/6761583","WorldCat Record")</f>
        <v/>
      </c>
      <c r="AU126" t="inlineStr">
        <is>
          <t>375328181:eng</t>
        </is>
      </c>
      <c r="AV126" t="inlineStr">
        <is>
          <t>6761583</t>
        </is>
      </c>
      <c r="AW126" t="inlineStr">
        <is>
          <t>991005036139702656</t>
        </is>
      </c>
      <c r="AX126" t="inlineStr">
        <is>
          <t>991005036139702656</t>
        </is>
      </c>
      <c r="AY126" t="inlineStr">
        <is>
          <t>2261080650002656</t>
        </is>
      </c>
      <c r="AZ126" t="inlineStr">
        <is>
          <t>BOOK</t>
        </is>
      </c>
      <c r="BB126" t="inlineStr">
        <is>
          <t>9780891071877</t>
        </is>
      </c>
      <c r="BC126" t="inlineStr">
        <is>
          <t>32285000692938</t>
        </is>
      </c>
      <c r="BD126" t="inlineStr">
        <is>
          <t>893520319</t>
        </is>
      </c>
    </row>
    <row r="127">
      <c r="A127" t="inlineStr">
        <is>
          <t>No</t>
        </is>
      </c>
      <c r="B127" t="inlineStr">
        <is>
          <t>BT111.2 .P36</t>
        </is>
      </c>
      <c r="C127" t="inlineStr">
        <is>
          <t>0                      BT 0111200P  36</t>
        </is>
      </c>
      <c r="D127" t="inlineStr">
        <is>
          <t>The Trinity and the religious experience of man; icon-person-mystery / [by] Raimundo Panikkar.</t>
        </is>
      </c>
      <c r="F127" t="inlineStr">
        <is>
          <t>No</t>
        </is>
      </c>
      <c r="G127" t="inlineStr">
        <is>
          <t>1</t>
        </is>
      </c>
      <c r="H127" t="inlineStr">
        <is>
          <t>No</t>
        </is>
      </c>
      <c r="I127" t="inlineStr">
        <is>
          <t>No</t>
        </is>
      </c>
      <c r="J127" t="inlineStr">
        <is>
          <t>0</t>
        </is>
      </c>
      <c r="K127" t="inlineStr">
        <is>
          <t>Panikkar, Raimon, 1918-2010.</t>
        </is>
      </c>
      <c r="L127" t="inlineStr">
        <is>
          <t>New York, Orbis Books [1973]</t>
        </is>
      </c>
      <c r="M127" t="inlineStr">
        <is>
          <t>1973</t>
        </is>
      </c>
      <c r="O127" t="inlineStr">
        <is>
          <t>eng</t>
        </is>
      </c>
      <c r="P127" t="inlineStr">
        <is>
          <t>nyu</t>
        </is>
      </c>
      <c r="R127" t="inlineStr">
        <is>
          <t xml:space="preserve">BT </t>
        </is>
      </c>
      <c r="S127" t="n">
        <v>2</v>
      </c>
      <c r="T127" t="n">
        <v>2</v>
      </c>
      <c r="U127" t="inlineStr">
        <is>
          <t>1995-10-03</t>
        </is>
      </c>
      <c r="V127" t="inlineStr">
        <is>
          <t>1995-10-03</t>
        </is>
      </c>
      <c r="W127" t="inlineStr">
        <is>
          <t>1991-07-31</t>
        </is>
      </c>
      <c r="X127" t="inlineStr">
        <is>
          <t>1991-07-31</t>
        </is>
      </c>
      <c r="Y127" t="n">
        <v>405</v>
      </c>
      <c r="Z127" t="n">
        <v>301</v>
      </c>
      <c r="AA127" t="n">
        <v>303</v>
      </c>
      <c r="AB127" t="n">
        <v>3</v>
      </c>
      <c r="AC127" t="n">
        <v>3</v>
      </c>
      <c r="AD127" t="n">
        <v>31</v>
      </c>
      <c r="AE127" t="n">
        <v>31</v>
      </c>
      <c r="AF127" t="n">
        <v>12</v>
      </c>
      <c r="AG127" t="n">
        <v>12</v>
      </c>
      <c r="AH127" t="n">
        <v>7</v>
      </c>
      <c r="AI127" t="n">
        <v>7</v>
      </c>
      <c r="AJ127" t="n">
        <v>21</v>
      </c>
      <c r="AK127" t="n">
        <v>21</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HYPERLINK("https://creighton-primo.hosted.exlibrisgroup.com/primo-explore/search?tab=default_tab&amp;search_scope=EVERYTHING&amp;vid=01CRU&amp;lang=en_US&amp;offset=0&amp;query=any,contains,991003277269702656","Catalog Record")</f>
        <v/>
      </c>
      <c r="AT127">
        <f>HYPERLINK("http://www.worldcat.org/oclc/800723","WorldCat Record")</f>
        <v/>
      </c>
      <c r="AU127" t="inlineStr">
        <is>
          <t>1597679:eng</t>
        </is>
      </c>
      <c r="AV127" t="inlineStr">
        <is>
          <t>800723</t>
        </is>
      </c>
      <c r="AW127" t="inlineStr">
        <is>
          <t>991003277269702656</t>
        </is>
      </c>
      <c r="AX127" t="inlineStr">
        <is>
          <t>991003277269702656</t>
        </is>
      </c>
      <c r="AY127" t="inlineStr">
        <is>
          <t>2267037940002656</t>
        </is>
      </c>
      <c r="AZ127" t="inlineStr">
        <is>
          <t>BOOK</t>
        </is>
      </c>
      <c r="BB127" t="inlineStr">
        <is>
          <t>9780883444955</t>
        </is>
      </c>
      <c r="BC127" t="inlineStr">
        <is>
          <t>32285000692946</t>
        </is>
      </c>
      <c r="BD127" t="inlineStr">
        <is>
          <t>893787154</t>
        </is>
      </c>
    </row>
    <row r="128">
      <c r="A128" t="inlineStr">
        <is>
          <t>No</t>
        </is>
      </c>
      <c r="B128" t="inlineStr">
        <is>
          <t>BT111.2 .T667 1996</t>
        </is>
      </c>
      <c r="C128" t="inlineStr">
        <is>
          <t>0                      BT 0111200T  667         1996</t>
        </is>
      </c>
      <c r="D128" t="inlineStr">
        <is>
          <t>Persons in Communion : an essay on Trinitarian description and human participation, with special reference to volume one of Karl Barth's Church Dogmatics / Alan J. Torrance.</t>
        </is>
      </c>
      <c r="F128" t="inlineStr">
        <is>
          <t>No</t>
        </is>
      </c>
      <c r="G128" t="inlineStr">
        <is>
          <t>1</t>
        </is>
      </c>
      <c r="H128" t="inlineStr">
        <is>
          <t>No</t>
        </is>
      </c>
      <c r="I128" t="inlineStr">
        <is>
          <t>No</t>
        </is>
      </c>
      <c r="J128" t="inlineStr">
        <is>
          <t>0</t>
        </is>
      </c>
      <c r="K128" t="inlineStr">
        <is>
          <t>Torrance, Alan J.</t>
        </is>
      </c>
      <c r="L128" t="inlineStr">
        <is>
          <t>Edinburgh : T&amp;T Clark, 1996.</t>
        </is>
      </c>
      <c r="M128" t="inlineStr">
        <is>
          <t>1996</t>
        </is>
      </c>
      <c r="O128" t="inlineStr">
        <is>
          <t>eng</t>
        </is>
      </c>
      <c r="P128" t="inlineStr">
        <is>
          <t>stk</t>
        </is>
      </c>
      <c r="R128" t="inlineStr">
        <is>
          <t xml:space="preserve">BT </t>
        </is>
      </c>
      <c r="S128" t="n">
        <v>7</v>
      </c>
      <c r="T128" t="n">
        <v>7</v>
      </c>
      <c r="U128" t="inlineStr">
        <is>
          <t>2005-04-09</t>
        </is>
      </c>
      <c r="V128" t="inlineStr">
        <is>
          <t>2005-04-09</t>
        </is>
      </c>
      <c r="W128" t="inlineStr">
        <is>
          <t>1996-10-30</t>
        </is>
      </c>
      <c r="X128" t="inlineStr">
        <is>
          <t>1996-10-30</t>
        </is>
      </c>
      <c r="Y128" t="n">
        <v>205</v>
      </c>
      <c r="Z128" t="n">
        <v>142</v>
      </c>
      <c r="AA128" t="n">
        <v>230</v>
      </c>
      <c r="AB128" t="n">
        <v>1</v>
      </c>
      <c r="AC128" t="n">
        <v>2</v>
      </c>
      <c r="AD128" t="n">
        <v>14</v>
      </c>
      <c r="AE128" t="n">
        <v>17</v>
      </c>
      <c r="AF128" t="n">
        <v>4</v>
      </c>
      <c r="AG128" t="n">
        <v>6</v>
      </c>
      <c r="AH128" t="n">
        <v>5</v>
      </c>
      <c r="AI128" t="n">
        <v>6</v>
      </c>
      <c r="AJ128" t="n">
        <v>10</v>
      </c>
      <c r="AK128" t="n">
        <v>10</v>
      </c>
      <c r="AL128" t="n">
        <v>0</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HYPERLINK("https://creighton-primo.hosted.exlibrisgroup.com/primo-explore/search?tab=default_tab&amp;search_scope=EVERYTHING&amp;vid=01CRU&amp;lang=en_US&amp;offset=0&amp;query=any,contains,991002668189702656","Catalog Record")</f>
        <v/>
      </c>
      <c r="AT128">
        <f>HYPERLINK("http://www.worldcat.org/oclc/34901254","WorldCat Record")</f>
        <v/>
      </c>
      <c r="AU128" t="inlineStr">
        <is>
          <t>890178640:eng</t>
        </is>
      </c>
      <c r="AV128" t="inlineStr">
        <is>
          <t>34901254</t>
        </is>
      </c>
      <c r="AW128" t="inlineStr">
        <is>
          <t>991002668189702656</t>
        </is>
      </c>
      <c r="AX128" t="inlineStr">
        <is>
          <t>991002668189702656</t>
        </is>
      </c>
      <c r="AY128" t="inlineStr">
        <is>
          <t>2256345620002656</t>
        </is>
      </c>
      <c r="AZ128" t="inlineStr">
        <is>
          <t>BOOK</t>
        </is>
      </c>
      <c r="BB128" t="inlineStr">
        <is>
          <t>9780567097408</t>
        </is>
      </c>
      <c r="BC128" t="inlineStr">
        <is>
          <t>32285002379369</t>
        </is>
      </c>
      <c r="BD128" t="inlineStr">
        <is>
          <t>893892832</t>
        </is>
      </c>
    </row>
    <row r="129">
      <c r="A129" t="inlineStr">
        <is>
          <t>No</t>
        </is>
      </c>
      <c r="B129" t="inlineStr">
        <is>
          <t>BT111.2 .T77 1997</t>
        </is>
      </c>
      <c r="C129" t="inlineStr">
        <is>
          <t>0                      BT 0111200T  77          1997</t>
        </is>
      </c>
      <c r="D129" t="inlineStr">
        <is>
          <t>Trinity in process : a relational theology of God / Joseph A. Bracken, S.J. and Marjorie Hewitt Suchocki, editors.</t>
        </is>
      </c>
      <c r="F129" t="inlineStr">
        <is>
          <t>No</t>
        </is>
      </c>
      <c r="G129" t="inlineStr">
        <is>
          <t>1</t>
        </is>
      </c>
      <c r="H129" t="inlineStr">
        <is>
          <t>No</t>
        </is>
      </c>
      <c r="I129" t="inlineStr">
        <is>
          <t>No</t>
        </is>
      </c>
      <c r="J129" t="inlineStr">
        <is>
          <t>0</t>
        </is>
      </c>
      <c r="L129" t="inlineStr">
        <is>
          <t>New York : Continuum, 1997.</t>
        </is>
      </c>
      <c r="M129" t="inlineStr">
        <is>
          <t>1997</t>
        </is>
      </c>
      <c r="O129" t="inlineStr">
        <is>
          <t>eng</t>
        </is>
      </c>
      <c r="P129" t="inlineStr">
        <is>
          <t>nyu</t>
        </is>
      </c>
      <c r="R129" t="inlineStr">
        <is>
          <t xml:space="preserve">BT </t>
        </is>
      </c>
      <c r="S129" t="n">
        <v>8</v>
      </c>
      <c r="T129" t="n">
        <v>8</v>
      </c>
      <c r="U129" t="inlineStr">
        <is>
          <t>2009-04-23</t>
        </is>
      </c>
      <c r="V129" t="inlineStr">
        <is>
          <t>2009-04-23</t>
        </is>
      </c>
      <c r="W129" t="inlineStr">
        <is>
          <t>1997-02-19</t>
        </is>
      </c>
      <c r="X129" t="inlineStr">
        <is>
          <t>1997-02-19</t>
        </is>
      </c>
      <c r="Y129" t="n">
        <v>271</v>
      </c>
      <c r="Z129" t="n">
        <v>224</v>
      </c>
      <c r="AA129" t="n">
        <v>234</v>
      </c>
      <c r="AB129" t="n">
        <v>2</v>
      </c>
      <c r="AC129" t="n">
        <v>2</v>
      </c>
      <c r="AD129" t="n">
        <v>24</v>
      </c>
      <c r="AE129" t="n">
        <v>24</v>
      </c>
      <c r="AF129" t="n">
        <v>10</v>
      </c>
      <c r="AG129" t="n">
        <v>10</v>
      </c>
      <c r="AH129" t="n">
        <v>5</v>
      </c>
      <c r="AI129" t="n">
        <v>5</v>
      </c>
      <c r="AJ129" t="n">
        <v>14</v>
      </c>
      <c r="AK129" t="n">
        <v>14</v>
      </c>
      <c r="AL129" t="n">
        <v>1</v>
      </c>
      <c r="AM129" t="n">
        <v>1</v>
      </c>
      <c r="AN129" t="n">
        <v>0</v>
      </c>
      <c r="AO129" t="n">
        <v>0</v>
      </c>
      <c r="AP129" t="inlineStr">
        <is>
          <t>No</t>
        </is>
      </c>
      <c r="AQ129" t="inlineStr">
        <is>
          <t>Yes</t>
        </is>
      </c>
      <c r="AR129">
        <f>HYPERLINK("http://catalog.hathitrust.org/Record/003137507","HathiTrust Record")</f>
        <v/>
      </c>
      <c r="AS129">
        <f>HYPERLINK("https://creighton-primo.hosted.exlibrisgroup.com/primo-explore/search?tab=default_tab&amp;search_scope=EVERYTHING&amp;vid=01CRU&amp;lang=en_US&amp;offset=0&amp;query=any,contains,991002652889702656","Catalog Record")</f>
        <v/>
      </c>
      <c r="AT129">
        <f>HYPERLINK("http://www.worldcat.org/oclc/34691068","WorldCat Record")</f>
        <v/>
      </c>
      <c r="AU129" t="inlineStr">
        <is>
          <t>40796089:eng</t>
        </is>
      </c>
      <c r="AV129" t="inlineStr">
        <is>
          <t>34691068</t>
        </is>
      </c>
      <c r="AW129" t="inlineStr">
        <is>
          <t>991002652889702656</t>
        </is>
      </c>
      <c r="AX129" t="inlineStr">
        <is>
          <t>991002652889702656</t>
        </is>
      </c>
      <c r="AY129" t="inlineStr">
        <is>
          <t>2258241570002656</t>
        </is>
      </c>
      <c r="AZ129" t="inlineStr">
        <is>
          <t>BOOK</t>
        </is>
      </c>
      <c r="BB129" t="inlineStr">
        <is>
          <t>9780826408785</t>
        </is>
      </c>
      <c r="BC129" t="inlineStr">
        <is>
          <t>32285002431673</t>
        </is>
      </c>
      <c r="BD129" t="inlineStr">
        <is>
          <t>893622551</t>
        </is>
      </c>
    </row>
    <row r="130">
      <c r="A130" t="inlineStr">
        <is>
          <t>No</t>
        </is>
      </c>
      <c r="B130" t="inlineStr">
        <is>
          <t>BT111.2 .W423 1995</t>
        </is>
      </c>
      <c r="C130" t="inlineStr">
        <is>
          <t>0                      BT 0111200W  423         1995</t>
        </is>
      </c>
      <c r="D130" t="inlineStr">
        <is>
          <t>The Father's spirit of sonship : reconceiving the Trinity / Thomas G. Weinandy.</t>
        </is>
      </c>
      <c r="F130" t="inlineStr">
        <is>
          <t>No</t>
        </is>
      </c>
      <c r="G130" t="inlineStr">
        <is>
          <t>1</t>
        </is>
      </c>
      <c r="H130" t="inlineStr">
        <is>
          <t>No</t>
        </is>
      </c>
      <c r="I130" t="inlineStr">
        <is>
          <t>No</t>
        </is>
      </c>
      <c r="J130" t="inlineStr">
        <is>
          <t>0</t>
        </is>
      </c>
      <c r="L130" t="inlineStr">
        <is>
          <t>Edinburgh : T &amp; T Clark, 1995.</t>
        </is>
      </c>
      <c r="M130" t="inlineStr">
        <is>
          <t>1995</t>
        </is>
      </c>
      <c r="O130" t="inlineStr">
        <is>
          <t>eng</t>
        </is>
      </c>
      <c r="P130" t="inlineStr">
        <is>
          <t>stk</t>
        </is>
      </c>
      <c r="R130" t="inlineStr">
        <is>
          <t xml:space="preserve">BT </t>
        </is>
      </c>
      <c r="S130" t="n">
        <v>8</v>
      </c>
      <c r="T130" t="n">
        <v>8</v>
      </c>
      <c r="U130" t="inlineStr">
        <is>
          <t>1999-11-06</t>
        </is>
      </c>
      <c r="V130" t="inlineStr">
        <is>
          <t>1999-11-06</t>
        </is>
      </c>
      <c r="W130" t="inlineStr">
        <is>
          <t>1995-09-27</t>
        </is>
      </c>
      <c r="X130" t="inlineStr">
        <is>
          <t>1995-09-27</t>
        </is>
      </c>
      <c r="Y130" t="n">
        <v>235</v>
      </c>
      <c r="Z130" t="n">
        <v>162</v>
      </c>
      <c r="AA130" t="n">
        <v>181</v>
      </c>
      <c r="AB130" t="n">
        <v>1</v>
      </c>
      <c r="AC130" t="n">
        <v>1</v>
      </c>
      <c r="AD130" t="n">
        <v>18</v>
      </c>
      <c r="AE130" t="n">
        <v>18</v>
      </c>
      <c r="AF130" t="n">
        <v>7</v>
      </c>
      <c r="AG130" t="n">
        <v>7</v>
      </c>
      <c r="AH130" t="n">
        <v>6</v>
      </c>
      <c r="AI130" t="n">
        <v>6</v>
      </c>
      <c r="AJ130" t="n">
        <v>11</v>
      </c>
      <c r="AK130" t="n">
        <v>11</v>
      </c>
      <c r="AL130" t="n">
        <v>0</v>
      </c>
      <c r="AM130" t="n">
        <v>0</v>
      </c>
      <c r="AN130" t="n">
        <v>0</v>
      </c>
      <c r="AO130" t="n">
        <v>0</v>
      </c>
      <c r="AP130" t="inlineStr">
        <is>
          <t>No</t>
        </is>
      </c>
      <c r="AQ130" t="inlineStr">
        <is>
          <t>Yes</t>
        </is>
      </c>
      <c r="AR130">
        <f>HYPERLINK("http://catalog.hathitrust.org/Record/003026357","HathiTrust Record")</f>
        <v/>
      </c>
      <c r="AS130">
        <f>HYPERLINK("https://creighton-primo.hosted.exlibrisgroup.com/primo-explore/search?tab=default_tab&amp;search_scope=EVERYTHING&amp;vid=01CRU&amp;lang=en_US&amp;offset=0&amp;query=any,contains,991002547119702656","Catalog Record")</f>
        <v/>
      </c>
      <c r="AT130">
        <f>HYPERLINK("http://www.worldcat.org/oclc/33100393","WorldCat Record")</f>
        <v/>
      </c>
      <c r="AU130" t="inlineStr">
        <is>
          <t>474329211:eng</t>
        </is>
      </c>
      <c r="AV130" t="inlineStr">
        <is>
          <t>33100393</t>
        </is>
      </c>
      <c r="AW130" t="inlineStr">
        <is>
          <t>991002547119702656</t>
        </is>
      </c>
      <c r="AX130" t="inlineStr">
        <is>
          <t>991002547119702656</t>
        </is>
      </c>
      <c r="AY130" t="inlineStr">
        <is>
          <t>2271322720002656</t>
        </is>
      </c>
      <c r="AZ130" t="inlineStr">
        <is>
          <t>BOOK</t>
        </is>
      </c>
      <c r="BB130" t="inlineStr">
        <is>
          <t>9780567097217</t>
        </is>
      </c>
      <c r="BC130" t="inlineStr">
        <is>
          <t>32285002094653</t>
        </is>
      </c>
      <c r="BD130" t="inlineStr">
        <is>
          <t>893329228</t>
        </is>
      </c>
    </row>
    <row r="131">
      <c r="A131" t="inlineStr">
        <is>
          <t>No</t>
        </is>
      </c>
      <c r="B131" t="inlineStr">
        <is>
          <t>BT1110 .A84</t>
        </is>
      </c>
      <c r="C131" t="inlineStr">
        <is>
          <t>0                      BT 1110000A  84</t>
        </is>
      </c>
      <c r="D131" t="inlineStr">
        <is>
          <t>Aspects of religious propaganda in Judaism and early Christianity / Elisabeth Schüssler Fiorenza, editor.</t>
        </is>
      </c>
      <c r="F131" t="inlineStr">
        <is>
          <t>No</t>
        </is>
      </c>
      <c r="G131" t="inlineStr">
        <is>
          <t>1</t>
        </is>
      </c>
      <c r="H131" t="inlineStr">
        <is>
          <t>No</t>
        </is>
      </c>
      <c r="I131" t="inlineStr">
        <is>
          <t>No</t>
        </is>
      </c>
      <c r="J131" t="inlineStr">
        <is>
          <t>0</t>
        </is>
      </c>
      <c r="L131" t="inlineStr">
        <is>
          <t>Notre Dame, Ind. : University of Notre Dame Press, c1976.</t>
        </is>
      </c>
      <c r="M131" t="inlineStr">
        <is>
          <t>1976</t>
        </is>
      </c>
      <c r="O131" t="inlineStr">
        <is>
          <t>eng</t>
        </is>
      </c>
      <c r="P131" t="inlineStr">
        <is>
          <t>inu</t>
        </is>
      </c>
      <c r="Q131" t="inlineStr">
        <is>
          <t>Studies in Judaism and Christianity in antiquity ; no. 2</t>
        </is>
      </c>
      <c r="R131" t="inlineStr">
        <is>
          <t xml:space="preserve">BT </t>
        </is>
      </c>
      <c r="S131" t="n">
        <v>8</v>
      </c>
      <c r="T131" t="n">
        <v>8</v>
      </c>
      <c r="U131" t="inlineStr">
        <is>
          <t>2005-10-26</t>
        </is>
      </c>
      <c r="V131" t="inlineStr">
        <is>
          <t>2005-10-26</t>
        </is>
      </c>
      <c r="W131" t="inlineStr">
        <is>
          <t>1991-11-16</t>
        </is>
      </c>
      <c r="X131" t="inlineStr">
        <is>
          <t>1991-11-16</t>
        </is>
      </c>
      <c r="Y131" t="n">
        <v>722</v>
      </c>
      <c r="Z131" t="n">
        <v>617</v>
      </c>
      <c r="AA131" t="n">
        <v>623</v>
      </c>
      <c r="AB131" t="n">
        <v>6</v>
      </c>
      <c r="AC131" t="n">
        <v>6</v>
      </c>
      <c r="AD131" t="n">
        <v>38</v>
      </c>
      <c r="AE131" t="n">
        <v>38</v>
      </c>
      <c r="AF131" t="n">
        <v>15</v>
      </c>
      <c r="AG131" t="n">
        <v>15</v>
      </c>
      <c r="AH131" t="n">
        <v>8</v>
      </c>
      <c r="AI131" t="n">
        <v>8</v>
      </c>
      <c r="AJ131" t="n">
        <v>20</v>
      </c>
      <c r="AK131" t="n">
        <v>20</v>
      </c>
      <c r="AL131" t="n">
        <v>5</v>
      </c>
      <c r="AM131" t="n">
        <v>5</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HYPERLINK("https://creighton-primo.hosted.exlibrisgroup.com/primo-explore/search?tab=default_tab&amp;search_scope=EVERYTHING&amp;vid=01CRU&amp;lang=en_US&amp;offset=0&amp;query=any,contains,991003829779702656","Catalog Record")</f>
        <v/>
      </c>
      <c r="AT131">
        <f>HYPERLINK("http://www.worldcat.org/oclc/1583719","WorldCat Record")</f>
        <v/>
      </c>
      <c r="AU131" t="inlineStr">
        <is>
          <t>430484:eng</t>
        </is>
      </c>
      <c r="AV131" t="inlineStr">
        <is>
          <t>1583719</t>
        </is>
      </c>
      <c r="AW131" t="inlineStr">
        <is>
          <t>991003829779702656</t>
        </is>
      </c>
      <c r="AX131" t="inlineStr">
        <is>
          <t>991003829779702656</t>
        </is>
      </c>
      <c r="AY131" t="inlineStr">
        <is>
          <t>2269258810002656</t>
        </is>
      </c>
      <c r="AZ131" t="inlineStr">
        <is>
          <t>BOOK</t>
        </is>
      </c>
      <c r="BB131" t="inlineStr">
        <is>
          <t>9780268005788</t>
        </is>
      </c>
      <c r="BC131" t="inlineStr">
        <is>
          <t>32285000815521</t>
        </is>
      </c>
      <c r="BD131" t="inlineStr">
        <is>
          <t>893794104</t>
        </is>
      </c>
    </row>
    <row r="132">
      <c r="A132" t="inlineStr">
        <is>
          <t>No</t>
        </is>
      </c>
      <c r="B132" t="inlineStr">
        <is>
          <t>BT1115 .A66 1999</t>
        </is>
      </c>
      <c r="C132" t="inlineStr">
        <is>
          <t>0                      BT 1115000A  66          1999</t>
        </is>
      </c>
      <c r="D132" t="inlineStr">
        <is>
          <t>Apologetics in the Roman Empire : pagans, Jews, and Christians / edited by Mark Edwards, Martin Goodman and Simon Price, in association with Christopher Rowland.</t>
        </is>
      </c>
      <c r="F132" t="inlineStr">
        <is>
          <t>No</t>
        </is>
      </c>
      <c r="G132" t="inlineStr">
        <is>
          <t>1</t>
        </is>
      </c>
      <c r="H132" t="inlineStr">
        <is>
          <t>No</t>
        </is>
      </c>
      <c r="I132" t="inlineStr">
        <is>
          <t>No</t>
        </is>
      </c>
      <c r="J132" t="inlineStr">
        <is>
          <t>0</t>
        </is>
      </c>
      <c r="L132" t="inlineStr">
        <is>
          <t>Oxford ; New York : Oxford University Press, 1999.</t>
        </is>
      </c>
      <c r="M132" t="inlineStr">
        <is>
          <t>1999</t>
        </is>
      </c>
      <c r="O132" t="inlineStr">
        <is>
          <t>eng</t>
        </is>
      </c>
      <c r="P132" t="inlineStr">
        <is>
          <t>enk</t>
        </is>
      </c>
      <c r="R132" t="inlineStr">
        <is>
          <t xml:space="preserve">BT </t>
        </is>
      </c>
      <c r="S132" t="n">
        <v>6</v>
      </c>
      <c r="T132" t="n">
        <v>6</v>
      </c>
      <c r="U132" t="inlineStr">
        <is>
          <t>2010-11-04</t>
        </is>
      </c>
      <c r="V132" t="inlineStr">
        <is>
          <t>2010-11-04</t>
        </is>
      </c>
      <c r="W132" t="inlineStr">
        <is>
          <t>2004-08-30</t>
        </is>
      </c>
      <c r="X132" t="inlineStr">
        <is>
          <t>2004-08-30</t>
        </is>
      </c>
      <c r="Y132" t="n">
        <v>364</v>
      </c>
      <c r="Z132" t="n">
        <v>266</v>
      </c>
      <c r="AA132" t="n">
        <v>281</v>
      </c>
      <c r="AB132" t="n">
        <v>3</v>
      </c>
      <c r="AC132" t="n">
        <v>3</v>
      </c>
      <c r="AD132" t="n">
        <v>22</v>
      </c>
      <c r="AE132" t="n">
        <v>23</v>
      </c>
      <c r="AF132" t="n">
        <v>7</v>
      </c>
      <c r="AG132" t="n">
        <v>8</v>
      </c>
      <c r="AH132" t="n">
        <v>6</v>
      </c>
      <c r="AI132" t="n">
        <v>6</v>
      </c>
      <c r="AJ132" t="n">
        <v>12</v>
      </c>
      <c r="AK132" t="n">
        <v>13</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HYPERLINK("https://creighton-primo.hosted.exlibrisgroup.com/primo-explore/search?tab=default_tab&amp;search_scope=EVERYTHING&amp;vid=01CRU&amp;lang=en_US&amp;offset=0&amp;query=any,contains,991004352309702656","Catalog Record")</f>
        <v/>
      </c>
      <c r="AT132">
        <f>HYPERLINK("http://www.worldcat.org/oclc/40158874","WorldCat Record")</f>
        <v/>
      </c>
      <c r="AU132" t="inlineStr">
        <is>
          <t>1082067927:eng</t>
        </is>
      </c>
      <c r="AV132" t="inlineStr">
        <is>
          <t>40158874</t>
        </is>
      </c>
      <c r="AW132" t="inlineStr">
        <is>
          <t>991004352309702656</t>
        </is>
      </c>
      <c r="AX132" t="inlineStr">
        <is>
          <t>991004352309702656</t>
        </is>
      </c>
      <c r="AY132" t="inlineStr">
        <is>
          <t>2259760450002656</t>
        </is>
      </c>
      <c r="AZ132" t="inlineStr">
        <is>
          <t>BOOK</t>
        </is>
      </c>
      <c r="BB132" t="inlineStr">
        <is>
          <t>9780198269861</t>
        </is>
      </c>
      <c r="BC132" t="inlineStr">
        <is>
          <t>32285004984257</t>
        </is>
      </c>
      <c r="BD132" t="inlineStr">
        <is>
          <t>893882370</t>
        </is>
      </c>
    </row>
    <row r="133">
      <c r="A133" t="inlineStr">
        <is>
          <t>No</t>
        </is>
      </c>
      <c r="B133" t="inlineStr">
        <is>
          <t>BT1115 .D764 1989</t>
        </is>
      </c>
      <c r="C133" t="inlineStr">
        <is>
          <t>0                      BT 1115000D  764         1989</t>
        </is>
      </c>
      <c r="D133" t="inlineStr">
        <is>
          <t>Homer or Moses? : early Christian interpretations of the history of culture / by Arthur J. Droge.</t>
        </is>
      </c>
      <c r="F133" t="inlineStr">
        <is>
          <t>No</t>
        </is>
      </c>
      <c r="G133" t="inlineStr">
        <is>
          <t>1</t>
        </is>
      </c>
      <c r="H133" t="inlineStr">
        <is>
          <t>No</t>
        </is>
      </c>
      <c r="I133" t="inlineStr">
        <is>
          <t>No</t>
        </is>
      </c>
      <c r="J133" t="inlineStr">
        <is>
          <t>0</t>
        </is>
      </c>
      <c r="K133" t="inlineStr">
        <is>
          <t>Droge, Arthur J., 1953-</t>
        </is>
      </c>
      <c r="L133" t="inlineStr">
        <is>
          <t>Tübingen : J.C.B. Mohr (Paul Siebeck) ; c1989.</t>
        </is>
      </c>
      <c r="M133" t="inlineStr">
        <is>
          <t>1989</t>
        </is>
      </c>
      <c r="O133" t="inlineStr">
        <is>
          <t>eng</t>
        </is>
      </c>
      <c r="P133" t="inlineStr">
        <is>
          <t xml:space="preserve">gw </t>
        </is>
      </c>
      <c r="Q133" t="inlineStr">
        <is>
          <t>Hermeneutische Untersuchungen zur Theologie ; 26</t>
        </is>
      </c>
      <c r="R133" t="inlineStr">
        <is>
          <t xml:space="preserve">BT </t>
        </is>
      </c>
      <c r="S133" t="n">
        <v>3</v>
      </c>
      <c r="T133" t="n">
        <v>3</v>
      </c>
      <c r="U133" t="inlineStr">
        <is>
          <t>2006-04-17</t>
        </is>
      </c>
      <c r="V133" t="inlineStr">
        <is>
          <t>2006-04-17</t>
        </is>
      </c>
      <c r="W133" t="inlineStr">
        <is>
          <t>1996-02-16</t>
        </is>
      </c>
      <c r="X133" t="inlineStr">
        <is>
          <t>1996-02-16</t>
        </is>
      </c>
      <c r="Y133" t="n">
        <v>206</v>
      </c>
      <c r="Z133" t="n">
        <v>136</v>
      </c>
      <c r="AA133" t="n">
        <v>140</v>
      </c>
      <c r="AB133" t="n">
        <v>1</v>
      </c>
      <c r="AC133" t="n">
        <v>1</v>
      </c>
      <c r="AD133" t="n">
        <v>10</v>
      </c>
      <c r="AE133" t="n">
        <v>10</v>
      </c>
      <c r="AF133" t="n">
        <v>2</v>
      </c>
      <c r="AG133" t="n">
        <v>2</v>
      </c>
      <c r="AH133" t="n">
        <v>3</v>
      </c>
      <c r="AI133" t="n">
        <v>3</v>
      </c>
      <c r="AJ133" t="n">
        <v>7</v>
      </c>
      <c r="AK133" t="n">
        <v>7</v>
      </c>
      <c r="AL133" t="n">
        <v>0</v>
      </c>
      <c r="AM133" t="n">
        <v>0</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HYPERLINK("https://creighton-primo.hosted.exlibrisgroup.com/primo-explore/search?tab=default_tab&amp;search_scope=EVERYTHING&amp;vid=01CRU&amp;lang=en_US&amp;offset=0&amp;query=any,contains,991001479799702656","Catalog Record")</f>
        <v/>
      </c>
      <c r="AT133">
        <f>HYPERLINK("http://www.worldcat.org/oclc/47363906","WorldCat Record")</f>
        <v/>
      </c>
      <c r="AU133" t="inlineStr">
        <is>
          <t>13321259:eng</t>
        </is>
      </c>
      <c r="AV133" t="inlineStr">
        <is>
          <t>47363906</t>
        </is>
      </c>
      <c r="AW133" t="inlineStr">
        <is>
          <t>991001479799702656</t>
        </is>
      </c>
      <c r="AX133" t="inlineStr">
        <is>
          <t>991001479799702656</t>
        </is>
      </c>
      <c r="AY133" t="inlineStr">
        <is>
          <t>2259049950002656</t>
        </is>
      </c>
      <c r="AZ133" t="inlineStr">
        <is>
          <t>BOOK</t>
        </is>
      </c>
      <c r="BB133" t="inlineStr">
        <is>
          <t>9783161453540</t>
        </is>
      </c>
      <c r="BC133" t="inlineStr">
        <is>
          <t>32285002136520</t>
        </is>
      </c>
      <c r="BD133" t="inlineStr">
        <is>
          <t>893608893</t>
        </is>
      </c>
    </row>
    <row r="134">
      <c r="A134" t="inlineStr">
        <is>
          <t>No</t>
        </is>
      </c>
      <c r="B134" t="inlineStr">
        <is>
          <t>BT1116 .T4 1990,</t>
        </is>
      </c>
      <c r="C134" t="inlineStr">
        <is>
          <t>0                      BT 1116000T  4           1990                                        ,</t>
        </is>
      </c>
      <c r="D134" t="inlineStr">
        <is>
          <t>Contre Marcion / Tertullien ; introduction, texte critique, traduction et notes par René Braun.</t>
        </is>
      </c>
      <c r="E134" t="inlineStr">
        <is>
          <t>V...</t>
        </is>
      </c>
      <c r="F134" t="inlineStr">
        <is>
          <t>Yes</t>
        </is>
      </c>
      <c r="G134" t="inlineStr">
        <is>
          <t>1</t>
        </is>
      </c>
      <c r="H134" t="inlineStr">
        <is>
          <t>No</t>
        </is>
      </c>
      <c r="I134" t="inlineStr">
        <is>
          <t>No</t>
        </is>
      </c>
      <c r="J134" t="inlineStr">
        <is>
          <t>0</t>
        </is>
      </c>
      <c r="K134" t="inlineStr">
        <is>
          <t>Tertullian, approximately 160-approximately 230.</t>
        </is>
      </c>
      <c r="L134" t="inlineStr">
        <is>
          <t>Paris : Editions du Cerf, 1990-</t>
        </is>
      </c>
      <c r="M134" t="inlineStr">
        <is>
          <t>1990</t>
        </is>
      </c>
      <c r="O134" t="inlineStr">
        <is>
          <t>fre</t>
        </is>
      </c>
      <c r="P134" t="inlineStr">
        <is>
          <t xml:space="preserve">fr </t>
        </is>
      </c>
      <c r="Q134" t="inlineStr">
        <is>
          <t>Sources chrétiennes, 0750-1978 ; no 365, 368, 399</t>
        </is>
      </c>
      <c r="R134" t="inlineStr">
        <is>
          <t xml:space="preserve">BT </t>
        </is>
      </c>
      <c r="S134" t="n">
        <v>0</v>
      </c>
      <c r="T134" t="n">
        <v>6</v>
      </c>
      <c r="V134" t="inlineStr">
        <is>
          <t>2006-06-27</t>
        </is>
      </c>
      <c r="W134" t="inlineStr">
        <is>
          <t>2001-04-25</t>
        </is>
      </c>
      <c r="X134" t="inlineStr">
        <is>
          <t>2005-04-19</t>
        </is>
      </c>
      <c r="Y134" t="n">
        <v>184</v>
      </c>
      <c r="Z134" t="n">
        <v>138</v>
      </c>
      <c r="AA134" t="n">
        <v>139</v>
      </c>
      <c r="AB134" t="n">
        <v>1</v>
      </c>
      <c r="AC134" t="n">
        <v>1</v>
      </c>
      <c r="AD134" t="n">
        <v>14</v>
      </c>
      <c r="AE134" t="n">
        <v>14</v>
      </c>
      <c r="AF134" t="n">
        <v>3</v>
      </c>
      <c r="AG134" t="n">
        <v>3</v>
      </c>
      <c r="AH134" t="n">
        <v>3</v>
      </c>
      <c r="AI134" t="n">
        <v>3</v>
      </c>
      <c r="AJ134" t="n">
        <v>12</v>
      </c>
      <c r="AK134" t="n">
        <v>12</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HYPERLINK("https://creighton-primo.hosted.exlibrisgroup.com/primo-explore/search?tab=default_tab&amp;search_scope=EVERYTHING&amp;vid=01CRU&amp;lang=en_US&amp;offset=0&amp;query=any,contains,991002590939702656","Catalog Record")</f>
        <v/>
      </c>
      <c r="AT134">
        <f>HYPERLINK("http://www.worldcat.org/oclc/33948243","WorldCat Record")</f>
        <v/>
      </c>
      <c r="AU134" t="inlineStr">
        <is>
          <t>3374961339:fre</t>
        </is>
      </c>
      <c r="AV134" t="inlineStr">
        <is>
          <t>33948243</t>
        </is>
      </c>
      <c r="AW134" t="inlineStr">
        <is>
          <t>991002590939702656</t>
        </is>
      </c>
      <c r="AX134" t="inlineStr">
        <is>
          <t>991002590939702656</t>
        </is>
      </c>
      <c r="AY134" t="inlineStr">
        <is>
          <t>2263027830002656</t>
        </is>
      </c>
      <c r="AZ134" t="inlineStr">
        <is>
          <t>BOOK</t>
        </is>
      </c>
      <c r="BB134" t="inlineStr">
        <is>
          <t>9782204042819</t>
        </is>
      </c>
      <c r="BC134" t="inlineStr">
        <is>
          <t>345609-4001</t>
        </is>
      </c>
      <c r="BD134" t="inlineStr">
        <is>
          <t>893867425</t>
        </is>
      </c>
    </row>
    <row r="135">
      <c r="A135" t="inlineStr">
        <is>
          <t>No</t>
        </is>
      </c>
      <c r="B135" t="inlineStr">
        <is>
          <t>BT1116 .T4 1990, v...</t>
        </is>
      </c>
      <c r="C135" t="inlineStr">
        <is>
          <t>0                      BT 1116000T  4           1990                                        v...</t>
        </is>
      </c>
      <c r="D135" t="inlineStr">
        <is>
          <t>Contre Marcion / Tertullien ; introduction, texte critique, traduction et notes par René Braun.</t>
        </is>
      </c>
      <c r="E135" t="inlineStr">
        <is>
          <t>V. 4</t>
        </is>
      </c>
      <c r="F135" t="inlineStr">
        <is>
          <t>Yes</t>
        </is>
      </c>
      <c r="G135" t="inlineStr">
        <is>
          <t>1</t>
        </is>
      </c>
      <c r="H135" t="inlineStr">
        <is>
          <t>No</t>
        </is>
      </c>
      <c r="I135" t="inlineStr">
        <is>
          <t>No</t>
        </is>
      </c>
      <c r="J135" t="inlineStr">
        <is>
          <t>0</t>
        </is>
      </c>
      <c r="K135" t="inlineStr">
        <is>
          <t>Tertullian, approximately 160-approximately 230.</t>
        </is>
      </c>
      <c r="L135" t="inlineStr">
        <is>
          <t>Paris : Editions du Cerf, 1990-</t>
        </is>
      </c>
      <c r="M135" t="inlineStr">
        <is>
          <t>1990</t>
        </is>
      </c>
      <c r="O135" t="inlineStr">
        <is>
          <t>fre</t>
        </is>
      </c>
      <c r="P135" t="inlineStr">
        <is>
          <t xml:space="preserve">fr </t>
        </is>
      </c>
      <c r="Q135" t="inlineStr">
        <is>
          <t>Sources chrétiennes, 0750-1978 ; no 365, 368, 399</t>
        </is>
      </c>
      <c r="R135" t="inlineStr">
        <is>
          <t xml:space="preserve">BT </t>
        </is>
      </c>
      <c r="S135" t="n">
        <v>3</v>
      </c>
      <c r="T135" t="n">
        <v>6</v>
      </c>
      <c r="U135" t="inlineStr">
        <is>
          <t>2006-06-27</t>
        </is>
      </c>
      <c r="V135" t="inlineStr">
        <is>
          <t>2006-06-27</t>
        </is>
      </c>
      <c r="W135" t="inlineStr">
        <is>
          <t>2001-04-25</t>
        </is>
      </c>
      <c r="X135" t="inlineStr">
        <is>
          <t>2005-04-19</t>
        </is>
      </c>
      <c r="Y135" t="n">
        <v>184</v>
      </c>
      <c r="Z135" t="n">
        <v>138</v>
      </c>
      <c r="AA135" t="n">
        <v>139</v>
      </c>
      <c r="AB135" t="n">
        <v>1</v>
      </c>
      <c r="AC135" t="n">
        <v>1</v>
      </c>
      <c r="AD135" t="n">
        <v>14</v>
      </c>
      <c r="AE135" t="n">
        <v>14</v>
      </c>
      <c r="AF135" t="n">
        <v>3</v>
      </c>
      <c r="AG135" t="n">
        <v>3</v>
      </c>
      <c r="AH135" t="n">
        <v>3</v>
      </c>
      <c r="AI135" t="n">
        <v>3</v>
      </c>
      <c r="AJ135" t="n">
        <v>12</v>
      </c>
      <c r="AK135" t="n">
        <v>12</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HYPERLINK("https://creighton-primo.hosted.exlibrisgroup.com/primo-explore/search?tab=default_tab&amp;search_scope=EVERYTHING&amp;vid=01CRU&amp;lang=en_US&amp;offset=0&amp;query=any,contains,991002590939702656","Catalog Record")</f>
        <v/>
      </c>
      <c r="AT135">
        <f>HYPERLINK("http://www.worldcat.org/oclc/33948243","WorldCat Record")</f>
        <v/>
      </c>
      <c r="AU135" t="inlineStr">
        <is>
          <t>3374961339:fre</t>
        </is>
      </c>
      <c r="AV135" t="inlineStr">
        <is>
          <t>33948243</t>
        </is>
      </c>
      <c r="AW135" t="inlineStr">
        <is>
          <t>991002590939702656</t>
        </is>
      </c>
      <c r="AX135" t="inlineStr">
        <is>
          <t>991002590939702656</t>
        </is>
      </c>
      <c r="AY135" t="inlineStr">
        <is>
          <t>2263027830002656</t>
        </is>
      </c>
      <c r="AZ135" t="inlineStr">
        <is>
          <t>BOOK</t>
        </is>
      </c>
      <c r="BB135" t="inlineStr">
        <is>
          <t>9782204042819</t>
        </is>
      </c>
      <c r="BC135" t="inlineStr">
        <is>
          <t>32285004288055</t>
        </is>
      </c>
      <c r="BD135" t="inlineStr">
        <is>
          <t>893867422</t>
        </is>
      </c>
    </row>
    <row r="136">
      <c r="A136" t="inlineStr">
        <is>
          <t>No</t>
        </is>
      </c>
      <c r="B136" t="inlineStr">
        <is>
          <t>BT1116 .T4 1990, v...</t>
        </is>
      </c>
      <c r="C136" t="inlineStr">
        <is>
          <t>0                      BT 1116000T  4           1990                                        v...</t>
        </is>
      </c>
      <c r="D136" t="inlineStr">
        <is>
          <t>Contre Marcion / Tertullien ; introduction, texte critique, traduction et notes par René Braun.</t>
        </is>
      </c>
      <c r="E136" t="inlineStr">
        <is>
          <t>V. 2</t>
        </is>
      </c>
      <c r="F136" t="inlineStr">
        <is>
          <t>Yes</t>
        </is>
      </c>
      <c r="G136" t="inlineStr">
        <is>
          <t>1</t>
        </is>
      </c>
      <c r="H136" t="inlineStr">
        <is>
          <t>No</t>
        </is>
      </c>
      <c r="I136" t="inlineStr">
        <is>
          <t>No</t>
        </is>
      </c>
      <c r="J136" t="inlineStr">
        <is>
          <t>0</t>
        </is>
      </c>
      <c r="K136" t="inlineStr">
        <is>
          <t>Tertullian, approximately 160-approximately 230.</t>
        </is>
      </c>
      <c r="L136" t="inlineStr">
        <is>
          <t>Paris : Editions du Cerf, 1990-</t>
        </is>
      </c>
      <c r="M136" t="inlineStr">
        <is>
          <t>1990</t>
        </is>
      </c>
      <c r="O136" t="inlineStr">
        <is>
          <t>fre</t>
        </is>
      </c>
      <c r="P136" t="inlineStr">
        <is>
          <t xml:space="preserve">fr </t>
        </is>
      </c>
      <c r="Q136" t="inlineStr">
        <is>
          <t>Sources chrétiennes, 0750-1978 ; no 365, 368, 399</t>
        </is>
      </c>
      <c r="R136" t="inlineStr">
        <is>
          <t xml:space="preserve">BT </t>
        </is>
      </c>
      <c r="S136" t="n">
        <v>1</v>
      </c>
      <c r="T136" t="n">
        <v>6</v>
      </c>
      <c r="U136" t="inlineStr">
        <is>
          <t>2001-10-30</t>
        </is>
      </c>
      <c r="V136" t="inlineStr">
        <is>
          <t>2006-06-27</t>
        </is>
      </c>
      <c r="W136" t="inlineStr">
        <is>
          <t>1997-07-10</t>
        </is>
      </c>
      <c r="X136" t="inlineStr">
        <is>
          <t>2005-04-19</t>
        </is>
      </c>
      <c r="Y136" t="n">
        <v>184</v>
      </c>
      <c r="Z136" t="n">
        <v>138</v>
      </c>
      <c r="AA136" t="n">
        <v>139</v>
      </c>
      <c r="AB136" t="n">
        <v>1</v>
      </c>
      <c r="AC136" t="n">
        <v>1</v>
      </c>
      <c r="AD136" t="n">
        <v>14</v>
      </c>
      <c r="AE136" t="n">
        <v>14</v>
      </c>
      <c r="AF136" t="n">
        <v>3</v>
      </c>
      <c r="AG136" t="n">
        <v>3</v>
      </c>
      <c r="AH136" t="n">
        <v>3</v>
      </c>
      <c r="AI136" t="n">
        <v>3</v>
      </c>
      <c r="AJ136" t="n">
        <v>12</v>
      </c>
      <c r="AK136" t="n">
        <v>12</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HYPERLINK("https://creighton-primo.hosted.exlibrisgroup.com/primo-explore/search?tab=default_tab&amp;search_scope=EVERYTHING&amp;vid=01CRU&amp;lang=en_US&amp;offset=0&amp;query=any,contains,991002590939702656","Catalog Record")</f>
        <v/>
      </c>
      <c r="AT136">
        <f>HYPERLINK("http://www.worldcat.org/oclc/33948243","WorldCat Record")</f>
        <v/>
      </c>
      <c r="AU136" t="inlineStr">
        <is>
          <t>3374961339:fre</t>
        </is>
      </c>
      <c r="AV136" t="inlineStr">
        <is>
          <t>33948243</t>
        </is>
      </c>
      <c r="AW136" t="inlineStr">
        <is>
          <t>991002590939702656</t>
        </is>
      </c>
      <c r="AX136" t="inlineStr">
        <is>
          <t>991002590939702656</t>
        </is>
      </c>
      <c r="AY136" t="inlineStr">
        <is>
          <t>2263027830002656</t>
        </is>
      </c>
      <c r="AZ136" t="inlineStr">
        <is>
          <t>BOOK</t>
        </is>
      </c>
      <c r="BB136" t="inlineStr">
        <is>
          <t>9782204042819</t>
        </is>
      </c>
      <c r="BC136" t="inlineStr">
        <is>
          <t>32285002881372</t>
        </is>
      </c>
      <c r="BD136" t="inlineStr">
        <is>
          <t>893867424</t>
        </is>
      </c>
    </row>
    <row r="137">
      <c r="A137" t="inlineStr">
        <is>
          <t>No</t>
        </is>
      </c>
      <c r="B137" t="inlineStr">
        <is>
          <t>BT1116 .T4 1990, v...</t>
        </is>
      </c>
      <c r="C137" t="inlineStr">
        <is>
          <t>0                      BT 1116000T  4           1990                                        v...</t>
        </is>
      </c>
      <c r="D137" t="inlineStr">
        <is>
          <t>Contre Marcion / Tertullien ; introduction, texte critique, traduction et notes par René Braun.</t>
        </is>
      </c>
      <c r="E137" t="inlineStr">
        <is>
          <t>V. 3</t>
        </is>
      </c>
      <c r="F137" t="inlineStr">
        <is>
          <t>Yes</t>
        </is>
      </c>
      <c r="G137" t="inlineStr">
        <is>
          <t>1</t>
        </is>
      </c>
      <c r="H137" t="inlineStr">
        <is>
          <t>No</t>
        </is>
      </c>
      <c r="I137" t="inlineStr">
        <is>
          <t>No</t>
        </is>
      </c>
      <c r="J137" t="inlineStr">
        <is>
          <t>0</t>
        </is>
      </c>
      <c r="K137" t="inlineStr">
        <is>
          <t>Tertullian, approximately 160-approximately 230.</t>
        </is>
      </c>
      <c r="L137" t="inlineStr">
        <is>
          <t>Paris : Editions du Cerf, 1990-</t>
        </is>
      </c>
      <c r="M137" t="inlineStr">
        <is>
          <t>1990</t>
        </is>
      </c>
      <c r="O137" t="inlineStr">
        <is>
          <t>fre</t>
        </is>
      </c>
      <c r="P137" t="inlineStr">
        <is>
          <t xml:space="preserve">fr </t>
        </is>
      </c>
      <c r="Q137" t="inlineStr">
        <is>
          <t>Sources chrétiennes, 0750-1978 ; no 365, 368, 399</t>
        </is>
      </c>
      <c r="R137" t="inlineStr">
        <is>
          <t xml:space="preserve">BT </t>
        </is>
      </c>
      <c r="S137" t="n">
        <v>1</v>
      </c>
      <c r="T137" t="n">
        <v>6</v>
      </c>
      <c r="U137" t="inlineStr">
        <is>
          <t>2001-10-30</t>
        </is>
      </c>
      <c r="V137" t="inlineStr">
        <is>
          <t>2006-06-27</t>
        </is>
      </c>
      <c r="W137" t="inlineStr">
        <is>
          <t>1998-10-28</t>
        </is>
      </c>
      <c r="X137" t="inlineStr">
        <is>
          <t>2005-04-19</t>
        </is>
      </c>
      <c r="Y137" t="n">
        <v>184</v>
      </c>
      <c r="Z137" t="n">
        <v>138</v>
      </c>
      <c r="AA137" t="n">
        <v>139</v>
      </c>
      <c r="AB137" t="n">
        <v>1</v>
      </c>
      <c r="AC137" t="n">
        <v>1</v>
      </c>
      <c r="AD137" t="n">
        <v>14</v>
      </c>
      <c r="AE137" t="n">
        <v>14</v>
      </c>
      <c r="AF137" t="n">
        <v>3</v>
      </c>
      <c r="AG137" t="n">
        <v>3</v>
      </c>
      <c r="AH137" t="n">
        <v>3</v>
      </c>
      <c r="AI137" t="n">
        <v>3</v>
      </c>
      <c r="AJ137" t="n">
        <v>12</v>
      </c>
      <c r="AK137" t="n">
        <v>12</v>
      </c>
      <c r="AL137" t="n">
        <v>0</v>
      </c>
      <c r="AM137" t="n">
        <v>0</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HYPERLINK("https://creighton-primo.hosted.exlibrisgroup.com/primo-explore/search?tab=default_tab&amp;search_scope=EVERYTHING&amp;vid=01CRU&amp;lang=en_US&amp;offset=0&amp;query=any,contains,991002590939702656","Catalog Record")</f>
        <v/>
      </c>
      <c r="AT137">
        <f>HYPERLINK("http://www.worldcat.org/oclc/33948243","WorldCat Record")</f>
        <v/>
      </c>
      <c r="AU137" t="inlineStr">
        <is>
          <t>3374961339:fre</t>
        </is>
      </c>
      <c r="AV137" t="inlineStr">
        <is>
          <t>33948243</t>
        </is>
      </c>
      <c r="AW137" t="inlineStr">
        <is>
          <t>991002590939702656</t>
        </is>
      </c>
      <c r="AX137" t="inlineStr">
        <is>
          <t>991002590939702656</t>
        </is>
      </c>
      <c r="AY137" t="inlineStr">
        <is>
          <t>2263027830002656</t>
        </is>
      </c>
      <c r="AZ137" t="inlineStr">
        <is>
          <t>BOOK</t>
        </is>
      </c>
      <c r="BB137" t="inlineStr">
        <is>
          <t>9782204042819</t>
        </is>
      </c>
      <c r="BC137" t="inlineStr">
        <is>
          <t>32285003478939</t>
        </is>
      </c>
      <c r="BD137" t="inlineStr">
        <is>
          <t>893867421</t>
        </is>
      </c>
    </row>
    <row r="138">
      <c r="A138" t="inlineStr">
        <is>
          <t>No</t>
        </is>
      </c>
      <c r="B138" t="inlineStr">
        <is>
          <t>BT1116 .T4 1990, v...</t>
        </is>
      </c>
      <c r="C138" t="inlineStr">
        <is>
          <t>0                      BT 1116000T  4           1990                                        v...</t>
        </is>
      </c>
      <c r="D138" t="inlineStr">
        <is>
          <t>Contre Marcion / Tertullien ; introduction, texte critique, traduction et notes par René Braun.</t>
        </is>
      </c>
      <c r="E138" t="inlineStr">
        <is>
          <t>V. 1</t>
        </is>
      </c>
      <c r="F138" t="inlineStr">
        <is>
          <t>Yes</t>
        </is>
      </c>
      <c r="G138" t="inlineStr">
        <is>
          <t>1</t>
        </is>
      </c>
      <c r="H138" t="inlineStr">
        <is>
          <t>No</t>
        </is>
      </c>
      <c r="I138" t="inlineStr">
        <is>
          <t>No</t>
        </is>
      </c>
      <c r="J138" t="inlineStr">
        <is>
          <t>0</t>
        </is>
      </c>
      <c r="K138" t="inlineStr">
        <is>
          <t>Tertullian, approximately 160-approximately 230.</t>
        </is>
      </c>
      <c r="L138" t="inlineStr">
        <is>
          <t>Paris : Editions du Cerf, 1990-</t>
        </is>
      </c>
      <c r="M138" t="inlineStr">
        <is>
          <t>1990</t>
        </is>
      </c>
      <c r="O138" t="inlineStr">
        <is>
          <t>fre</t>
        </is>
      </c>
      <c r="P138" t="inlineStr">
        <is>
          <t xml:space="preserve">fr </t>
        </is>
      </c>
      <c r="Q138" t="inlineStr">
        <is>
          <t>Sources chrétiennes, 0750-1978 ; no 365, 368, 399</t>
        </is>
      </c>
      <c r="R138" t="inlineStr">
        <is>
          <t xml:space="preserve">BT </t>
        </is>
      </c>
      <c r="S138" t="n">
        <v>1</v>
      </c>
      <c r="T138" t="n">
        <v>6</v>
      </c>
      <c r="U138" t="inlineStr">
        <is>
          <t>2001-10-30</t>
        </is>
      </c>
      <c r="V138" t="inlineStr">
        <is>
          <t>2006-06-27</t>
        </is>
      </c>
      <c r="W138" t="inlineStr">
        <is>
          <t>1997-07-10</t>
        </is>
      </c>
      <c r="X138" t="inlineStr">
        <is>
          <t>2005-04-19</t>
        </is>
      </c>
      <c r="Y138" t="n">
        <v>184</v>
      </c>
      <c r="Z138" t="n">
        <v>138</v>
      </c>
      <c r="AA138" t="n">
        <v>139</v>
      </c>
      <c r="AB138" t="n">
        <v>1</v>
      </c>
      <c r="AC138" t="n">
        <v>1</v>
      </c>
      <c r="AD138" t="n">
        <v>14</v>
      </c>
      <c r="AE138" t="n">
        <v>14</v>
      </c>
      <c r="AF138" t="n">
        <v>3</v>
      </c>
      <c r="AG138" t="n">
        <v>3</v>
      </c>
      <c r="AH138" t="n">
        <v>3</v>
      </c>
      <c r="AI138" t="n">
        <v>3</v>
      </c>
      <c r="AJ138" t="n">
        <v>12</v>
      </c>
      <c r="AK138" t="n">
        <v>12</v>
      </c>
      <c r="AL138" t="n">
        <v>0</v>
      </c>
      <c r="AM138" t="n">
        <v>0</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HYPERLINK("https://creighton-primo.hosted.exlibrisgroup.com/primo-explore/search?tab=default_tab&amp;search_scope=EVERYTHING&amp;vid=01CRU&amp;lang=en_US&amp;offset=0&amp;query=any,contains,991002590939702656","Catalog Record")</f>
        <v/>
      </c>
      <c r="AT138">
        <f>HYPERLINK("http://www.worldcat.org/oclc/33948243","WorldCat Record")</f>
        <v/>
      </c>
      <c r="AU138" t="inlineStr">
        <is>
          <t>3374961339:fre</t>
        </is>
      </c>
      <c r="AV138" t="inlineStr">
        <is>
          <t>33948243</t>
        </is>
      </c>
      <c r="AW138" t="inlineStr">
        <is>
          <t>991002590939702656</t>
        </is>
      </c>
      <c r="AX138" t="inlineStr">
        <is>
          <t>991002590939702656</t>
        </is>
      </c>
      <c r="AY138" t="inlineStr">
        <is>
          <t>2263027830002656</t>
        </is>
      </c>
      <c r="AZ138" t="inlineStr">
        <is>
          <t>BOOK</t>
        </is>
      </c>
      <c r="BB138" t="inlineStr">
        <is>
          <t>9782204042819</t>
        </is>
      </c>
      <c r="BC138" t="inlineStr">
        <is>
          <t>32285002881364</t>
        </is>
      </c>
      <c r="BD138" t="inlineStr">
        <is>
          <t>893867423</t>
        </is>
      </c>
    </row>
    <row r="139">
      <c r="A139" t="inlineStr">
        <is>
          <t>No</t>
        </is>
      </c>
      <c r="B139" t="inlineStr">
        <is>
          <t>BT1116 .T4 1990, v...</t>
        </is>
      </c>
      <c r="C139" t="inlineStr">
        <is>
          <t>0                      BT 1116000T  4           1990                                        v...</t>
        </is>
      </c>
      <c r="D139" t="inlineStr">
        <is>
          <t>Contre Marcion / Tertullien ; introduction, texte critique, traduction et notes par René Braun.</t>
        </is>
      </c>
      <c r="E139" t="inlineStr">
        <is>
          <t>V. 5</t>
        </is>
      </c>
      <c r="F139" t="inlineStr">
        <is>
          <t>Yes</t>
        </is>
      </c>
      <c r="G139" t="inlineStr">
        <is>
          <t>1</t>
        </is>
      </c>
      <c r="H139" t="inlineStr">
        <is>
          <t>No</t>
        </is>
      </c>
      <c r="I139" t="inlineStr">
        <is>
          <t>No</t>
        </is>
      </c>
      <c r="J139" t="inlineStr">
        <is>
          <t>0</t>
        </is>
      </c>
      <c r="K139" t="inlineStr">
        <is>
          <t>Tertullian, approximately 160-approximately 230.</t>
        </is>
      </c>
      <c r="L139" t="inlineStr">
        <is>
          <t>Paris : Editions du Cerf, 1990-</t>
        </is>
      </c>
      <c r="M139" t="inlineStr">
        <is>
          <t>1990</t>
        </is>
      </c>
      <c r="O139" t="inlineStr">
        <is>
          <t>fre</t>
        </is>
      </c>
      <c r="P139" t="inlineStr">
        <is>
          <t xml:space="preserve">fr </t>
        </is>
      </c>
      <c r="Q139" t="inlineStr">
        <is>
          <t>Sources chrétiennes, 0750-1978 ; no 365, 368, 399</t>
        </is>
      </c>
      <c r="R139" t="inlineStr">
        <is>
          <t xml:space="preserve">BT </t>
        </is>
      </c>
      <c r="S139" t="n">
        <v>0</v>
      </c>
      <c r="T139" t="n">
        <v>6</v>
      </c>
      <c r="V139" t="inlineStr">
        <is>
          <t>2006-06-27</t>
        </is>
      </c>
      <c r="W139" t="inlineStr">
        <is>
          <t>2005-04-19</t>
        </is>
      </c>
      <c r="X139" t="inlineStr">
        <is>
          <t>2005-04-19</t>
        </is>
      </c>
      <c r="Y139" t="n">
        <v>184</v>
      </c>
      <c r="Z139" t="n">
        <v>138</v>
      </c>
      <c r="AA139" t="n">
        <v>139</v>
      </c>
      <c r="AB139" t="n">
        <v>1</v>
      </c>
      <c r="AC139" t="n">
        <v>1</v>
      </c>
      <c r="AD139" t="n">
        <v>14</v>
      </c>
      <c r="AE139" t="n">
        <v>14</v>
      </c>
      <c r="AF139" t="n">
        <v>3</v>
      </c>
      <c r="AG139" t="n">
        <v>3</v>
      </c>
      <c r="AH139" t="n">
        <v>3</v>
      </c>
      <c r="AI139" t="n">
        <v>3</v>
      </c>
      <c r="AJ139" t="n">
        <v>12</v>
      </c>
      <c r="AK139" t="n">
        <v>12</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HYPERLINK("https://creighton-primo.hosted.exlibrisgroup.com/primo-explore/search?tab=default_tab&amp;search_scope=EVERYTHING&amp;vid=01CRU&amp;lang=en_US&amp;offset=0&amp;query=any,contains,991002590939702656","Catalog Record")</f>
        <v/>
      </c>
      <c r="AT139">
        <f>HYPERLINK("http://www.worldcat.org/oclc/33948243","WorldCat Record")</f>
        <v/>
      </c>
      <c r="AU139" t="inlineStr">
        <is>
          <t>3374961339:fre</t>
        </is>
      </c>
      <c r="AV139" t="inlineStr">
        <is>
          <t>33948243</t>
        </is>
      </c>
      <c r="AW139" t="inlineStr">
        <is>
          <t>991002590939702656</t>
        </is>
      </c>
      <c r="AX139" t="inlineStr">
        <is>
          <t>991002590939702656</t>
        </is>
      </c>
      <c r="AY139" t="inlineStr">
        <is>
          <t>2263027830002656</t>
        </is>
      </c>
      <c r="AZ139" t="inlineStr">
        <is>
          <t>BOOK</t>
        </is>
      </c>
      <c r="BB139" t="inlineStr">
        <is>
          <t>9782204042819</t>
        </is>
      </c>
      <c r="BC139" t="inlineStr">
        <is>
          <t>32285004934179</t>
        </is>
      </c>
      <c r="BD139" t="inlineStr">
        <is>
          <t>893867426</t>
        </is>
      </c>
    </row>
    <row r="140">
      <c r="A140" t="inlineStr">
        <is>
          <t>No</t>
        </is>
      </c>
      <c r="B140" t="inlineStr">
        <is>
          <t>BT1116.A82 C6 1971</t>
        </is>
      </c>
      <c r="C140" t="inlineStr">
        <is>
          <t>0                      BT 1116000A  82                 C  6           1971</t>
        </is>
      </c>
      <c r="D140" t="inlineStr">
        <is>
          <t>Contra gentes ; and, De Incarnatione / [by] Athanasius; edited and translated by Robert W. Thomson.</t>
        </is>
      </c>
      <c r="F140" t="inlineStr">
        <is>
          <t>No</t>
        </is>
      </c>
      <c r="G140" t="inlineStr">
        <is>
          <t>1</t>
        </is>
      </c>
      <c r="H140" t="inlineStr">
        <is>
          <t>No</t>
        </is>
      </c>
      <c r="I140" t="inlineStr">
        <is>
          <t>No</t>
        </is>
      </c>
      <c r="J140" t="inlineStr">
        <is>
          <t>0</t>
        </is>
      </c>
      <c r="K140" t="inlineStr">
        <is>
          <t>Athanasius, Saint, Patriarch of Alexandria, -373.</t>
        </is>
      </c>
      <c r="L140" t="inlineStr">
        <is>
          <t>Oxford, Clarendon Press, 1971.</t>
        </is>
      </c>
      <c r="M140" t="inlineStr">
        <is>
          <t>1971</t>
        </is>
      </c>
      <c r="O140" t="inlineStr">
        <is>
          <t>eng</t>
        </is>
      </c>
      <c r="P140" t="inlineStr">
        <is>
          <t>enk</t>
        </is>
      </c>
      <c r="Q140" t="inlineStr">
        <is>
          <t>Oxford early Christian texts</t>
        </is>
      </c>
      <c r="R140" t="inlineStr">
        <is>
          <t xml:space="preserve">BT </t>
        </is>
      </c>
      <c r="S140" t="n">
        <v>6</v>
      </c>
      <c r="T140" t="n">
        <v>6</v>
      </c>
      <c r="U140" t="inlineStr">
        <is>
          <t>2007-10-23</t>
        </is>
      </c>
      <c r="V140" t="inlineStr">
        <is>
          <t>2007-10-23</t>
        </is>
      </c>
      <c r="W140" t="inlineStr">
        <is>
          <t>1991-07-11</t>
        </is>
      </c>
      <c r="X140" t="inlineStr">
        <is>
          <t>1991-07-11</t>
        </is>
      </c>
      <c r="Y140" t="n">
        <v>471</v>
      </c>
      <c r="Z140" t="n">
        <v>339</v>
      </c>
      <c r="AA140" t="n">
        <v>355</v>
      </c>
      <c r="AB140" t="n">
        <v>6</v>
      </c>
      <c r="AC140" t="n">
        <v>6</v>
      </c>
      <c r="AD140" t="n">
        <v>23</v>
      </c>
      <c r="AE140" t="n">
        <v>24</v>
      </c>
      <c r="AF140" t="n">
        <v>5</v>
      </c>
      <c r="AG140" t="n">
        <v>5</v>
      </c>
      <c r="AH140" t="n">
        <v>5</v>
      </c>
      <c r="AI140" t="n">
        <v>5</v>
      </c>
      <c r="AJ140" t="n">
        <v>12</v>
      </c>
      <c r="AK140" t="n">
        <v>13</v>
      </c>
      <c r="AL140" t="n">
        <v>5</v>
      </c>
      <c r="AM140" t="n">
        <v>5</v>
      </c>
      <c r="AN140" t="n">
        <v>0</v>
      </c>
      <c r="AO140" t="n">
        <v>0</v>
      </c>
      <c r="AP140" t="inlineStr">
        <is>
          <t>No</t>
        </is>
      </c>
      <c r="AQ140" t="inlineStr">
        <is>
          <t>Yes</t>
        </is>
      </c>
      <c r="AR140">
        <f>HYPERLINK("http://catalog.hathitrust.org/Record/001406276","HathiTrust Record")</f>
        <v/>
      </c>
      <c r="AS140">
        <f>HYPERLINK("https://creighton-primo.hosted.exlibrisgroup.com/primo-explore/search?tab=default_tab&amp;search_scope=EVERYTHING&amp;vid=01CRU&amp;lang=en_US&amp;offset=0&amp;query=any,contains,991001258199702656","Catalog Record")</f>
        <v/>
      </c>
      <c r="AT140">
        <f>HYPERLINK("http://www.worldcat.org/oclc/209577","WorldCat Record")</f>
        <v/>
      </c>
      <c r="AU140" t="inlineStr">
        <is>
          <t>2763670342:eng</t>
        </is>
      </c>
      <c r="AV140" t="inlineStr">
        <is>
          <t>209577</t>
        </is>
      </c>
      <c r="AW140" t="inlineStr">
        <is>
          <t>991001258199702656</t>
        </is>
      </c>
      <c r="AX140" t="inlineStr">
        <is>
          <t>991001258199702656</t>
        </is>
      </c>
      <c r="AY140" t="inlineStr">
        <is>
          <t>2270751390002656</t>
        </is>
      </c>
      <c r="AZ140" t="inlineStr">
        <is>
          <t>BOOK</t>
        </is>
      </c>
      <c r="BB140" t="inlineStr">
        <is>
          <t>9780198268017</t>
        </is>
      </c>
      <c r="BC140" t="inlineStr">
        <is>
          <t>32285000637362</t>
        </is>
      </c>
      <c r="BD140" t="inlineStr">
        <is>
          <t>893709137</t>
        </is>
      </c>
    </row>
    <row r="141">
      <c r="A141" t="inlineStr">
        <is>
          <t>No</t>
        </is>
      </c>
      <c r="B141" t="inlineStr">
        <is>
          <t>BT1116.E952 F74</t>
        </is>
      </c>
      <c r="C141" t="inlineStr">
        <is>
          <t>0                      BT 1116000E  952                F  74</t>
        </is>
      </c>
      <c r="D141" t="inlineStr">
        <is>
          <t>La préparation évangélique : introd. générale / Eusèbe de Césarée.</t>
        </is>
      </c>
      <c r="E141" t="inlineStr">
        <is>
          <t>V.1</t>
        </is>
      </c>
      <c r="F141" t="inlineStr">
        <is>
          <t>Yes</t>
        </is>
      </c>
      <c r="G141" t="inlineStr">
        <is>
          <t>1</t>
        </is>
      </c>
      <c r="H141" t="inlineStr">
        <is>
          <t>No</t>
        </is>
      </c>
      <c r="I141" t="inlineStr">
        <is>
          <t>No</t>
        </is>
      </c>
      <c r="J141" t="inlineStr">
        <is>
          <t>0</t>
        </is>
      </c>
      <c r="K141" t="inlineStr">
        <is>
          <t>Eusebius, of Caesarea, Bishop of Caesarea, approximately 260-approximately 340.</t>
        </is>
      </c>
      <c r="L141" t="inlineStr">
        <is>
          <t>Paris : Éditions du Cerf, 1974-</t>
        </is>
      </c>
      <c r="M141" t="inlineStr">
        <is>
          <t>1974</t>
        </is>
      </c>
      <c r="O141" t="inlineStr">
        <is>
          <t>fre</t>
        </is>
      </c>
      <c r="P141" t="inlineStr">
        <is>
          <t xml:space="preserve">fr </t>
        </is>
      </c>
      <c r="Q141" t="inlineStr">
        <is>
          <t>Sources chrétiennes ; nos. 206, 215, 228</t>
        </is>
      </c>
      <c r="R141" t="inlineStr">
        <is>
          <t xml:space="preserve">BT </t>
        </is>
      </c>
      <c r="S141" t="n">
        <v>0</v>
      </c>
      <c r="T141" t="n">
        <v>3</v>
      </c>
      <c r="V141" t="inlineStr">
        <is>
          <t>2003-11-11</t>
        </is>
      </c>
      <c r="W141" t="inlineStr">
        <is>
          <t>1991-11-04</t>
        </is>
      </c>
      <c r="X141" t="inlineStr">
        <is>
          <t>1997-07-09</t>
        </is>
      </c>
      <c r="Y141" t="n">
        <v>217</v>
      </c>
      <c r="Z141" t="n">
        <v>157</v>
      </c>
      <c r="AA141" t="n">
        <v>168</v>
      </c>
      <c r="AB141" t="n">
        <v>2</v>
      </c>
      <c r="AC141" t="n">
        <v>2</v>
      </c>
      <c r="AD141" t="n">
        <v>18</v>
      </c>
      <c r="AE141" t="n">
        <v>19</v>
      </c>
      <c r="AF141" t="n">
        <v>4</v>
      </c>
      <c r="AG141" t="n">
        <v>5</v>
      </c>
      <c r="AH141" t="n">
        <v>4</v>
      </c>
      <c r="AI141" t="n">
        <v>5</v>
      </c>
      <c r="AJ141" t="n">
        <v>13</v>
      </c>
      <c r="AK141" t="n">
        <v>13</v>
      </c>
      <c r="AL141" t="n">
        <v>1</v>
      </c>
      <c r="AM141" t="n">
        <v>1</v>
      </c>
      <c r="AN141" t="n">
        <v>0</v>
      </c>
      <c r="AO141" t="n">
        <v>0</v>
      </c>
      <c r="AP141" t="inlineStr">
        <is>
          <t>No</t>
        </is>
      </c>
      <c r="AQ141" t="inlineStr">
        <is>
          <t>Yes</t>
        </is>
      </c>
      <c r="AR141">
        <f>HYPERLINK("http://catalog.hathitrust.org/Record/000191885","HathiTrust Record")</f>
        <v/>
      </c>
      <c r="AS141">
        <f>HYPERLINK("https://creighton-primo.hosted.exlibrisgroup.com/primo-explore/search?tab=default_tab&amp;search_scope=EVERYTHING&amp;vid=01CRU&amp;lang=en_US&amp;offset=0&amp;query=any,contains,991003816279702656","Catalog Record")</f>
        <v/>
      </c>
      <c r="AT141">
        <f>HYPERLINK("http://www.worldcat.org/oclc/1549616","WorldCat Record")</f>
        <v/>
      </c>
      <c r="AU141" t="inlineStr">
        <is>
          <t>5091084262:fre</t>
        </is>
      </c>
      <c r="AV141" t="inlineStr">
        <is>
          <t>1549616</t>
        </is>
      </c>
      <c r="AW141" t="inlineStr">
        <is>
          <t>991003816279702656</t>
        </is>
      </c>
      <c r="AX141" t="inlineStr">
        <is>
          <t>991003816279702656</t>
        </is>
      </c>
      <c r="AY141" t="inlineStr">
        <is>
          <t>2270907400002656</t>
        </is>
      </c>
      <c r="AZ141" t="inlineStr">
        <is>
          <t>BOOK</t>
        </is>
      </c>
      <c r="BC141" t="inlineStr">
        <is>
          <t>32285000808682</t>
        </is>
      </c>
      <c r="BD141" t="inlineStr">
        <is>
          <t>893318445</t>
        </is>
      </c>
    </row>
    <row r="142">
      <c r="A142" t="inlineStr">
        <is>
          <t>No</t>
        </is>
      </c>
      <c r="B142" t="inlineStr">
        <is>
          <t>BT1116.E952 F74</t>
        </is>
      </c>
      <c r="C142" t="inlineStr">
        <is>
          <t>0                      BT 1116000E  952                F  74</t>
        </is>
      </c>
      <c r="D142" t="inlineStr">
        <is>
          <t>La préparation évangélique : introd. générale / Eusèbe de Césarée.</t>
        </is>
      </c>
      <c r="E142" t="inlineStr">
        <is>
          <t>V.11</t>
        </is>
      </c>
      <c r="F142" t="inlineStr">
        <is>
          <t>Yes</t>
        </is>
      </c>
      <c r="G142" t="inlineStr">
        <is>
          <t>1</t>
        </is>
      </c>
      <c r="H142" t="inlineStr">
        <is>
          <t>No</t>
        </is>
      </c>
      <c r="I142" t="inlineStr">
        <is>
          <t>No</t>
        </is>
      </c>
      <c r="J142" t="inlineStr">
        <is>
          <t>0</t>
        </is>
      </c>
      <c r="K142" t="inlineStr">
        <is>
          <t>Eusebius, of Caesarea, Bishop of Caesarea, approximately 260-approximately 340.</t>
        </is>
      </c>
      <c r="L142" t="inlineStr">
        <is>
          <t>Paris : Éditions du Cerf, 1974-</t>
        </is>
      </c>
      <c r="M142" t="inlineStr">
        <is>
          <t>1974</t>
        </is>
      </c>
      <c r="O142" t="inlineStr">
        <is>
          <t>fre</t>
        </is>
      </c>
      <c r="P142" t="inlineStr">
        <is>
          <t xml:space="preserve">fr </t>
        </is>
      </c>
      <c r="Q142" t="inlineStr">
        <is>
          <t>Sources chrétiennes ; nos. 206, 215, 228</t>
        </is>
      </c>
      <c r="R142" t="inlineStr">
        <is>
          <t xml:space="preserve">BT </t>
        </is>
      </c>
      <c r="S142" t="n">
        <v>2</v>
      </c>
      <c r="T142" t="n">
        <v>3</v>
      </c>
      <c r="U142" t="inlineStr">
        <is>
          <t>1993-02-26</t>
        </is>
      </c>
      <c r="V142" t="inlineStr">
        <is>
          <t>2003-11-11</t>
        </is>
      </c>
      <c r="W142" t="inlineStr">
        <is>
          <t>1991-11-04</t>
        </is>
      </c>
      <c r="X142" t="inlineStr">
        <is>
          <t>1997-07-09</t>
        </is>
      </c>
      <c r="Y142" t="n">
        <v>217</v>
      </c>
      <c r="Z142" t="n">
        <v>157</v>
      </c>
      <c r="AA142" t="n">
        <v>168</v>
      </c>
      <c r="AB142" t="n">
        <v>2</v>
      </c>
      <c r="AC142" t="n">
        <v>2</v>
      </c>
      <c r="AD142" t="n">
        <v>18</v>
      </c>
      <c r="AE142" t="n">
        <v>19</v>
      </c>
      <c r="AF142" t="n">
        <v>4</v>
      </c>
      <c r="AG142" t="n">
        <v>5</v>
      </c>
      <c r="AH142" t="n">
        <v>4</v>
      </c>
      <c r="AI142" t="n">
        <v>5</v>
      </c>
      <c r="AJ142" t="n">
        <v>13</v>
      </c>
      <c r="AK142" t="n">
        <v>13</v>
      </c>
      <c r="AL142" t="n">
        <v>1</v>
      </c>
      <c r="AM142" t="n">
        <v>1</v>
      </c>
      <c r="AN142" t="n">
        <v>0</v>
      </c>
      <c r="AO142" t="n">
        <v>0</v>
      </c>
      <c r="AP142" t="inlineStr">
        <is>
          <t>No</t>
        </is>
      </c>
      <c r="AQ142" t="inlineStr">
        <is>
          <t>Yes</t>
        </is>
      </c>
      <c r="AR142">
        <f>HYPERLINK("http://catalog.hathitrust.org/Record/000191885","HathiTrust Record")</f>
        <v/>
      </c>
      <c r="AS142">
        <f>HYPERLINK("https://creighton-primo.hosted.exlibrisgroup.com/primo-explore/search?tab=default_tab&amp;search_scope=EVERYTHING&amp;vid=01CRU&amp;lang=en_US&amp;offset=0&amp;query=any,contains,991003816279702656","Catalog Record")</f>
        <v/>
      </c>
      <c r="AT142">
        <f>HYPERLINK("http://www.worldcat.org/oclc/1549616","WorldCat Record")</f>
        <v/>
      </c>
      <c r="AU142" t="inlineStr">
        <is>
          <t>5091084262:fre</t>
        </is>
      </c>
      <c r="AV142" t="inlineStr">
        <is>
          <t>1549616</t>
        </is>
      </c>
      <c r="AW142" t="inlineStr">
        <is>
          <t>991003816279702656</t>
        </is>
      </c>
      <c r="AX142" t="inlineStr">
        <is>
          <t>991003816279702656</t>
        </is>
      </c>
      <c r="AY142" t="inlineStr">
        <is>
          <t>2270907400002656</t>
        </is>
      </c>
      <c r="AZ142" t="inlineStr">
        <is>
          <t>BOOK</t>
        </is>
      </c>
      <c r="BC142" t="inlineStr">
        <is>
          <t>32285000808732</t>
        </is>
      </c>
      <c r="BD142" t="inlineStr">
        <is>
          <t>893324522</t>
        </is>
      </c>
    </row>
    <row r="143">
      <c r="A143" t="inlineStr">
        <is>
          <t>No</t>
        </is>
      </c>
      <c r="B143" t="inlineStr">
        <is>
          <t>BT1116.E952 F74</t>
        </is>
      </c>
      <c r="C143" t="inlineStr">
        <is>
          <t>0                      BT 1116000E  952                F  74</t>
        </is>
      </c>
      <c r="D143" t="inlineStr">
        <is>
          <t>La préparation évangélique : introd. générale / Eusèbe de Césarée.</t>
        </is>
      </c>
      <c r="E143" t="inlineStr">
        <is>
          <t>V.7</t>
        </is>
      </c>
      <c r="F143" t="inlineStr">
        <is>
          <t>Yes</t>
        </is>
      </c>
      <c r="G143" t="inlineStr">
        <is>
          <t>1</t>
        </is>
      </c>
      <c r="H143" t="inlineStr">
        <is>
          <t>No</t>
        </is>
      </c>
      <c r="I143" t="inlineStr">
        <is>
          <t>No</t>
        </is>
      </c>
      <c r="J143" t="inlineStr">
        <is>
          <t>0</t>
        </is>
      </c>
      <c r="K143" t="inlineStr">
        <is>
          <t>Eusebius, of Caesarea, Bishop of Caesarea, approximately 260-approximately 340.</t>
        </is>
      </c>
      <c r="L143" t="inlineStr">
        <is>
          <t>Paris : Éditions du Cerf, 1974-</t>
        </is>
      </c>
      <c r="M143" t="inlineStr">
        <is>
          <t>1974</t>
        </is>
      </c>
      <c r="O143" t="inlineStr">
        <is>
          <t>fre</t>
        </is>
      </c>
      <c r="P143" t="inlineStr">
        <is>
          <t xml:space="preserve">fr </t>
        </is>
      </c>
      <c r="Q143" t="inlineStr">
        <is>
          <t>Sources chrétiennes ; nos. 206, 215, 228</t>
        </is>
      </c>
      <c r="R143" t="inlineStr">
        <is>
          <t xml:space="preserve">BT </t>
        </is>
      </c>
      <c r="S143" t="n">
        <v>0</v>
      </c>
      <c r="T143" t="n">
        <v>3</v>
      </c>
      <c r="V143" t="inlineStr">
        <is>
          <t>2003-11-11</t>
        </is>
      </c>
      <c r="W143" t="inlineStr">
        <is>
          <t>1991-11-04</t>
        </is>
      </c>
      <c r="X143" t="inlineStr">
        <is>
          <t>1997-07-09</t>
        </is>
      </c>
      <c r="Y143" t="n">
        <v>217</v>
      </c>
      <c r="Z143" t="n">
        <v>157</v>
      </c>
      <c r="AA143" t="n">
        <v>168</v>
      </c>
      <c r="AB143" t="n">
        <v>2</v>
      </c>
      <c r="AC143" t="n">
        <v>2</v>
      </c>
      <c r="AD143" t="n">
        <v>18</v>
      </c>
      <c r="AE143" t="n">
        <v>19</v>
      </c>
      <c r="AF143" t="n">
        <v>4</v>
      </c>
      <c r="AG143" t="n">
        <v>5</v>
      </c>
      <c r="AH143" t="n">
        <v>4</v>
      </c>
      <c r="AI143" t="n">
        <v>5</v>
      </c>
      <c r="AJ143" t="n">
        <v>13</v>
      </c>
      <c r="AK143" t="n">
        <v>13</v>
      </c>
      <c r="AL143" t="n">
        <v>1</v>
      </c>
      <c r="AM143" t="n">
        <v>1</v>
      </c>
      <c r="AN143" t="n">
        <v>0</v>
      </c>
      <c r="AO143" t="n">
        <v>0</v>
      </c>
      <c r="AP143" t="inlineStr">
        <is>
          <t>No</t>
        </is>
      </c>
      <c r="AQ143" t="inlineStr">
        <is>
          <t>Yes</t>
        </is>
      </c>
      <c r="AR143">
        <f>HYPERLINK("http://catalog.hathitrust.org/Record/000191885","HathiTrust Record")</f>
        <v/>
      </c>
      <c r="AS143">
        <f>HYPERLINK("https://creighton-primo.hosted.exlibrisgroup.com/primo-explore/search?tab=default_tab&amp;search_scope=EVERYTHING&amp;vid=01CRU&amp;lang=en_US&amp;offset=0&amp;query=any,contains,991003816279702656","Catalog Record")</f>
        <v/>
      </c>
      <c r="AT143">
        <f>HYPERLINK("http://www.worldcat.org/oclc/1549616","WorldCat Record")</f>
        <v/>
      </c>
      <c r="AU143" t="inlineStr">
        <is>
          <t>5091084262:fre</t>
        </is>
      </c>
      <c r="AV143" t="inlineStr">
        <is>
          <t>1549616</t>
        </is>
      </c>
      <c r="AW143" t="inlineStr">
        <is>
          <t>991003816279702656</t>
        </is>
      </c>
      <c r="AX143" t="inlineStr">
        <is>
          <t>991003816279702656</t>
        </is>
      </c>
      <c r="AY143" t="inlineStr">
        <is>
          <t>2270907400002656</t>
        </is>
      </c>
      <c r="AZ143" t="inlineStr">
        <is>
          <t>BOOK</t>
        </is>
      </c>
      <c r="BC143" t="inlineStr">
        <is>
          <t>32285000808724</t>
        </is>
      </c>
      <c r="BD143" t="inlineStr">
        <is>
          <t>893324521</t>
        </is>
      </c>
    </row>
    <row r="144">
      <c r="A144" t="inlineStr">
        <is>
          <t>No</t>
        </is>
      </c>
      <c r="B144" t="inlineStr">
        <is>
          <t>BT1116.E952 F74</t>
        </is>
      </c>
      <c r="C144" t="inlineStr">
        <is>
          <t>0                      BT 1116000E  952                F  74</t>
        </is>
      </c>
      <c r="D144" t="inlineStr">
        <is>
          <t>La préparation évangélique : introd. générale / Eusèbe de Césarée.</t>
        </is>
      </c>
      <c r="E144" t="inlineStr">
        <is>
          <t>V.2-3</t>
        </is>
      </c>
      <c r="F144" t="inlineStr">
        <is>
          <t>Yes</t>
        </is>
      </c>
      <c r="G144" t="inlineStr">
        <is>
          <t>1</t>
        </is>
      </c>
      <c r="H144" t="inlineStr">
        <is>
          <t>No</t>
        </is>
      </c>
      <c r="I144" t="inlineStr">
        <is>
          <t>No</t>
        </is>
      </c>
      <c r="J144" t="inlineStr">
        <is>
          <t>0</t>
        </is>
      </c>
      <c r="K144" t="inlineStr">
        <is>
          <t>Eusebius, of Caesarea, Bishop of Caesarea, approximately 260-approximately 340.</t>
        </is>
      </c>
      <c r="L144" t="inlineStr">
        <is>
          <t>Paris : Éditions du Cerf, 1974-</t>
        </is>
      </c>
      <c r="M144" t="inlineStr">
        <is>
          <t>1974</t>
        </is>
      </c>
      <c r="O144" t="inlineStr">
        <is>
          <t>fre</t>
        </is>
      </c>
      <c r="P144" t="inlineStr">
        <is>
          <t xml:space="preserve">fr </t>
        </is>
      </c>
      <c r="Q144" t="inlineStr">
        <is>
          <t>Sources chrétiennes ; nos. 206, 215, 228</t>
        </is>
      </c>
      <c r="R144" t="inlineStr">
        <is>
          <t xml:space="preserve">BT </t>
        </is>
      </c>
      <c r="S144" t="n">
        <v>0</v>
      </c>
      <c r="T144" t="n">
        <v>3</v>
      </c>
      <c r="V144" t="inlineStr">
        <is>
          <t>2003-11-11</t>
        </is>
      </c>
      <c r="W144" t="inlineStr">
        <is>
          <t>1991-11-04</t>
        </is>
      </c>
      <c r="X144" t="inlineStr">
        <is>
          <t>1997-07-09</t>
        </is>
      </c>
      <c r="Y144" t="n">
        <v>217</v>
      </c>
      <c r="Z144" t="n">
        <v>157</v>
      </c>
      <c r="AA144" t="n">
        <v>168</v>
      </c>
      <c r="AB144" t="n">
        <v>2</v>
      </c>
      <c r="AC144" t="n">
        <v>2</v>
      </c>
      <c r="AD144" t="n">
        <v>18</v>
      </c>
      <c r="AE144" t="n">
        <v>19</v>
      </c>
      <c r="AF144" t="n">
        <v>4</v>
      </c>
      <c r="AG144" t="n">
        <v>5</v>
      </c>
      <c r="AH144" t="n">
        <v>4</v>
      </c>
      <c r="AI144" t="n">
        <v>5</v>
      </c>
      <c r="AJ144" t="n">
        <v>13</v>
      </c>
      <c r="AK144" t="n">
        <v>13</v>
      </c>
      <c r="AL144" t="n">
        <v>1</v>
      </c>
      <c r="AM144" t="n">
        <v>1</v>
      </c>
      <c r="AN144" t="n">
        <v>0</v>
      </c>
      <c r="AO144" t="n">
        <v>0</v>
      </c>
      <c r="AP144" t="inlineStr">
        <is>
          <t>No</t>
        </is>
      </c>
      <c r="AQ144" t="inlineStr">
        <is>
          <t>Yes</t>
        </is>
      </c>
      <c r="AR144">
        <f>HYPERLINK("http://catalog.hathitrust.org/Record/000191885","HathiTrust Record")</f>
        <v/>
      </c>
      <c r="AS144">
        <f>HYPERLINK("https://creighton-primo.hosted.exlibrisgroup.com/primo-explore/search?tab=default_tab&amp;search_scope=EVERYTHING&amp;vid=01CRU&amp;lang=en_US&amp;offset=0&amp;query=any,contains,991003816279702656","Catalog Record")</f>
        <v/>
      </c>
      <c r="AT144">
        <f>HYPERLINK("http://www.worldcat.org/oclc/1549616","WorldCat Record")</f>
        <v/>
      </c>
      <c r="AU144" t="inlineStr">
        <is>
          <t>5091084262:fre</t>
        </is>
      </c>
      <c r="AV144" t="inlineStr">
        <is>
          <t>1549616</t>
        </is>
      </c>
      <c r="AW144" t="inlineStr">
        <is>
          <t>991003816279702656</t>
        </is>
      </c>
      <c r="AX144" t="inlineStr">
        <is>
          <t>991003816279702656</t>
        </is>
      </c>
      <c r="AY144" t="inlineStr">
        <is>
          <t>2270907400002656</t>
        </is>
      </c>
      <c r="AZ144" t="inlineStr">
        <is>
          <t>BOOK</t>
        </is>
      </c>
      <c r="BC144" t="inlineStr">
        <is>
          <t>32285000808690</t>
        </is>
      </c>
      <c r="BD144" t="inlineStr">
        <is>
          <t>893324518</t>
        </is>
      </c>
    </row>
    <row r="145">
      <c r="A145" t="inlineStr">
        <is>
          <t>No</t>
        </is>
      </c>
      <c r="B145" t="inlineStr">
        <is>
          <t>BT1116.E952 F74</t>
        </is>
      </c>
      <c r="C145" t="inlineStr">
        <is>
          <t>0                      BT 1116000E  952                F  74</t>
        </is>
      </c>
      <c r="D145" t="inlineStr">
        <is>
          <t>La préparation évangélique : introd. générale / Eusèbe de Césarée.</t>
        </is>
      </c>
      <c r="E145" t="inlineStr">
        <is>
          <t>V.8-10</t>
        </is>
      </c>
      <c r="F145" t="inlineStr">
        <is>
          <t>Yes</t>
        </is>
      </c>
      <c r="G145" t="inlineStr">
        <is>
          <t>1</t>
        </is>
      </c>
      <c r="H145" t="inlineStr">
        <is>
          <t>No</t>
        </is>
      </c>
      <c r="I145" t="inlineStr">
        <is>
          <t>No</t>
        </is>
      </c>
      <c r="J145" t="inlineStr">
        <is>
          <t>0</t>
        </is>
      </c>
      <c r="K145" t="inlineStr">
        <is>
          <t>Eusebius, of Caesarea, Bishop of Caesarea, approximately 260-approximately 340.</t>
        </is>
      </c>
      <c r="L145" t="inlineStr">
        <is>
          <t>Paris : Éditions du Cerf, 1974-</t>
        </is>
      </c>
      <c r="M145" t="inlineStr">
        <is>
          <t>1974</t>
        </is>
      </c>
      <c r="O145" t="inlineStr">
        <is>
          <t>fre</t>
        </is>
      </c>
      <c r="P145" t="inlineStr">
        <is>
          <t xml:space="preserve">fr </t>
        </is>
      </c>
      <c r="Q145" t="inlineStr">
        <is>
          <t>Sources chrétiennes ; nos. 206, 215, 228</t>
        </is>
      </c>
      <c r="R145" t="inlineStr">
        <is>
          <t xml:space="preserve">BT </t>
        </is>
      </c>
      <c r="S145" t="n">
        <v>0</v>
      </c>
      <c r="T145" t="n">
        <v>3</v>
      </c>
      <c r="V145" t="inlineStr">
        <is>
          <t>2003-11-11</t>
        </is>
      </c>
      <c r="W145" t="inlineStr">
        <is>
          <t>1997-07-09</t>
        </is>
      </c>
      <c r="X145" t="inlineStr">
        <is>
          <t>1997-07-09</t>
        </is>
      </c>
      <c r="Y145" t="n">
        <v>217</v>
      </c>
      <c r="Z145" t="n">
        <v>157</v>
      </c>
      <c r="AA145" t="n">
        <v>168</v>
      </c>
      <c r="AB145" t="n">
        <v>2</v>
      </c>
      <c r="AC145" t="n">
        <v>2</v>
      </c>
      <c r="AD145" t="n">
        <v>18</v>
      </c>
      <c r="AE145" t="n">
        <v>19</v>
      </c>
      <c r="AF145" t="n">
        <v>4</v>
      </c>
      <c r="AG145" t="n">
        <v>5</v>
      </c>
      <c r="AH145" t="n">
        <v>4</v>
      </c>
      <c r="AI145" t="n">
        <v>5</v>
      </c>
      <c r="AJ145" t="n">
        <v>13</v>
      </c>
      <c r="AK145" t="n">
        <v>13</v>
      </c>
      <c r="AL145" t="n">
        <v>1</v>
      </c>
      <c r="AM145" t="n">
        <v>1</v>
      </c>
      <c r="AN145" t="n">
        <v>0</v>
      </c>
      <c r="AO145" t="n">
        <v>0</v>
      </c>
      <c r="AP145" t="inlineStr">
        <is>
          <t>No</t>
        </is>
      </c>
      <c r="AQ145" t="inlineStr">
        <is>
          <t>Yes</t>
        </is>
      </c>
      <c r="AR145">
        <f>HYPERLINK("http://catalog.hathitrust.org/Record/000191885","HathiTrust Record")</f>
        <v/>
      </c>
      <c r="AS145">
        <f>HYPERLINK("https://creighton-primo.hosted.exlibrisgroup.com/primo-explore/search?tab=default_tab&amp;search_scope=EVERYTHING&amp;vid=01CRU&amp;lang=en_US&amp;offset=0&amp;query=any,contains,991003816279702656","Catalog Record")</f>
        <v/>
      </c>
      <c r="AT145">
        <f>HYPERLINK("http://www.worldcat.org/oclc/1549616","WorldCat Record")</f>
        <v/>
      </c>
      <c r="AU145" t="inlineStr">
        <is>
          <t>5091084262:fre</t>
        </is>
      </c>
      <c r="AV145" t="inlineStr">
        <is>
          <t>1549616</t>
        </is>
      </c>
      <c r="AW145" t="inlineStr">
        <is>
          <t>991003816279702656</t>
        </is>
      </c>
      <c r="AX145" t="inlineStr">
        <is>
          <t>991003816279702656</t>
        </is>
      </c>
      <c r="AY145" t="inlineStr">
        <is>
          <t>2270907400002656</t>
        </is>
      </c>
      <c r="AZ145" t="inlineStr">
        <is>
          <t>BOOK</t>
        </is>
      </c>
      <c r="BC145" t="inlineStr">
        <is>
          <t>32285002881307</t>
        </is>
      </c>
      <c r="BD145" t="inlineStr">
        <is>
          <t>893324520</t>
        </is>
      </c>
    </row>
    <row r="146">
      <c r="A146" t="inlineStr">
        <is>
          <t>No</t>
        </is>
      </c>
      <c r="B146" t="inlineStr">
        <is>
          <t>BT1116.E952 F74</t>
        </is>
      </c>
      <c r="C146" t="inlineStr">
        <is>
          <t>0                      BT 1116000E  952                F  74</t>
        </is>
      </c>
      <c r="D146" t="inlineStr">
        <is>
          <t>La préparation évangélique : introd. générale / Eusèbe de Césarée.</t>
        </is>
      </c>
      <c r="E146" t="inlineStr">
        <is>
          <t>V.14-15</t>
        </is>
      </c>
      <c r="F146" t="inlineStr">
        <is>
          <t>Yes</t>
        </is>
      </c>
      <c r="G146" t="inlineStr">
        <is>
          <t>1</t>
        </is>
      </c>
      <c r="H146" t="inlineStr">
        <is>
          <t>No</t>
        </is>
      </c>
      <c r="I146" t="inlineStr">
        <is>
          <t>No</t>
        </is>
      </c>
      <c r="J146" t="inlineStr">
        <is>
          <t>0</t>
        </is>
      </c>
      <c r="K146" t="inlineStr">
        <is>
          <t>Eusebius, of Caesarea, Bishop of Caesarea, approximately 260-approximately 340.</t>
        </is>
      </c>
      <c r="L146" t="inlineStr">
        <is>
          <t>Paris : Éditions du Cerf, 1974-</t>
        </is>
      </c>
      <c r="M146" t="inlineStr">
        <is>
          <t>1974</t>
        </is>
      </c>
      <c r="O146" t="inlineStr">
        <is>
          <t>fre</t>
        </is>
      </c>
      <c r="P146" t="inlineStr">
        <is>
          <t xml:space="preserve">fr </t>
        </is>
      </c>
      <c r="Q146" t="inlineStr">
        <is>
          <t>Sources chrétiennes ; nos. 206, 215, 228</t>
        </is>
      </c>
      <c r="R146" t="inlineStr">
        <is>
          <t xml:space="preserve">BT </t>
        </is>
      </c>
      <c r="S146" t="n">
        <v>0</v>
      </c>
      <c r="T146" t="n">
        <v>3</v>
      </c>
      <c r="V146" t="inlineStr">
        <is>
          <t>2003-11-11</t>
        </is>
      </c>
      <c r="W146" t="inlineStr">
        <is>
          <t>1994-10-24</t>
        </is>
      </c>
      <c r="X146" t="inlineStr">
        <is>
          <t>1997-07-09</t>
        </is>
      </c>
      <c r="Y146" t="n">
        <v>217</v>
      </c>
      <c r="Z146" t="n">
        <v>157</v>
      </c>
      <c r="AA146" t="n">
        <v>168</v>
      </c>
      <c r="AB146" t="n">
        <v>2</v>
      </c>
      <c r="AC146" t="n">
        <v>2</v>
      </c>
      <c r="AD146" t="n">
        <v>18</v>
      </c>
      <c r="AE146" t="n">
        <v>19</v>
      </c>
      <c r="AF146" t="n">
        <v>4</v>
      </c>
      <c r="AG146" t="n">
        <v>5</v>
      </c>
      <c r="AH146" t="n">
        <v>4</v>
      </c>
      <c r="AI146" t="n">
        <v>5</v>
      </c>
      <c r="AJ146" t="n">
        <v>13</v>
      </c>
      <c r="AK146" t="n">
        <v>13</v>
      </c>
      <c r="AL146" t="n">
        <v>1</v>
      </c>
      <c r="AM146" t="n">
        <v>1</v>
      </c>
      <c r="AN146" t="n">
        <v>0</v>
      </c>
      <c r="AO146" t="n">
        <v>0</v>
      </c>
      <c r="AP146" t="inlineStr">
        <is>
          <t>No</t>
        </is>
      </c>
      <c r="AQ146" t="inlineStr">
        <is>
          <t>Yes</t>
        </is>
      </c>
      <c r="AR146">
        <f>HYPERLINK("http://catalog.hathitrust.org/Record/000191885","HathiTrust Record")</f>
        <v/>
      </c>
      <c r="AS146">
        <f>HYPERLINK("https://creighton-primo.hosted.exlibrisgroup.com/primo-explore/search?tab=default_tab&amp;search_scope=EVERYTHING&amp;vid=01CRU&amp;lang=en_US&amp;offset=0&amp;query=any,contains,991003816279702656","Catalog Record")</f>
        <v/>
      </c>
      <c r="AT146">
        <f>HYPERLINK("http://www.worldcat.org/oclc/1549616","WorldCat Record")</f>
        <v/>
      </c>
      <c r="AU146" t="inlineStr">
        <is>
          <t>5091084262:fre</t>
        </is>
      </c>
      <c r="AV146" t="inlineStr">
        <is>
          <t>1549616</t>
        </is>
      </c>
      <c r="AW146" t="inlineStr">
        <is>
          <t>991003816279702656</t>
        </is>
      </c>
      <c r="AX146" t="inlineStr">
        <is>
          <t>991003816279702656</t>
        </is>
      </c>
      <c r="AY146" t="inlineStr">
        <is>
          <t>2270907400002656</t>
        </is>
      </c>
      <c r="AZ146" t="inlineStr">
        <is>
          <t>BOOK</t>
        </is>
      </c>
      <c r="BC146" t="inlineStr">
        <is>
          <t>32285001963015</t>
        </is>
      </c>
      <c r="BD146" t="inlineStr">
        <is>
          <t>893324519</t>
        </is>
      </c>
    </row>
    <row r="147">
      <c r="A147" t="inlineStr">
        <is>
          <t>No</t>
        </is>
      </c>
      <c r="B147" t="inlineStr">
        <is>
          <t>BT1116.E952 F74</t>
        </is>
      </c>
      <c r="C147" t="inlineStr">
        <is>
          <t>0                      BT 1116000E  952                F  74</t>
        </is>
      </c>
      <c r="D147" t="inlineStr">
        <is>
          <t>La préparation évangélique : introd. générale / Eusèbe de Césarée.</t>
        </is>
      </c>
      <c r="E147" t="inlineStr">
        <is>
          <t>V.5-6 PT.18-36</t>
        </is>
      </c>
      <c r="F147" t="inlineStr">
        <is>
          <t>Yes</t>
        </is>
      </c>
      <c r="G147" t="inlineStr">
        <is>
          <t>1</t>
        </is>
      </c>
      <c r="H147" t="inlineStr">
        <is>
          <t>No</t>
        </is>
      </c>
      <c r="I147" t="inlineStr">
        <is>
          <t>No</t>
        </is>
      </c>
      <c r="J147" t="inlineStr">
        <is>
          <t>0</t>
        </is>
      </c>
      <c r="K147" t="inlineStr">
        <is>
          <t>Eusebius, of Caesarea, Bishop of Caesarea, approximately 260-approximately 340.</t>
        </is>
      </c>
      <c r="L147" t="inlineStr">
        <is>
          <t>Paris : Éditions du Cerf, 1974-</t>
        </is>
      </c>
      <c r="M147" t="inlineStr">
        <is>
          <t>1974</t>
        </is>
      </c>
      <c r="O147" t="inlineStr">
        <is>
          <t>fre</t>
        </is>
      </c>
      <c r="P147" t="inlineStr">
        <is>
          <t xml:space="preserve">fr </t>
        </is>
      </c>
      <c r="Q147" t="inlineStr">
        <is>
          <t>Sources chrétiennes ; nos. 206, 215, 228</t>
        </is>
      </c>
      <c r="R147" t="inlineStr">
        <is>
          <t xml:space="preserve">BT </t>
        </is>
      </c>
      <c r="S147" t="n">
        <v>0</v>
      </c>
      <c r="T147" t="n">
        <v>3</v>
      </c>
      <c r="V147" t="inlineStr">
        <is>
          <t>2003-11-11</t>
        </is>
      </c>
      <c r="W147" t="inlineStr">
        <is>
          <t>1991-11-04</t>
        </is>
      </c>
      <c r="X147" t="inlineStr">
        <is>
          <t>1997-07-09</t>
        </is>
      </c>
      <c r="Y147" t="n">
        <v>217</v>
      </c>
      <c r="Z147" t="n">
        <v>157</v>
      </c>
      <c r="AA147" t="n">
        <v>168</v>
      </c>
      <c r="AB147" t="n">
        <v>2</v>
      </c>
      <c r="AC147" t="n">
        <v>2</v>
      </c>
      <c r="AD147" t="n">
        <v>18</v>
      </c>
      <c r="AE147" t="n">
        <v>19</v>
      </c>
      <c r="AF147" t="n">
        <v>4</v>
      </c>
      <c r="AG147" t="n">
        <v>5</v>
      </c>
      <c r="AH147" t="n">
        <v>4</v>
      </c>
      <c r="AI147" t="n">
        <v>5</v>
      </c>
      <c r="AJ147" t="n">
        <v>13</v>
      </c>
      <c r="AK147" t="n">
        <v>13</v>
      </c>
      <c r="AL147" t="n">
        <v>1</v>
      </c>
      <c r="AM147" t="n">
        <v>1</v>
      </c>
      <c r="AN147" t="n">
        <v>0</v>
      </c>
      <c r="AO147" t="n">
        <v>0</v>
      </c>
      <c r="AP147" t="inlineStr">
        <is>
          <t>No</t>
        </is>
      </c>
      <c r="AQ147" t="inlineStr">
        <is>
          <t>Yes</t>
        </is>
      </c>
      <c r="AR147">
        <f>HYPERLINK("http://catalog.hathitrust.org/Record/000191885","HathiTrust Record")</f>
        <v/>
      </c>
      <c r="AS147">
        <f>HYPERLINK("https://creighton-primo.hosted.exlibrisgroup.com/primo-explore/search?tab=default_tab&amp;search_scope=EVERYTHING&amp;vid=01CRU&amp;lang=en_US&amp;offset=0&amp;query=any,contains,991003816279702656","Catalog Record")</f>
        <v/>
      </c>
      <c r="AT147">
        <f>HYPERLINK("http://www.worldcat.org/oclc/1549616","WorldCat Record")</f>
        <v/>
      </c>
      <c r="AU147" t="inlineStr">
        <is>
          <t>5091084262:fre</t>
        </is>
      </c>
      <c r="AV147" t="inlineStr">
        <is>
          <t>1549616</t>
        </is>
      </c>
      <c r="AW147" t="inlineStr">
        <is>
          <t>991003816279702656</t>
        </is>
      </c>
      <c r="AX147" t="inlineStr">
        <is>
          <t>991003816279702656</t>
        </is>
      </c>
      <c r="AY147" t="inlineStr">
        <is>
          <t>2270907400002656</t>
        </is>
      </c>
      <c r="AZ147" t="inlineStr">
        <is>
          <t>BOOK</t>
        </is>
      </c>
      <c r="BC147" t="inlineStr">
        <is>
          <t>32285000808716</t>
        </is>
      </c>
      <c r="BD147" t="inlineStr">
        <is>
          <t>893324517</t>
        </is>
      </c>
    </row>
    <row r="148">
      <c r="A148" t="inlineStr">
        <is>
          <t>No</t>
        </is>
      </c>
      <c r="B148" t="inlineStr">
        <is>
          <t>BT1116.E952 F74</t>
        </is>
      </c>
      <c r="C148" t="inlineStr">
        <is>
          <t>0                      BT 1116000E  952                F  74</t>
        </is>
      </c>
      <c r="D148" t="inlineStr">
        <is>
          <t>La préparation évangélique : introd. générale / Eusèbe de Césarée.</t>
        </is>
      </c>
      <c r="E148" t="inlineStr">
        <is>
          <t>V.4-5 PT.1-17</t>
        </is>
      </c>
      <c r="F148" t="inlineStr">
        <is>
          <t>Yes</t>
        </is>
      </c>
      <c r="G148" t="inlineStr">
        <is>
          <t>1</t>
        </is>
      </c>
      <c r="H148" t="inlineStr">
        <is>
          <t>No</t>
        </is>
      </c>
      <c r="I148" t="inlineStr">
        <is>
          <t>No</t>
        </is>
      </c>
      <c r="J148" t="inlineStr">
        <is>
          <t>0</t>
        </is>
      </c>
      <c r="K148" t="inlineStr">
        <is>
          <t>Eusebius, of Caesarea, Bishop of Caesarea, approximately 260-approximately 340.</t>
        </is>
      </c>
      <c r="L148" t="inlineStr">
        <is>
          <t>Paris : Éditions du Cerf, 1974-</t>
        </is>
      </c>
      <c r="M148" t="inlineStr">
        <is>
          <t>1974</t>
        </is>
      </c>
      <c r="O148" t="inlineStr">
        <is>
          <t>fre</t>
        </is>
      </c>
      <c r="P148" t="inlineStr">
        <is>
          <t xml:space="preserve">fr </t>
        </is>
      </c>
      <c r="Q148" t="inlineStr">
        <is>
          <t>Sources chrétiennes ; nos. 206, 215, 228</t>
        </is>
      </c>
      <c r="R148" t="inlineStr">
        <is>
          <t xml:space="preserve">BT </t>
        </is>
      </c>
      <c r="S148" t="n">
        <v>1</v>
      </c>
      <c r="T148" t="n">
        <v>3</v>
      </c>
      <c r="U148" t="inlineStr">
        <is>
          <t>2003-11-11</t>
        </is>
      </c>
      <c r="V148" t="inlineStr">
        <is>
          <t>2003-11-11</t>
        </is>
      </c>
      <c r="W148" t="inlineStr">
        <is>
          <t>1991-11-04</t>
        </is>
      </c>
      <c r="X148" t="inlineStr">
        <is>
          <t>1997-07-09</t>
        </is>
      </c>
      <c r="Y148" t="n">
        <v>217</v>
      </c>
      <c r="Z148" t="n">
        <v>157</v>
      </c>
      <c r="AA148" t="n">
        <v>168</v>
      </c>
      <c r="AB148" t="n">
        <v>2</v>
      </c>
      <c r="AC148" t="n">
        <v>2</v>
      </c>
      <c r="AD148" t="n">
        <v>18</v>
      </c>
      <c r="AE148" t="n">
        <v>19</v>
      </c>
      <c r="AF148" t="n">
        <v>4</v>
      </c>
      <c r="AG148" t="n">
        <v>5</v>
      </c>
      <c r="AH148" t="n">
        <v>4</v>
      </c>
      <c r="AI148" t="n">
        <v>5</v>
      </c>
      <c r="AJ148" t="n">
        <v>13</v>
      </c>
      <c r="AK148" t="n">
        <v>13</v>
      </c>
      <c r="AL148" t="n">
        <v>1</v>
      </c>
      <c r="AM148" t="n">
        <v>1</v>
      </c>
      <c r="AN148" t="n">
        <v>0</v>
      </c>
      <c r="AO148" t="n">
        <v>0</v>
      </c>
      <c r="AP148" t="inlineStr">
        <is>
          <t>No</t>
        </is>
      </c>
      <c r="AQ148" t="inlineStr">
        <is>
          <t>Yes</t>
        </is>
      </c>
      <c r="AR148">
        <f>HYPERLINK("http://catalog.hathitrust.org/Record/000191885","HathiTrust Record")</f>
        <v/>
      </c>
      <c r="AS148">
        <f>HYPERLINK("https://creighton-primo.hosted.exlibrisgroup.com/primo-explore/search?tab=default_tab&amp;search_scope=EVERYTHING&amp;vid=01CRU&amp;lang=en_US&amp;offset=0&amp;query=any,contains,991003816279702656","Catalog Record")</f>
        <v/>
      </c>
      <c r="AT148">
        <f>HYPERLINK("http://www.worldcat.org/oclc/1549616","WorldCat Record")</f>
        <v/>
      </c>
      <c r="AU148" t="inlineStr">
        <is>
          <t>5091084262:fre</t>
        </is>
      </c>
      <c r="AV148" t="inlineStr">
        <is>
          <t>1549616</t>
        </is>
      </c>
      <c r="AW148" t="inlineStr">
        <is>
          <t>991003816279702656</t>
        </is>
      </c>
      <c r="AX148" t="inlineStr">
        <is>
          <t>991003816279702656</t>
        </is>
      </c>
      <c r="AY148" t="inlineStr">
        <is>
          <t>2270907400002656</t>
        </is>
      </c>
      <c r="AZ148" t="inlineStr">
        <is>
          <t>BOOK</t>
        </is>
      </c>
      <c r="BC148" t="inlineStr">
        <is>
          <t>32285000808708</t>
        </is>
      </c>
      <c r="BD148" t="inlineStr">
        <is>
          <t>893336991</t>
        </is>
      </c>
    </row>
    <row r="149">
      <c r="A149" t="inlineStr">
        <is>
          <t>No</t>
        </is>
      </c>
      <c r="B149" t="inlineStr">
        <is>
          <t>BT1116.L4 R3</t>
        </is>
      </c>
      <c r="C149" t="inlineStr">
        <is>
          <t>0                      BT 1116000L  4                  R  3</t>
        </is>
      </c>
      <c r="D149" t="inlineStr">
        <is>
          <t>Selections from Lactanitius: Divinae institutiones. With introd., commentary and vocabulary by W. T. Radius.</t>
        </is>
      </c>
      <c r="F149" t="inlineStr">
        <is>
          <t>No</t>
        </is>
      </c>
      <c r="G149" t="inlineStr">
        <is>
          <t>1</t>
        </is>
      </c>
      <c r="H149" t="inlineStr">
        <is>
          <t>No</t>
        </is>
      </c>
      <c r="I149" t="inlineStr">
        <is>
          <t>No</t>
        </is>
      </c>
      <c r="J149" t="inlineStr">
        <is>
          <t>0</t>
        </is>
      </c>
      <c r="K149" t="inlineStr">
        <is>
          <t>Lactantius, approximately 240-approximately 320.</t>
        </is>
      </c>
      <c r="L149" t="inlineStr">
        <is>
          <t>Grand Rapids, Eerdmans, 1951.</t>
        </is>
      </c>
      <c r="M149" t="inlineStr">
        <is>
          <t>1951</t>
        </is>
      </c>
      <c r="O149" t="inlineStr">
        <is>
          <t>eng</t>
        </is>
      </c>
      <c r="P149" t="inlineStr">
        <is>
          <t>miu</t>
        </is>
      </c>
      <c r="R149" t="inlineStr">
        <is>
          <t xml:space="preserve">BT </t>
        </is>
      </c>
      <c r="S149" t="n">
        <v>1</v>
      </c>
      <c r="T149" t="n">
        <v>1</v>
      </c>
      <c r="U149" t="inlineStr">
        <is>
          <t>2000-12-07</t>
        </is>
      </c>
      <c r="V149" t="inlineStr">
        <is>
          <t>2000-12-07</t>
        </is>
      </c>
      <c r="W149" t="inlineStr">
        <is>
          <t>1991-11-04</t>
        </is>
      </c>
      <c r="X149" t="inlineStr">
        <is>
          <t>1991-11-04</t>
        </is>
      </c>
      <c r="Y149" t="n">
        <v>45</v>
      </c>
      <c r="Z149" t="n">
        <v>41</v>
      </c>
      <c r="AA149" t="n">
        <v>71</v>
      </c>
      <c r="AB149" t="n">
        <v>1</v>
      </c>
      <c r="AC149" t="n">
        <v>1</v>
      </c>
      <c r="AD149" t="n">
        <v>6</v>
      </c>
      <c r="AE149" t="n">
        <v>11</v>
      </c>
      <c r="AF149" t="n">
        <v>2</v>
      </c>
      <c r="AG149" t="n">
        <v>3</v>
      </c>
      <c r="AH149" t="n">
        <v>1</v>
      </c>
      <c r="AI149" t="n">
        <v>2</v>
      </c>
      <c r="AJ149" t="n">
        <v>5</v>
      </c>
      <c r="AK149" t="n">
        <v>10</v>
      </c>
      <c r="AL149" t="n">
        <v>0</v>
      </c>
      <c r="AM149" t="n">
        <v>0</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HYPERLINK("https://creighton-primo.hosted.exlibrisgroup.com/primo-explore/search?tab=default_tab&amp;search_scope=EVERYTHING&amp;vid=01CRU&amp;lang=en_US&amp;offset=0&amp;query=any,contains,991004600879702656","Catalog Record")</f>
        <v/>
      </c>
      <c r="AT149">
        <f>HYPERLINK("http://www.worldcat.org/oclc/4172417","WorldCat Record")</f>
        <v/>
      </c>
      <c r="AU149" t="inlineStr">
        <is>
          <t>3244172:eng</t>
        </is>
      </c>
      <c r="AV149" t="inlineStr">
        <is>
          <t>4172417</t>
        </is>
      </c>
      <c r="AW149" t="inlineStr">
        <is>
          <t>991004600879702656</t>
        </is>
      </c>
      <c r="AX149" t="inlineStr">
        <is>
          <t>991004600879702656</t>
        </is>
      </c>
      <c r="AY149" t="inlineStr">
        <is>
          <t>2270844440002656</t>
        </is>
      </c>
      <c r="AZ149" t="inlineStr">
        <is>
          <t>BOOK</t>
        </is>
      </c>
      <c r="BC149" t="inlineStr">
        <is>
          <t>32285000808773</t>
        </is>
      </c>
      <c r="BD149" t="inlineStr">
        <is>
          <t>893532577</t>
        </is>
      </c>
    </row>
    <row r="150">
      <c r="A150" t="inlineStr">
        <is>
          <t>No</t>
        </is>
      </c>
      <c r="B150" t="inlineStr">
        <is>
          <t>BT1116.O7 F7</t>
        </is>
      </c>
      <c r="C150" t="inlineStr">
        <is>
          <t>0                      BT 1116000O  7                  F  7</t>
        </is>
      </c>
      <c r="D150" t="inlineStr">
        <is>
          <t>Contre Celse ... [par] Origène. Introduction, texte critique, traduction et notes par Marcel Borret.</t>
        </is>
      </c>
      <c r="E150" t="inlineStr">
        <is>
          <t>V.1</t>
        </is>
      </c>
      <c r="F150" t="inlineStr">
        <is>
          <t>Yes</t>
        </is>
      </c>
      <c r="G150" t="inlineStr">
        <is>
          <t>1</t>
        </is>
      </c>
      <c r="H150" t="inlineStr">
        <is>
          <t>No</t>
        </is>
      </c>
      <c r="I150" t="inlineStr">
        <is>
          <t>No</t>
        </is>
      </c>
      <c r="J150" t="inlineStr">
        <is>
          <t>0</t>
        </is>
      </c>
      <c r="K150" t="inlineStr">
        <is>
          <t>Origen.</t>
        </is>
      </c>
      <c r="L150" t="inlineStr">
        <is>
          <t>Paris, Éditions du Cerf, 1967-76.</t>
        </is>
      </c>
      <c r="M150" t="inlineStr">
        <is>
          <t>1967</t>
        </is>
      </c>
      <c r="O150" t="inlineStr">
        <is>
          <t>fre</t>
        </is>
      </c>
      <c r="P150" t="inlineStr">
        <is>
          <t>___</t>
        </is>
      </c>
      <c r="Q150" t="inlineStr">
        <is>
          <t>Sources chrétiennes ; no 132, 136, 147, 150, 227</t>
        </is>
      </c>
      <c r="R150" t="inlineStr">
        <is>
          <t xml:space="preserve">BT </t>
        </is>
      </c>
      <c r="S150" t="n">
        <v>4</v>
      </c>
      <c r="T150" t="n">
        <v>9</v>
      </c>
      <c r="U150" t="inlineStr">
        <is>
          <t>2001-10-25</t>
        </is>
      </c>
      <c r="V150" t="inlineStr">
        <is>
          <t>2002-03-27</t>
        </is>
      </c>
      <c r="W150" t="inlineStr">
        <is>
          <t>1991-11-04</t>
        </is>
      </c>
      <c r="X150" t="inlineStr">
        <is>
          <t>1991-11-04</t>
        </is>
      </c>
      <c r="Y150" t="n">
        <v>256</v>
      </c>
      <c r="Z150" t="n">
        <v>173</v>
      </c>
      <c r="AA150" t="n">
        <v>185</v>
      </c>
      <c r="AB150" t="n">
        <v>2</v>
      </c>
      <c r="AC150" t="n">
        <v>2</v>
      </c>
      <c r="AD150" t="n">
        <v>18</v>
      </c>
      <c r="AE150" t="n">
        <v>19</v>
      </c>
      <c r="AF150" t="n">
        <v>5</v>
      </c>
      <c r="AG150" t="n">
        <v>6</v>
      </c>
      <c r="AH150" t="n">
        <v>3</v>
      </c>
      <c r="AI150" t="n">
        <v>4</v>
      </c>
      <c r="AJ150" t="n">
        <v>14</v>
      </c>
      <c r="AK150" t="n">
        <v>14</v>
      </c>
      <c r="AL150" t="n">
        <v>1</v>
      </c>
      <c r="AM150" t="n">
        <v>1</v>
      </c>
      <c r="AN150" t="n">
        <v>0</v>
      </c>
      <c r="AO150" t="n">
        <v>0</v>
      </c>
      <c r="AP150" t="inlineStr">
        <is>
          <t>No</t>
        </is>
      </c>
      <c r="AQ150" t="inlineStr">
        <is>
          <t>Yes</t>
        </is>
      </c>
      <c r="AR150">
        <f>HYPERLINK("http://catalog.hathitrust.org/Record/001399454","HathiTrust Record")</f>
        <v/>
      </c>
      <c r="AS150">
        <f>HYPERLINK("https://creighton-primo.hosted.exlibrisgroup.com/primo-explore/search?tab=default_tab&amp;search_scope=EVERYTHING&amp;vid=01CRU&amp;lang=en_US&amp;offset=0&amp;query=any,contains,991003471329702656","Catalog Record")</f>
        <v/>
      </c>
      <c r="AT150">
        <f>HYPERLINK("http://www.worldcat.org/oclc/10473946","WorldCat Record")</f>
        <v/>
      </c>
      <c r="AU150" t="inlineStr">
        <is>
          <t>4926486700:fre</t>
        </is>
      </c>
      <c r="AV150" t="inlineStr">
        <is>
          <t>10473946</t>
        </is>
      </c>
      <c r="AW150" t="inlineStr">
        <is>
          <t>991003471329702656</t>
        </is>
      </c>
      <c r="AX150" t="inlineStr">
        <is>
          <t>991003471329702656</t>
        </is>
      </c>
      <c r="AY150" t="inlineStr">
        <is>
          <t>2256971510002656</t>
        </is>
      </c>
      <c r="AZ150" t="inlineStr">
        <is>
          <t>BOOK</t>
        </is>
      </c>
      <c r="BC150" t="inlineStr">
        <is>
          <t>32285000808799</t>
        </is>
      </c>
      <c r="BD150" t="inlineStr">
        <is>
          <t>893445676</t>
        </is>
      </c>
    </row>
    <row r="151">
      <c r="A151" t="inlineStr">
        <is>
          <t>No</t>
        </is>
      </c>
      <c r="B151" t="inlineStr">
        <is>
          <t>BT1116.O7 F7</t>
        </is>
      </c>
      <c r="C151" t="inlineStr">
        <is>
          <t>0                      BT 1116000O  7                  F  7</t>
        </is>
      </c>
      <c r="D151" t="inlineStr">
        <is>
          <t>Contre Celse ... [par] Origène. Introduction, texte critique, traduction et notes par Marcel Borret.</t>
        </is>
      </c>
      <c r="E151" t="inlineStr">
        <is>
          <t>V.4</t>
        </is>
      </c>
      <c r="F151" t="inlineStr">
        <is>
          <t>Yes</t>
        </is>
      </c>
      <c r="G151" t="inlineStr">
        <is>
          <t>1</t>
        </is>
      </c>
      <c r="H151" t="inlineStr">
        <is>
          <t>No</t>
        </is>
      </c>
      <c r="I151" t="inlineStr">
        <is>
          <t>No</t>
        </is>
      </c>
      <c r="J151" t="inlineStr">
        <is>
          <t>0</t>
        </is>
      </c>
      <c r="K151" t="inlineStr">
        <is>
          <t>Origen.</t>
        </is>
      </c>
      <c r="L151" t="inlineStr">
        <is>
          <t>Paris, Éditions du Cerf, 1967-76.</t>
        </is>
      </c>
      <c r="M151" t="inlineStr">
        <is>
          <t>1967</t>
        </is>
      </c>
      <c r="O151" t="inlineStr">
        <is>
          <t>fre</t>
        </is>
      </c>
      <c r="P151" t="inlineStr">
        <is>
          <t>___</t>
        </is>
      </c>
      <c r="Q151" t="inlineStr">
        <is>
          <t>Sources chrétiennes ; no 132, 136, 147, 150, 227</t>
        </is>
      </c>
      <c r="R151" t="inlineStr">
        <is>
          <t xml:space="preserve">BT </t>
        </is>
      </c>
      <c r="S151" t="n">
        <v>1</v>
      </c>
      <c r="T151" t="n">
        <v>9</v>
      </c>
      <c r="U151" t="inlineStr">
        <is>
          <t>2001-10-25</t>
        </is>
      </c>
      <c r="V151" t="inlineStr">
        <is>
          <t>2002-03-27</t>
        </is>
      </c>
      <c r="W151" t="inlineStr">
        <is>
          <t>1991-11-04</t>
        </is>
      </c>
      <c r="X151" t="inlineStr">
        <is>
          <t>1991-11-04</t>
        </is>
      </c>
      <c r="Y151" t="n">
        <v>256</v>
      </c>
      <c r="Z151" t="n">
        <v>173</v>
      </c>
      <c r="AA151" t="n">
        <v>185</v>
      </c>
      <c r="AB151" t="n">
        <v>2</v>
      </c>
      <c r="AC151" t="n">
        <v>2</v>
      </c>
      <c r="AD151" t="n">
        <v>18</v>
      </c>
      <c r="AE151" t="n">
        <v>19</v>
      </c>
      <c r="AF151" t="n">
        <v>5</v>
      </c>
      <c r="AG151" t="n">
        <v>6</v>
      </c>
      <c r="AH151" t="n">
        <v>3</v>
      </c>
      <c r="AI151" t="n">
        <v>4</v>
      </c>
      <c r="AJ151" t="n">
        <v>14</v>
      </c>
      <c r="AK151" t="n">
        <v>14</v>
      </c>
      <c r="AL151" t="n">
        <v>1</v>
      </c>
      <c r="AM151" t="n">
        <v>1</v>
      </c>
      <c r="AN151" t="n">
        <v>0</v>
      </c>
      <c r="AO151" t="n">
        <v>0</v>
      </c>
      <c r="AP151" t="inlineStr">
        <is>
          <t>No</t>
        </is>
      </c>
      <c r="AQ151" t="inlineStr">
        <is>
          <t>Yes</t>
        </is>
      </c>
      <c r="AR151">
        <f>HYPERLINK("http://catalog.hathitrust.org/Record/001399454","HathiTrust Record")</f>
        <v/>
      </c>
      <c r="AS151">
        <f>HYPERLINK("https://creighton-primo.hosted.exlibrisgroup.com/primo-explore/search?tab=default_tab&amp;search_scope=EVERYTHING&amp;vid=01CRU&amp;lang=en_US&amp;offset=0&amp;query=any,contains,991003471329702656","Catalog Record")</f>
        <v/>
      </c>
      <c r="AT151">
        <f>HYPERLINK("http://www.worldcat.org/oclc/10473946","WorldCat Record")</f>
        <v/>
      </c>
      <c r="AU151" t="inlineStr">
        <is>
          <t>4926486700:fre</t>
        </is>
      </c>
      <c r="AV151" t="inlineStr">
        <is>
          <t>10473946</t>
        </is>
      </c>
      <c r="AW151" t="inlineStr">
        <is>
          <t>991003471329702656</t>
        </is>
      </c>
      <c r="AX151" t="inlineStr">
        <is>
          <t>991003471329702656</t>
        </is>
      </c>
      <c r="AY151" t="inlineStr">
        <is>
          <t>2256971510002656</t>
        </is>
      </c>
      <c r="AZ151" t="inlineStr">
        <is>
          <t>BOOK</t>
        </is>
      </c>
      <c r="BC151" t="inlineStr">
        <is>
          <t>32285000808831</t>
        </is>
      </c>
      <c r="BD151" t="inlineStr">
        <is>
          <t>893441315</t>
        </is>
      </c>
    </row>
    <row r="152">
      <c r="A152" t="inlineStr">
        <is>
          <t>No</t>
        </is>
      </c>
      <c r="B152" t="inlineStr">
        <is>
          <t>BT1116.O7 F7</t>
        </is>
      </c>
      <c r="C152" t="inlineStr">
        <is>
          <t>0                      BT 1116000O  7                  F  7</t>
        </is>
      </c>
      <c r="D152" t="inlineStr">
        <is>
          <t>Contre Celse ... [par] Origène. Introduction, texte critique, traduction et notes par Marcel Borret.</t>
        </is>
      </c>
      <c r="E152" t="inlineStr">
        <is>
          <t>V.2</t>
        </is>
      </c>
      <c r="F152" t="inlineStr">
        <is>
          <t>Yes</t>
        </is>
      </c>
      <c r="G152" t="inlineStr">
        <is>
          <t>1</t>
        </is>
      </c>
      <c r="H152" t="inlineStr">
        <is>
          <t>No</t>
        </is>
      </c>
      <c r="I152" t="inlineStr">
        <is>
          <t>No</t>
        </is>
      </c>
      <c r="J152" t="inlineStr">
        <is>
          <t>0</t>
        </is>
      </c>
      <c r="K152" t="inlineStr">
        <is>
          <t>Origen.</t>
        </is>
      </c>
      <c r="L152" t="inlineStr">
        <is>
          <t>Paris, Éditions du Cerf, 1967-76.</t>
        </is>
      </c>
      <c r="M152" t="inlineStr">
        <is>
          <t>1967</t>
        </is>
      </c>
      <c r="O152" t="inlineStr">
        <is>
          <t>fre</t>
        </is>
      </c>
      <c r="P152" t="inlineStr">
        <is>
          <t>___</t>
        </is>
      </c>
      <c r="Q152" t="inlineStr">
        <is>
          <t>Sources chrétiennes ; no 132, 136, 147, 150, 227</t>
        </is>
      </c>
      <c r="R152" t="inlineStr">
        <is>
          <t xml:space="preserve">BT </t>
        </is>
      </c>
      <c r="S152" t="n">
        <v>1</v>
      </c>
      <c r="T152" t="n">
        <v>9</v>
      </c>
      <c r="U152" t="inlineStr">
        <is>
          <t>2001-10-25</t>
        </is>
      </c>
      <c r="V152" t="inlineStr">
        <is>
          <t>2002-03-27</t>
        </is>
      </c>
      <c r="W152" t="inlineStr">
        <is>
          <t>1991-11-04</t>
        </is>
      </c>
      <c r="X152" t="inlineStr">
        <is>
          <t>1991-11-04</t>
        </is>
      </c>
      <c r="Y152" t="n">
        <v>256</v>
      </c>
      <c r="Z152" t="n">
        <v>173</v>
      </c>
      <c r="AA152" t="n">
        <v>185</v>
      </c>
      <c r="AB152" t="n">
        <v>2</v>
      </c>
      <c r="AC152" t="n">
        <v>2</v>
      </c>
      <c r="AD152" t="n">
        <v>18</v>
      </c>
      <c r="AE152" t="n">
        <v>19</v>
      </c>
      <c r="AF152" t="n">
        <v>5</v>
      </c>
      <c r="AG152" t="n">
        <v>6</v>
      </c>
      <c r="AH152" t="n">
        <v>3</v>
      </c>
      <c r="AI152" t="n">
        <v>4</v>
      </c>
      <c r="AJ152" t="n">
        <v>14</v>
      </c>
      <c r="AK152" t="n">
        <v>14</v>
      </c>
      <c r="AL152" t="n">
        <v>1</v>
      </c>
      <c r="AM152" t="n">
        <v>1</v>
      </c>
      <c r="AN152" t="n">
        <v>0</v>
      </c>
      <c r="AO152" t="n">
        <v>0</v>
      </c>
      <c r="AP152" t="inlineStr">
        <is>
          <t>No</t>
        </is>
      </c>
      <c r="AQ152" t="inlineStr">
        <is>
          <t>Yes</t>
        </is>
      </c>
      <c r="AR152">
        <f>HYPERLINK("http://catalog.hathitrust.org/Record/001399454","HathiTrust Record")</f>
        <v/>
      </c>
      <c r="AS152">
        <f>HYPERLINK("https://creighton-primo.hosted.exlibrisgroup.com/primo-explore/search?tab=default_tab&amp;search_scope=EVERYTHING&amp;vid=01CRU&amp;lang=en_US&amp;offset=0&amp;query=any,contains,991003471329702656","Catalog Record")</f>
        <v/>
      </c>
      <c r="AT152">
        <f>HYPERLINK("http://www.worldcat.org/oclc/10473946","WorldCat Record")</f>
        <v/>
      </c>
      <c r="AU152" t="inlineStr">
        <is>
          <t>4926486700:fre</t>
        </is>
      </c>
      <c r="AV152" t="inlineStr">
        <is>
          <t>10473946</t>
        </is>
      </c>
      <c r="AW152" t="inlineStr">
        <is>
          <t>991003471329702656</t>
        </is>
      </c>
      <c r="AX152" t="inlineStr">
        <is>
          <t>991003471329702656</t>
        </is>
      </c>
      <c r="AY152" t="inlineStr">
        <is>
          <t>2256971510002656</t>
        </is>
      </c>
      <c r="AZ152" t="inlineStr">
        <is>
          <t>BOOK</t>
        </is>
      </c>
      <c r="BC152" t="inlineStr">
        <is>
          <t>32285000808815</t>
        </is>
      </c>
      <c r="BD152" t="inlineStr">
        <is>
          <t>893445677</t>
        </is>
      </c>
    </row>
    <row r="153">
      <c r="A153" t="inlineStr">
        <is>
          <t>No</t>
        </is>
      </c>
      <c r="B153" t="inlineStr">
        <is>
          <t>BT1116.O7 F7</t>
        </is>
      </c>
      <c r="C153" t="inlineStr">
        <is>
          <t>0                      BT 1116000O  7                  F  7</t>
        </is>
      </c>
      <c r="D153" t="inlineStr">
        <is>
          <t>Contre Celse ... [par] Origène. Introduction, texte critique, traduction et notes par Marcel Borret.</t>
        </is>
      </c>
      <c r="E153" t="inlineStr">
        <is>
          <t>V.5</t>
        </is>
      </c>
      <c r="F153" t="inlineStr">
        <is>
          <t>Yes</t>
        </is>
      </c>
      <c r="G153" t="inlineStr">
        <is>
          <t>1</t>
        </is>
      </c>
      <c r="H153" t="inlineStr">
        <is>
          <t>No</t>
        </is>
      </c>
      <c r="I153" t="inlineStr">
        <is>
          <t>No</t>
        </is>
      </c>
      <c r="J153" t="inlineStr">
        <is>
          <t>0</t>
        </is>
      </c>
      <c r="K153" t="inlineStr">
        <is>
          <t>Origen.</t>
        </is>
      </c>
      <c r="L153" t="inlineStr">
        <is>
          <t>Paris, Éditions du Cerf, 1967-76.</t>
        </is>
      </c>
      <c r="M153" t="inlineStr">
        <is>
          <t>1967</t>
        </is>
      </c>
      <c r="O153" t="inlineStr">
        <is>
          <t>fre</t>
        </is>
      </c>
      <c r="P153" t="inlineStr">
        <is>
          <t>___</t>
        </is>
      </c>
      <c r="Q153" t="inlineStr">
        <is>
          <t>Sources chrétiennes ; no 132, 136, 147, 150, 227</t>
        </is>
      </c>
      <c r="R153" t="inlineStr">
        <is>
          <t xml:space="preserve">BT </t>
        </is>
      </c>
      <c r="S153" t="n">
        <v>1</v>
      </c>
      <c r="T153" t="n">
        <v>9</v>
      </c>
      <c r="U153" t="inlineStr">
        <is>
          <t>2001-10-25</t>
        </is>
      </c>
      <c r="V153" t="inlineStr">
        <is>
          <t>2002-03-27</t>
        </is>
      </c>
      <c r="W153" t="inlineStr">
        <is>
          <t>1991-11-04</t>
        </is>
      </c>
      <c r="X153" t="inlineStr">
        <is>
          <t>1991-11-04</t>
        </is>
      </c>
      <c r="Y153" t="n">
        <v>256</v>
      </c>
      <c r="Z153" t="n">
        <v>173</v>
      </c>
      <c r="AA153" t="n">
        <v>185</v>
      </c>
      <c r="AB153" t="n">
        <v>2</v>
      </c>
      <c r="AC153" t="n">
        <v>2</v>
      </c>
      <c r="AD153" t="n">
        <v>18</v>
      </c>
      <c r="AE153" t="n">
        <v>19</v>
      </c>
      <c r="AF153" t="n">
        <v>5</v>
      </c>
      <c r="AG153" t="n">
        <v>6</v>
      </c>
      <c r="AH153" t="n">
        <v>3</v>
      </c>
      <c r="AI153" t="n">
        <v>4</v>
      </c>
      <c r="AJ153" t="n">
        <v>14</v>
      </c>
      <c r="AK153" t="n">
        <v>14</v>
      </c>
      <c r="AL153" t="n">
        <v>1</v>
      </c>
      <c r="AM153" t="n">
        <v>1</v>
      </c>
      <c r="AN153" t="n">
        <v>0</v>
      </c>
      <c r="AO153" t="n">
        <v>0</v>
      </c>
      <c r="AP153" t="inlineStr">
        <is>
          <t>No</t>
        </is>
      </c>
      <c r="AQ153" t="inlineStr">
        <is>
          <t>Yes</t>
        </is>
      </c>
      <c r="AR153">
        <f>HYPERLINK("http://catalog.hathitrust.org/Record/001399454","HathiTrust Record")</f>
        <v/>
      </c>
      <c r="AS153">
        <f>HYPERLINK("https://creighton-primo.hosted.exlibrisgroup.com/primo-explore/search?tab=default_tab&amp;search_scope=EVERYTHING&amp;vid=01CRU&amp;lang=en_US&amp;offset=0&amp;query=any,contains,991003471329702656","Catalog Record")</f>
        <v/>
      </c>
      <c r="AT153">
        <f>HYPERLINK("http://www.worldcat.org/oclc/10473946","WorldCat Record")</f>
        <v/>
      </c>
      <c r="AU153" t="inlineStr">
        <is>
          <t>4926486700:fre</t>
        </is>
      </c>
      <c r="AV153" t="inlineStr">
        <is>
          <t>10473946</t>
        </is>
      </c>
      <c r="AW153" t="inlineStr">
        <is>
          <t>991003471329702656</t>
        </is>
      </c>
      <c r="AX153" t="inlineStr">
        <is>
          <t>991003471329702656</t>
        </is>
      </c>
      <c r="AY153" t="inlineStr">
        <is>
          <t>2256971510002656</t>
        </is>
      </c>
      <c r="AZ153" t="inlineStr">
        <is>
          <t>BOOK</t>
        </is>
      </c>
      <c r="BC153" t="inlineStr">
        <is>
          <t>32285000808849</t>
        </is>
      </c>
      <c r="BD153" t="inlineStr">
        <is>
          <t>893410305</t>
        </is>
      </c>
    </row>
    <row r="154">
      <c r="A154" t="inlineStr">
        <is>
          <t>No</t>
        </is>
      </c>
      <c r="B154" t="inlineStr">
        <is>
          <t>BT1116.O7 F7</t>
        </is>
      </c>
      <c r="C154" t="inlineStr">
        <is>
          <t>0                      BT 1116000O  7                  F  7</t>
        </is>
      </c>
      <c r="D154" t="inlineStr">
        <is>
          <t>Contre Celse ... [par] Origène. Introduction, texte critique, traduction et notes par Marcel Borret.</t>
        </is>
      </c>
      <c r="E154" t="inlineStr">
        <is>
          <t>V.3</t>
        </is>
      </c>
      <c r="F154" t="inlineStr">
        <is>
          <t>Yes</t>
        </is>
      </c>
      <c r="G154" t="inlineStr">
        <is>
          <t>1</t>
        </is>
      </c>
      <c r="H154" t="inlineStr">
        <is>
          <t>No</t>
        </is>
      </c>
      <c r="I154" t="inlineStr">
        <is>
          <t>No</t>
        </is>
      </c>
      <c r="J154" t="inlineStr">
        <is>
          <t>0</t>
        </is>
      </c>
      <c r="K154" t="inlineStr">
        <is>
          <t>Origen.</t>
        </is>
      </c>
      <c r="L154" t="inlineStr">
        <is>
          <t>Paris, Éditions du Cerf, 1967-76.</t>
        </is>
      </c>
      <c r="M154" t="inlineStr">
        <is>
          <t>1967</t>
        </is>
      </c>
      <c r="O154" t="inlineStr">
        <is>
          <t>fre</t>
        </is>
      </c>
      <c r="P154" t="inlineStr">
        <is>
          <t>___</t>
        </is>
      </c>
      <c r="Q154" t="inlineStr">
        <is>
          <t>Sources chrétiennes ; no 132, 136, 147, 150, 227</t>
        </is>
      </c>
      <c r="R154" t="inlineStr">
        <is>
          <t xml:space="preserve">BT </t>
        </is>
      </c>
      <c r="S154" t="n">
        <v>2</v>
      </c>
      <c r="T154" t="n">
        <v>9</v>
      </c>
      <c r="U154" t="inlineStr">
        <is>
          <t>2002-03-27</t>
        </is>
      </c>
      <c r="V154" t="inlineStr">
        <is>
          <t>2002-03-27</t>
        </is>
      </c>
      <c r="W154" t="inlineStr">
        <is>
          <t>1991-11-04</t>
        </is>
      </c>
      <c r="X154" t="inlineStr">
        <is>
          <t>1991-11-04</t>
        </is>
      </c>
      <c r="Y154" t="n">
        <v>256</v>
      </c>
      <c r="Z154" t="n">
        <v>173</v>
      </c>
      <c r="AA154" t="n">
        <v>185</v>
      </c>
      <c r="AB154" t="n">
        <v>2</v>
      </c>
      <c r="AC154" t="n">
        <v>2</v>
      </c>
      <c r="AD154" t="n">
        <v>18</v>
      </c>
      <c r="AE154" t="n">
        <v>19</v>
      </c>
      <c r="AF154" t="n">
        <v>5</v>
      </c>
      <c r="AG154" t="n">
        <v>6</v>
      </c>
      <c r="AH154" t="n">
        <v>3</v>
      </c>
      <c r="AI154" t="n">
        <v>4</v>
      </c>
      <c r="AJ154" t="n">
        <v>14</v>
      </c>
      <c r="AK154" t="n">
        <v>14</v>
      </c>
      <c r="AL154" t="n">
        <v>1</v>
      </c>
      <c r="AM154" t="n">
        <v>1</v>
      </c>
      <c r="AN154" t="n">
        <v>0</v>
      </c>
      <c r="AO154" t="n">
        <v>0</v>
      </c>
      <c r="AP154" t="inlineStr">
        <is>
          <t>No</t>
        </is>
      </c>
      <c r="AQ154" t="inlineStr">
        <is>
          <t>Yes</t>
        </is>
      </c>
      <c r="AR154">
        <f>HYPERLINK("http://catalog.hathitrust.org/Record/001399454","HathiTrust Record")</f>
        <v/>
      </c>
      <c r="AS154">
        <f>HYPERLINK("https://creighton-primo.hosted.exlibrisgroup.com/primo-explore/search?tab=default_tab&amp;search_scope=EVERYTHING&amp;vid=01CRU&amp;lang=en_US&amp;offset=0&amp;query=any,contains,991003471329702656","Catalog Record")</f>
        <v/>
      </c>
      <c r="AT154">
        <f>HYPERLINK("http://www.worldcat.org/oclc/10473946","WorldCat Record")</f>
        <v/>
      </c>
      <c r="AU154" t="inlineStr">
        <is>
          <t>4926486700:fre</t>
        </is>
      </c>
      <c r="AV154" t="inlineStr">
        <is>
          <t>10473946</t>
        </is>
      </c>
      <c r="AW154" t="inlineStr">
        <is>
          <t>991003471329702656</t>
        </is>
      </c>
      <c r="AX154" t="inlineStr">
        <is>
          <t>991003471329702656</t>
        </is>
      </c>
      <c r="AY154" t="inlineStr">
        <is>
          <t>2256971510002656</t>
        </is>
      </c>
      <c r="AZ154" t="inlineStr">
        <is>
          <t>BOOK</t>
        </is>
      </c>
      <c r="BC154" t="inlineStr">
        <is>
          <t>32285000808823</t>
        </is>
      </c>
      <c r="BD154" t="inlineStr">
        <is>
          <t>893410306</t>
        </is>
      </c>
    </row>
    <row r="155">
      <c r="A155" t="inlineStr">
        <is>
          <t>No</t>
        </is>
      </c>
      <c r="B155" t="inlineStr">
        <is>
          <t>BT1117 .P87 1981</t>
        </is>
      </c>
      <c r="C155" t="inlineStr">
        <is>
          <t>0                      BT 1117000P  87          1981</t>
        </is>
      </c>
      <c r="D155" t="inlineStr">
        <is>
          <t>C.S. Lewis's case for the Christian faith / Richard L. Purtill.</t>
        </is>
      </c>
      <c r="F155" t="inlineStr">
        <is>
          <t>No</t>
        </is>
      </c>
      <c r="G155" t="inlineStr">
        <is>
          <t>1</t>
        </is>
      </c>
      <c r="H155" t="inlineStr">
        <is>
          <t>No</t>
        </is>
      </c>
      <c r="I155" t="inlineStr">
        <is>
          <t>No</t>
        </is>
      </c>
      <c r="J155" t="inlineStr">
        <is>
          <t>0</t>
        </is>
      </c>
      <c r="K155" t="inlineStr">
        <is>
          <t>Purtill, Richard L., 1931-</t>
        </is>
      </c>
      <c r="L155" t="inlineStr">
        <is>
          <t>San Francisco : Harper &amp; Row, c1981.</t>
        </is>
      </c>
      <c r="M155" t="inlineStr">
        <is>
          <t>1981</t>
        </is>
      </c>
      <c r="N155" t="inlineStr">
        <is>
          <t>1st ed.</t>
        </is>
      </c>
      <c r="O155" t="inlineStr">
        <is>
          <t>eng</t>
        </is>
      </c>
      <c r="P155" t="inlineStr">
        <is>
          <t>cau</t>
        </is>
      </c>
      <c r="R155" t="inlineStr">
        <is>
          <t xml:space="preserve">BT </t>
        </is>
      </c>
      <c r="S155" t="n">
        <v>11</v>
      </c>
      <c r="T155" t="n">
        <v>11</v>
      </c>
      <c r="U155" t="inlineStr">
        <is>
          <t>2000-04-24</t>
        </is>
      </c>
      <c r="V155" t="inlineStr">
        <is>
          <t>2000-04-24</t>
        </is>
      </c>
      <c r="W155" t="inlineStr">
        <is>
          <t>1990-08-08</t>
        </is>
      </c>
      <c r="X155" t="inlineStr">
        <is>
          <t>1990-08-08</t>
        </is>
      </c>
      <c r="Y155" t="n">
        <v>852</v>
      </c>
      <c r="Z155" t="n">
        <v>770</v>
      </c>
      <c r="AA155" t="n">
        <v>829</v>
      </c>
      <c r="AB155" t="n">
        <v>4</v>
      </c>
      <c r="AC155" t="n">
        <v>5</v>
      </c>
      <c r="AD155" t="n">
        <v>19</v>
      </c>
      <c r="AE155" t="n">
        <v>25</v>
      </c>
      <c r="AF155" t="n">
        <v>6</v>
      </c>
      <c r="AG155" t="n">
        <v>9</v>
      </c>
      <c r="AH155" t="n">
        <v>5</v>
      </c>
      <c r="AI155" t="n">
        <v>6</v>
      </c>
      <c r="AJ155" t="n">
        <v>11</v>
      </c>
      <c r="AK155" t="n">
        <v>15</v>
      </c>
      <c r="AL155" t="n">
        <v>1</v>
      </c>
      <c r="AM155" t="n">
        <v>2</v>
      </c>
      <c r="AN155" t="n">
        <v>0</v>
      </c>
      <c r="AO155" t="n">
        <v>0</v>
      </c>
      <c r="AP155" t="inlineStr">
        <is>
          <t>No</t>
        </is>
      </c>
      <c r="AQ155" t="inlineStr">
        <is>
          <t>Yes</t>
        </is>
      </c>
      <c r="AR155">
        <f>HYPERLINK("http://catalog.hathitrust.org/Record/000186477","HathiTrust Record")</f>
        <v/>
      </c>
      <c r="AS155">
        <f>HYPERLINK("https://creighton-primo.hosted.exlibrisgroup.com/primo-explore/search?tab=default_tab&amp;search_scope=EVERYTHING&amp;vid=01CRU&amp;lang=en_US&amp;offset=0&amp;query=any,contains,991005148109702656","Catalog Record")</f>
        <v/>
      </c>
      <c r="AT155">
        <f>HYPERLINK("http://www.worldcat.org/oclc/7672821","WorldCat Record")</f>
        <v/>
      </c>
      <c r="AU155" t="inlineStr">
        <is>
          <t>28378812:eng</t>
        </is>
      </c>
      <c r="AV155" t="inlineStr">
        <is>
          <t>7672821</t>
        </is>
      </c>
      <c r="AW155" t="inlineStr">
        <is>
          <t>991005148109702656</t>
        </is>
      </c>
      <c r="AX155" t="inlineStr">
        <is>
          <t>991005148109702656</t>
        </is>
      </c>
      <c r="AY155" t="inlineStr">
        <is>
          <t>2271422940002656</t>
        </is>
      </c>
      <c r="AZ155" t="inlineStr">
        <is>
          <t>BOOK</t>
        </is>
      </c>
      <c r="BB155" t="inlineStr">
        <is>
          <t>9780060667115</t>
        </is>
      </c>
      <c r="BC155" t="inlineStr">
        <is>
          <t>32285000269646</t>
        </is>
      </c>
      <c r="BD155" t="inlineStr">
        <is>
          <t>893326243</t>
        </is>
      </c>
    </row>
    <row r="156">
      <c r="A156" t="inlineStr">
        <is>
          <t>No</t>
        </is>
      </c>
      <c r="B156" t="inlineStr">
        <is>
          <t>BT1120 .T6 1985</t>
        </is>
      </c>
      <c r="C156" t="inlineStr">
        <is>
          <t>0                      BT 1120000T  6           1985</t>
        </is>
      </c>
      <c r="D156" t="inlineStr">
        <is>
          <t>"To see ourselves as others see us" : Christians, Jews, "others" in late antiquity / edited by Jacob Neusner and Ernest S. Frerichs ; literary editor, Caroline McCracken-Flesher.</t>
        </is>
      </c>
      <c r="F156" t="inlineStr">
        <is>
          <t>No</t>
        </is>
      </c>
      <c r="G156" t="inlineStr">
        <is>
          <t>1</t>
        </is>
      </c>
      <c r="H156" t="inlineStr">
        <is>
          <t>No</t>
        </is>
      </c>
      <c r="I156" t="inlineStr">
        <is>
          <t>No</t>
        </is>
      </c>
      <c r="J156" t="inlineStr">
        <is>
          <t>0</t>
        </is>
      </c>
      <c r="L156" t="inlineStr">
        <is>
          <t>Chico, Calif. : Scholars Press, c1985.</t>
        </is>
      </c>
      <c r="M156" t="inlineStr">
        <is>
          <t>1985</t>
        </is>
      </c>
      <c r="O156" t="inlineStr">
        <is>
          <t>eng</t>
        </is>
      </c>
      <c r="P156" t="inlineStr">
        <is>
          <t>cau</t>
        </is>
      </c>
      <c r="Q156" t="inlineStr">
        <is>
          <t>Scholars Press studies in the humanities</t>
        </is>
      </c>
      <c r="R156" t="inlineStr">
        <is>
          <t xml:space="preserve">BT </t>
        </is>
      </c>
      <c r="S156" t="n">
        <v>10</v>
      </c>
      <c r="T156" t="n">
        <v>10</v>
      </c>
      <c r="U156" t="inlineStr">
        <is>
          <t>2005-04-25</t>
        </is>
      </c>
      <c r="V156" t="inlineStr">
        <is>
          <t>2005-04-25</t>
        </is>
      </c>
      <c r="W156" t="inlineStr">
        <is>
          <t>1990-08-08</t>
        </is>
      </c>
      <c r="X156" t="inlineStr">
        <is>
          <t>1990-08-08</t>
        </is>
      </c>
      <c r="Y156" t="n">
        <v>388</v>
      </c>
      <c r="Z156" t="n">
        <v>288</v>
      </c>
      <c r="AA156" t="n">
        <v>290</v>
      </c>
      <c r="AB156" t="n">
        <v>3</v>
      </c>
      <c r="AC156" t="n">
        <v>3</v>
      </c>
      <c r="AD156" t="n">
        <v>18</v>
      </c>
      <c r="AE156" t="n">
        <v>18</v>
      </c>
      <c r="AF156" t="n">
        <v>5</v>
      </c>
      <c r="AG156" t="n">
        <v>5</v>
      </c>
      <c r="AH156" t="n">
        <v>4</v>
      </c>
      <c r="AI156" t="n">
        <v>4</v>
      </c>
      <c r="AJ156" t="n">
        <v>11</v>
      </c>
      <c r="AK156" t="n">
        <v>11</v>
      </c>
      <c r="AL156" t="n">
        <v>2</v>
      </c>
      <c r="AM156" t="n">
        <v>2</v>
      </c>
      <c r="AN156" t="n">
        <v>0</v>
      </c>
      <c r="AO156" t="n">
        <v>0</v>
      </c>
      <c r="AP156" t="inlineStr">
        <is>
          <t>No</t>
        </is>
      </c>
      <c r="AQ156" t="inlineStr">
        <is>
          <t>Yes</t>
        </is>
      </c>
      <c r="AR156">
        <f>HYPERLINK("http://catalog.hathitrust.org/Record/000390385","HathiTrust Record")</f>
        <v/>
      </c>
      <c r="AS156">
        <f>HYPERLINK("https://creighton-primo.hosted.exlibrisgroup.com/primo-explore/search?tab=default_tab&amp;search_scope=EVERYTHING&amp;vid=01CRU&amp;lang=en_US&amp;offset=0&amp;query=any,contains,991005405189702656","Catalog Record")</f>
        <v/>
      </c>
      <c r="AT156">
        <f>HYPERLINK("http://www.worldcat.org/oclc/11917606","WorldCat Record")</f>
        <v/>
      </c>
      <c r="AU156" t="inlineStr">
        <is>
          <t>890147022:eng</t>
        </is>
      </c>
      <c r="AV156" t="inlineStr">
        <is>
          <t>11917606</t>
        </is>
      </c>
      <c r="AW156" t="inlineStr">
        <is>
          <t>991005405189702656</t>
        </is>
      </c>
      <c r="AX156" t="inlineStr">
        <is>
          <t>991005405189702656</t>
        </is>
      </c>
      <c r="AY156" t="inlineStr">
        <is>
          <t>2267472340002656</t>
        </is>
      </c>
      <c r="AZ156" t="inlineStr">
        <is>
          <t>BOOK</t>
        </is>
      </c>
      <c r="BB156" t="inlineStr">
        <is>
          <t>9780891308195</t>
        </is>
      </c>
      <c r="BC156" t="inlineStr">
        <is>
          <t>32285000269653</t>
        </is>
      </c>
      <c r="BD156" t="inlineStr">
        <is>
          <t>893896405</t>
        </is>
      </c>
    </row>
    <row r="157">
      <c r="A157" t="inlineStr">
        <is>
          <t>No</t>
        </is>
      </c>
      <c r="B157" t="inlineStr">
        <is>
          <t>BT119 .B87 1989</t>
        </is>
      </c>
      <c r="C157" t="inlineStr">
        <is>
          <t>0                      BT 0119000B  87          1989</t>
        </is>
      </c>
      <c r="D157" t="inlineStr">
        <is>
          <t>The Holy Spirit : Eastern Christian traditions / Stanley M. Burgess.</t>
        </is>
      </c>
      <c r="F157" t="inlineStr">
        <is>
          <t>No</t>
        </is>
      </c>
      <c r="G157" t="inlineStr">
        <is>
          <t>1</t>
        </is>
      </c>
      <c r="H157" t="inlineStr">
        <is>
          <t>No</t>
        </is>
      </c>
      <c r="I157" t="inlineStr">
        <is>
          <t>No</t>
        </is>
      </c>
      <c r="J157" t="inlineStr">
        <is>
          <t>0</t>
        </is>
      </c>
      <c r="K157" t="inlineStr">
        <is>
          <t>Burgess, Stanley M., 1937-</t>
        </is>
      </c>
      <c r="L157" t="inlineStr">
        <is>
          <t>Peabody, Mass. : Hendrickson Publishers, c1989.</t>
        </is>
      </c>
      <c r="M157" t="inlineStr">
        <is>
          <t>1989</t>
        </is>
      </c>
      <c r="O157" t="inlineStr">
        <is>
          <t>eng</t>
        </is>
      </c>
      <c r="P157" t="inlineStr">
        <is>
          <t>mau</t>
        </is>
      </c>
      <c r="R157" t="inlineStr">
        <is>
          <t xml:space="preserve">BT </t>
        </is>
      </c>
      <c r="S157" t="n">
        <v>5</v>
      </c>
      <c r="T157" t="n">
        <v>5</v>
      </c>
      <c r="U157" t="inlineStr">
        <is>
          <t>1999-07-27</t>
        </is>
      </c>
      <c r="V157" t="inlineStr">
        <is>
          <t>1999-07-27</t>
        </is>
      </c>
      <c r="W157" t="inlineStr">
        <is>
          <t>1992-03-06</t>
        </is>
      </c>
      <c r="X157" t="inlineStr">
        <is>
          <t>1992-03-06</t>
        </is>
      </c>
      <c r="Y157" t="n">
        <v>313</v>
      </c>
      <c r="Z157" t="n">
        <v>251</v>
      </c>
      <c r="AA157" t="n">
        <v>256</v>
      </c>
      <c r="AB157" t="n">
        <v>2</v>
      </c>
      <c r="AC157" t="n">
        <v>2</v>
      </c>
      <c r="AD157" t="n">
        <v>14</v>
      </c>
      <c r="AE157" t="n">
        <v>14</v>
      </c>
      <c r="AF157" t="n">
        <v>7</v>
      </c>
      <c r="AG157" t="n">
        <v>7</v>
      </c>
      <c r="AH157" t="n">
        <v>4</v>
      </c>
      <c r="AI157" t="n">
        <v>4</v>
      </c>
      <c r="AJ157" t="n">
        <v>8</v>
      </c>
      <c r="AK157" t="n">
        <v>8</v>
      </c>
      <c r="AL157" t="n">
        <v>0</v>
      </c>
      <c r="AM157" t="n">
        <v>0</v>
      </c>
      <c r="AN157" t="n">
        <v>0</v>
      </c>
      <c r="AO157" t="n">
        <v>0</v>
      </c>
      <c r="AP157" t="inlineStr">
        <is>
          <t>No</t>
        </is>
      </c>
      <c r="AQ157" t="inlineStr">
        <is>
          <t>Yes</t>
        </is>
      </c>
      <c r="AR157">
        <f>HYPERLINK("http://catalog.hathitrust.org/Record/001834963","HathiTrust Record")</f>
        <v/>
      </c>
      <c r="AS157">
        <f>HYPERLINK("https://creighton-primo.hosted.exlibrisgroup.com/primo-explore/search?tab=default_tab&amp;search_scope=EVERYTHING&amp;vid=01CRU&amp;lang=en_US&amp;offset=0&amp;query=any,contains,991001490869702656","Catalog Record")</f>
        <v/>
      </c>
      <c r="AT157">
        <f>HYPERLINK("http://www.worldcat.org/oclc/19723025","WorldCat Record")</f>
        <v/>
      </c>
      <c r="AU157" t="inlineStr">
        <is>
          <t>3856317947:eng</t>
        </is>
      </c>
      <c r="AV157" t="inlineStr">
        <is>
          <t>19723025</t>
        </is>
      </c>
      <c r="AW157" t="inlineStr">
        <is>
          <t>991001490869702656</t>
        </is>
      </c>
      <c r="AX157" t="inlineStr">
        <is>
          <t>991001490869702656</t>
        </is>
      </c>
      <c r="AY157" t="inlineStr">
        <is>
          <t>2258713100002656</t>
        </is>
      </c>
      <c r="AZ157" t="inlineStr">
        <is>
          <t>BOOK</t>
        </is>
      </c>
      <c r="BB157" t="inlineStr">
        <is>
          <t>9780913573815</t>
        </is>
      </c>
      <c r="BC157" t="inlineStr">
        <is>
          <t>32285000937580</t>
        </is>
      </c>
      <c r="BD157" t="inlineStr">
        <is>
          <t>893878907</t>
        </is>
      </c>
    </row>
    <row r="158">
      <c r="A158" t="inlineStr">
        <is>
          <t>No</t>
        </is>
      </c>
      <c r="B158" t="inlineStr">
        <is>
          <t>BT119 .B89 1997</t>
        </is>
      </c>
      <c r="C158" t="inlineStr">
        <is>
          <t>0                      BT 0119000B  89          1997</t>
        </is>
      </c>
      <c r="D158" t="inlineStr">
        <is>
          <t>The Holy Spirit : ancient Christian traditions / Stanley M. Burgess.</t>
        </is>
      </c>
      <c r="F158" t="inlineStr">
        <is>
          <t>No</t>
        </is>
      </c>
      <c r="G158" t="inlineStr">
        <is>
          <t>1</t>
        </is>
      </c>
      <c r="H158" t="inlineStr">
        <is>
          <t>No</t>
        </is>
      </c>
      <c r="I158" t="inlineStr">
        <is>
          <t>No</t>
        </is>
      </c>
      <c r="J158" t="inlineStr">
        <is>
          <t>0</t>
        </is>
      </c>
      <c r="K158" t="inlineStr">
        <is>
          <t>Burgess, Stanley M., 1937-</t>
        </is>
      </c>
      <c r="L158" t="inlineStr">
        <is>
          <t>Peabody, Mass. : Hendrickson Publishers, 1997, c1984.</t>
        </is>
      </c>
      <c r="M158" t="inlineStr">
        <is>
          <t>1997</t>
        </is>
      </c>
      <c r="O158" t="inlineStr">
        <is>
          <t>eng</t>
        </is>
      </c>
      <c r="P158" t="inlineStr">
        <is>
          <t>mau</t>
        </is>
      </c>
      <c r="R158" t="inlineStr">
        <is>
          <t xml:space="preserve">BT </t>
        </is>
      </c>
      <c r="S158" t="n">
        <v>2</v>
      </c>
      <c r="T158" t="n">
        <v>2</v>
      </c>
      <c r="U158" t="inlineStr">
        <is>
          <t>2006-07-11</t>
        </is>
      </c>
      <c r="V158" t="inlineStr">
        <is>
          <t>2006-07-11</t>
        </is>
      </c>
      <c r="W158" t="inlineStr">
        <is>
          <t>1999-08-23</t>
        </is>
      </c>
      <c r="X158" t="inlineStr">
        <is>
          <t>1999-08-23</t>
        </is>
      </c>
      <c r="Y158" t="n">
        <v>74</v>
      </c>
      <c r="Z158" t="n">
        <v>55</v>
      </c>
      <c r="AA158" t="n">
        <v>133</v>
      </c>
      <c r="AB158" t="n">
        <v>1</v>
      </c>
      <c r="AC158" t="n">
        <v>2</v>
      </c>
      <c r="AD158" t="n">
        <v>0</v>
      </c>
      <c r="AE158" t="n">
        <v>7</v>
      </c>
      <c r="AF158" t="n">
        <v>0</v>
      </c>
      <c r="AG158" t="n">
        <v>3</v>
      </c>
      <c r="AH158" t="n">
        <v>0</v>
      </c>
      <c r="AI158" t="n">
        <v>0</v>
      </c>
      <c r="AJ158" t="n">
        <v>0</v>
      </c>
      <c r="AK158" t="n">
        <v>5</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HYPERLINK("https://creighton-primo.hosted.exlibrisgroup.com/primo-explore/search?tab=default_tab&amp;search_scope=EVERYTHING&amp;vid=01CRU&amp;lang=en_US&amp;offset=0&amp;query=any,contains,991003033619702656","Catalog Record")</f>
        <v/>
      </c>
      <c r="AT158">
        <f>HYPERLINK("http://www.worldcat.org/oclc/41596716","WorldCat Record")</f>
        <v/>
      </c>
      <c r="AU158" t="inlineStr">
        <is>
          <t>31991888:eng</t>
        </is>
      </c>
      <c r="AV158" t="inlineStr">
        <is>
          <t>41596716</t>
        </is>
      </c>
      <c r="AW158" t="inlineStr">
        <is>
          <t>991003033619702656</t>
        </is>
      </c>
      <c r="AX158" t="inlineStr">
        <is>
          <t>991003033619702656</t>
        </is>
      </c>
      <c r="AY158" t="inlineStr">
        <is>
          <t>2263087420002656</t>
        </is>
      </c>
      <c r="AZ158" t="inlineStr">
        <is>
          <t>BOOK</t>
        </is>
      </c>
      <c r="BB158" t="inlineStr">
        <is>
          <t>9780913573105</t>
        </is>
      </c>
      <c r="BC158" t="inlineStr">
        <is>
          <t>32285003583548</t>
        </is>
      </c>
      <c r="BD158" t="inlineStr">
        <is>
          <t>893704835</t>
        </is>
      </c>
    </row>
    <row r="159">
      <c r="A159" t="inlineStr">
        <is>
          <t>No</t>
        </is>
      </c>
      <c r="B159" t="inlineStr">
        <is>
          <t>BT119 .D48 1985</t>
        </is>
      </c>
      <c r="C159" t="inlineStr">
        <is>
          <t>0                      BT 0119000D  48          1985</t>
        </is>
      </c>
      <c r="D159" t="inlineStr">
        <is>
          <t>Devotion to the Holy Spirit in American Catholicism / edited by Joseph P. Chinnici.</t>
        </is>
      </c>
      <c r="F159" t="inlineStr">
        <is>
          <t>No</t>
        </is>
      </c>
      <c r="G159" t="inlineStr">
        <is>
          <t>1</t>
        </is>
      </c>
      <c r="H159" t="inlineStr">
        <is>
          <t>No</t>
        </is>
      </c>
      <c r="I159" t="inlineStr">
        <is>
          <t>No</t>
        </is>
      </c>
      <c r="J159" t="inlineStr">
        <is>
          <t>0</t>
        </is>
      </c>
      <c r="L159" t="inlineStr">
        <is>
          <t>New York : Paulist Press, c1985.</t>
        </is>
      </c>
      <c r="M159" t="inlineStr">
        <is>
          <t>1985</t>
        </is>
      </c>
      <c r="O159" t="inlineStr">
        <is>
          <t>eng</t>
        </is>
      </c>
      <c r="P159" t="inlineStr">
        <is>
          <t>nyu</t>
        </is>
      </c>
      <c r="Q159" t="inlineStr">
        <is>
          <t>Sources of American spirituality</t>
        </is>
      </c>
      <c r="R159" t="inlineStr">
        <is>
          <t xml:space="preserve">BT </t>
        </is>
      </c>
      <c r="S159" t="n">
        <v>4</v>
      </c>
      <c r="T159" t="n">
        <v>4</v>
      </c>
      <c r="U159" t="inlineStr">
        <is>
          <t>1992-07-07</t>
        </is>
      </c>
      <c r="V159" t="inlineStr">
        <is>
          <t>1992-07-07</t>
        </is>
      </c>
      <c r="W159" t="inlineStr">
        <is>
          <t>1991-07-31</t>
        </is>
      </c>
      <c r="X159" t="inlineStr">
        <is>
          <t>1991-07-31</t>
        </is>
      </c>
      <c r="Y159" t="n">
        <v>436</v>
      </c>
      <c r="Z159" t="n">
        <v>406</v>
      </c>
      <c r="AA159" t="n">
        <v>413</v>
      </c>
      <c r="AB159" t="n">
        <v>4</v>
      </c>
      <c r="AC159" t="n">
        <v>4</v>
      </c>
      <c r="AD159" t="n">
        <v>30</v>
      </c>
      <c r="AE159" t="n">
        <v>30</v>
      </c>
      <c r="AF159" t="n">
        <v>9</v>
      </c>
      <c r="AG159" t="n">
        <v>9</v>
      </c>
      <c r="AH159" t="n">
        <v>7</v>
      </c>
      <c r="AI159" t="n">
        <v>7</v>
      </c>
      <c r="AJ159" t="n">
        <v>19</v>
      </c>
      <c r="AK159" t="n">
        <v>19</v>
      </c>
      <c r="AL159" t="n">
        <v>2</v>
      </c>
      <c r="AM159" t="n">
        <v>2</v>
      </c>
      <c r="AN159" t="n">
        <v>0</v>
      </c>
      <c r="AO159" t="n">
        <v>0</v>
      </c>
      <c r="AP159" t="inlineStr">
        <is>
          <t>No</t>
        </is>
      </c>
      <c r="AQ159" t="inlineStr">
        <is>
          <t>Yes</t>
        </is>
      </c>
      <c r="AR159">
        <f>HYPERLINK("http://catalog.hathitrust.org/Record/000466256","HathiTrust Record")</f>
        <v/>
      </c>
      <c r="AS159">
        <f>HYPERLINK("https://creighton-primo.hosted.exlibrisgroup.com/primo-explore/search?tab=default_tab&amp;search_scope=EVERYTHING&amp;vid=01CRU&amp;lang=en_US&amp;offset=0&amp;query=any,contains,991000736499702656","Catalog Record")</f>
        <v/>
      </c>
      <c r="AT159">
        <f>HYPERLINK("http://www.worldcat.org/oclc/13334610","WorldCat Record")</f>
        <v/>
      </c>
      <c r="AU159" t="inlineStr">
        <is>
          <t>7584711:eng</t>
        </is>
      </c>
      <c r="AV159" t="inlineStr">
        <is>
          <t>13334610</t>
        </is>
      </c>
      <c r="AW159" t="inlineStr">
        <is>
          <t>991000736499702656</t>
        </is>
      </c>
      <c r="AX159" t="inlineStr">
        <is>
          <t>991000736499702656</t>
        </is>
      </c>
      <c r="AY159" t="inlineStr">
        <is>
          <t>2261082570002656</t>
        </is>
      </c>
      <c r="AZ159" t="inlineStr">
        <is>
          <t>BOOK</t>
        </is>
      </c>
      <c r="BB159" t="inlineStr">
        <is>
          <t>9780809103669</t>
        </is>
      </c>
      <c r="BC159" t="inlineStr">
        <is>
          <t>32285000692995</t>
        </is>
      </c>
      <c r="BD159" t="inlineStr">
        <is>
          <t>893528352</t>
        </is>
      </c>
    </row>
    <row r="160">
      <c r="A160" t="inlineStr">
        <is>
          <t>No</t>
        </is>
      </c>
      <c r="B160" t="inlineStr">
        <is>
          <t>BT119 .R67 1981</t>
        </is>
      </c>
      <c r="C160" t="inlineStr">
        <is>
          <t>0                      BT 0119000R  67          1981</t>
        </is>
      </c>
      <c r="D160" t="inlineStr">
        <is>
          <t>The spirit as Lord : the pneumatology of Karl Barth / Philip J. Rosato.</t>
        </is>
      </c>
      <c r="F160" t="inlineStr">
        <is>
          <t>No</t>
        </is>
      </c>
      <c r="G160" t="inlineStr">
        <is>
          <t>1</t>
        </is>
      </c>
      <c r="H160" t="inlineStr">
        <is>
          <t>No</t>
        </is>
      </c>
      <c r="I160" t="inlineStr">
        <is>
          <t>No</t>
        </is>
      </c>
      <c r="J160" t="inlineStr">
        <is>
          <t>0</t>
        </is>
      </c>
      <c r="K160" t="inlineStr">
        <is>
          <t>Rosato, Philip J.</t>
        </is>
      </c>
      <c r="L160" t="inlineStr">
        <is>
          <t>Edinburgh : T. &amp; T Clark, 1981.</t>
        </is>
      </c>
      <c r="M160" t="inlineStr">
        <is>
          <t>1981</t>
        </is>
      </c>
      <c r="O160" t="inlineStr">
        <is>
          <t>eng</t>
        </is>
      </c>
      <c r="P160" t="inlineStr">
        <is>
          <t>stk</t>
        </is>
      </c>
      <c r="R160" t="inlineStr">
        <is>
          <t xml:space="preserve">BT </t>
        </is>
      </c>
      <c r="S160" t="n">
        <v>6</v>
      </c>
      <c r="T160" t="n">
        <v>6</v>
      </c>
      <c r="U160" t="inlineStr">
        <is>
          <t>2006-04-10</t>
        </is>
      </c>
      <c r="V160" t="inlineStr">
        <is>
          <t>2006-04-10</t>
        </is>
      </c>
      <c r="W160" t="inlineStr">
        <is>
          <t>1991-07-31</t>
        </is>
      </c>
      <c r="X160" t="inlineStr">
        <is>
          <t>1991-07-31</t>
        </is>
      </c>
      <c r="Y160" t="n">
        <v>260</v>
      </c>
      <c r="Z160" t="n">
        <v>176</v>
      </c>
      <c r="AA160" t="n">
        <v>178</v>
      </c>
      <c r="AB160" t="n">
        <v>1</v>
      </c>
      <c r="AC160" t="n">
        <v>1</v>
      </c>
      <c r="AD160" t="n">
        <v>12</v>
      </c>
      <c r="AE160" t="n">
        <v>12</v>
      </c>
      <c r="AF160" t="n">
        <v>4</v>
      </c>
      <c r="AG160" t="n">
        <v>4</v>
      </c>
      <c r="AH160" t="n">
        <v>3</v>
      </c>
      <c r="AI160" t="n">
        <v>3</v>
      </c>
      <c r="AJ160" t="n">
        <v>9</v>
      </c>
      <c r="AK160" t="n">
        <v>9</v>
      </c>
      <c r="AL160" t="n">
        <v>0</v>
      </c>
      <c r="AM160" t="n">
        <v>0</v>
      </c>
      <c r="AN160" t="n">
        <v>0</v>
      </c>
      <c r="AO160" t="n">
        <v>0</v>
      </c>
      <c r="AP160" t="inlineStr">
        <is>
          <t>No</t>
        </is>
      </c>
      <c r="AQ160" t="inlineStr">
        <is>
          <t>Yes</t>
        </is>
      </c>
      <c r="AR160">
        <f>HYPERLINK("http://catalog.hathitrust.org/Record/002197127","HathiTrust Record")</f>
        <v/>
      </c>
      <c r="AS160">
        <f>HYPERLINK("https://creighton-primo.hosted.exlibrisgroup.com/primo-explore/search?tab=default_tab&amp;search_scope=EVERYTHING&amp;vid=01CRU&amp;lang=en_US&amp;offset=0&amp;query=any,contains,991000222199702656","Catalog Record")</f>
        <v/>
      </c>
      <c r="AT160">
        <f>HYPERLINK("http://www.worldcat.org/oclc/9576809","WorldCat Record")</f>
        <v/>
      </c>
      <c r="AU160" t="inlineStr">
        <is>
          <t>366793882:eng</t>
        </is>
      </c>
      <c r="AV160" t="inlineStr">
        <is>
          <t>9576809</t>
        </is>
      </c>
      <c r="AW160" t="inlineStr">
        <is>
          <t>991000222199702656</t>
        </is>
      </c>
      <c r="AX160" t="inlineStr">
        <is>
          <t>991000222199702656</t>
        </is>
      </c>
      <c r="AY160" t="inlineStr">
        <is>
          <t>2269107630002656</t>
        </is>
      </c>
      <c r="AZ160" t="inlineStr">
        <is>
          <t>BOOK</t>
        </is>
      </c>
      <c r="BB160" t="inlineStr">
        <is>
          <t>9780567093059</t>
        </is>
      </c>
      <c r="BC160" t="inlineStr">
        <is>
          <t>32285000693019</t>
        </is>
      </c>
      <c r="BD160" t="inlineStr">
        <is>
          <t>893777793</t>
        </is>
      </c>
    </row>
    <row r="161">
      <c r="A161" t="inlineStr">
        <is>
          <t>No</t>
        </is>
      </c>
      <c r="B161" t="inlineStr">
        <is>
          <t>BT120 .B314 1968</t>
        </is>
      </c>
      <c r="C161" t="inlineStr">
        <is>
          <t>0                      BT 0120000B  314         1968</t>
        </is>
      </c>
      <c r="D161" t="inlineStr">
        <is>
          <t>Sur le Saint-Esprit / [par] Basile de Césarée. Introduction, texte, traduction et notes par Benoît Pruche, O.P.</t>
        </is>
      </c>
      <c r="F161" t="inlineStr">
        <is>
          <t>No</t>
        </is>
      </c>
      <c r="G161" t="inlineStr">
        <is>
          <t>1</t>
        </is>
      </c>
      <c r="H161" t="inlineStr">
        <is>
          <t>No</t>
        </is>
      </c>
      <c r="I161" t="inlineStr">
        <is>
          <t>No</t>
        </is>
      </c>
      <c r="J161" t="inlineStr">
        <is>
          <t>0</t>
        </is>
      </c>
      <c r="K161" t="inlineStr">
        <is>
          <t>Basil, Saint, Bishop of Caesarea, approximately 329-379.</t>
        </is>
      </c>
      <c r="L161" t="inlineStr">
        <is>
          <t>Paris : Éditions du Cerf, 1968.</t>
        </is>
      </c>
      <c r="M161" t="inlineStr">
        <is>
          <t>1968</t>
        </is>
      </c>
      <c r="N161" t="inlineStr">
        <is>
          <t>2e édition refondue.</t>
        </is>
      </c>
      <c r="O161" t="inlineStr">
        <is>
          <t>fre</t>
        </is>
      </c>
      <c r="P161" t="inlineStr">
        <is>
          <t>___</t>
        </is>
      </c>
      <c r="Q161" t="inlineStr">
        <is>
          <t>Sources chrétiennes ; no. 17 bis</t>
        </is>
      </c>
      <c r="R161" t="inlineStr">
        <is>
          <t xml:space="preserve">BT </t>
        </is>
      </c>
      <c r="S161" t="n">
        <v>3</v>
      </c>
      <c r="T161" t="n">
        <v>3</v>
      </c>
      <c r="U161" t="inlineStr">
        <is>
          <t>2010-12-04</t>
        </is>
      </c>
      <c r="V161" t="inlineStr">
        <is>
          <t>2010-12-04</t>
        </is>
      </c>
      <c r="W161" t="inlineStr">
        <is>
          <t>1991-07-31</t>
        </is>
      </c>
      <c r="X161" t="inlineStr">
        <is>
          <t>1991-07-31</t>
        </is>
      </c>
      <c r="Y161" t="n">
        <v>108</v>
      </c>
      <c r="Z161" t="n">
        <v>56</v>
      </c>
      <c r="AA161" t="n">
        <v>89</v>
      </c>
      <c r="AB161" t="n">
        <v>1</v>
      </c>
      <c r="AC161" t="n">
        <v>1</v>
      </c>
      <c r="AD161" t="n">
        <v>6</v>
      </c>
      <c r="AE161" t="n">
        <v>8</v>
      </c>
      <c r="AF161" t="n">
        <v>1</v>
      </c>
      <c r="AG161" t="n">
        <v>1</v>
      </c>
      <c r="AH161" t="n">
        <v>2</v>
      </c>
      <c r="AI161" t="n">
        <v>3</v>
      </c>
      <c r="AJ161" t="n">
        <v>5</v>
      </c>
      <c r="AK161" t="n">
        <v>6</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HYPERLINK("https://creighton-primo.hosted.exlibrisgroup.com/primo-explore/search?tab=default_tab&amp;search_scope=EVERYTHING&amp;vid=01CRU&amp;lang=en_US&amp;offset=0&amp;query=any,contains,991003638479702656","Catalog Record")</f>
        <v/>
      </c>
      <c r="AT161">
        <f>HYPERLINK("http://www.worldcat.org/oclc/1233525","WorldCat Record")</f>
        <v/>
      </c>
      <c r="AU161" t="inlineStr">
        <is>
          <t>8912269980:fre</t>
        </is>
      </c>
      <c r="AV161" t="inlineStr">
        <is>
          <t>1233525</t>
        </is>
      </c>
      <c r="AW161" t="inlineStr">
        <is>
          <t>991003638479702656</t>
        </is>
      </c>
      <c r="AX161" t="inlineStr">
        <is>
          <t>991003638479702656</t>
        </is>
      </c>
      <c r="AY161" t="inlineStr">
        <is>
          <t>2262072650002656</t>
        </is>
      </c>
      <c r="AZ161" t="inlineStr">
        <is>
          <t>BOOK</t>
        </is>
      </c>
      <c r="BC161" t="inlineStr">
        <is>
          <t>32285000693035</t>
        </is>
      </c>
      <c r="BD161" t="inlineStr">
        <is>
          <t>893598786</t>
        </is>
      </c>
    </row>
    <row r="162">
      <c r="A162" t="inlineStr">
        <is>
          <t>No</t>
        </is>
      </c>
      <c r="B162" t="inlineStr">
        <is>
          <t>BT1200 .J64 1995</t>
        </is>
      </c>
      <c r="C162" t="inlineStr">
        <is>
          <t>0                      BT 1200000J  64          1995</t>
        </is>
      </c>
      <c r="D162" t="inlineStr">
        <is>
          <t>Reason in the balance : the case against naturalism in science, law &amp; education / Phillip E. Johnson.</t>
        </is>
      </c>
      <c r="F162" t="inlineStr">
        <is>
          <t>No</t>
        </is>
      </c>
      <c r="G162" t="inlineStr">
        <is>
          <t>1</t>
        </is>
      </c>
      <c r="H162" t="inlineStr">
        <is>
          <t>No</t>
        </is>
      </c>
      <c r="I162" t="inlineStr">
        <is>
          <t>No</t>
        </is>
      </c>
      <c r="J162" t="inlineStr">
        <is>
          <t>0</t>
        </is>
      </c>
      <c r="K162" t="inlineStr">
        <is>
          <t>Johnson, Phillip E., 1940-</t>
        </is>
      </c>
      <c r="L162" t="inlineStr">
        <is>
          <t>Downers Grove, Ill. : InterVarsity Press, c1995.</t>
        </is>
      </c>
      <c r="M162" t="inlineStr">
        <is>
          <t>1995</t>
        </is>
      </c>
      <c r="O162" t="inlineStr">
        <is>
          <t>eng</t>
        </is>
      </c>
      <c r="P162" t="inlineStr">
        <is>
          <t>ilu</t>
        </is>
      </c>
      <c r="R162" t="inlineStr">
        <is>
          <t xml:space="preserve">BT </t>
        </is>
      </c>
      <c r="S162" t="n">
        <v>5</v>
      </c>
      <c r="T162" t="n">
        <v>5</v>
      </c>
      <c r="U162" t="inlineStr">
        <is>
          <t>2010-03-04</t>
        </is>
      </c>
      <c r="V162" t="inlineStr">
        <is>
          <t>2010-03-04</t>
        </is>
      </c>
      <c r="W162" t="inlineStr">
        <is>
          <t>1996-03-18</t>
        </is>
      </c>
      <c r="X162" t="inlineStr">
        <is>
          <t>1996-03-18</t>
        </is>
      </c>
      <c r="Y162" t="n">
        <v>946</v>
      </c>
      <c r="Z162" t="n">
        <v>867</v>
      </c>
      <c r="AA162" t="n">
        <v>874</v>
      </c>
      <c r="AB162" t="n">
        <v>13</v>
      </c>
      <c r="AC162" t="n">
        <v>13</v>
      </c>
      <c r="AD162" t="n">
        <v>38</v>
      </c>
      <c r="AE162" t="n">
        <v>38</v>
      </c>
      <c r="AF162" t="n">
        <v>11</v>
      </c>
      <c r="AG162" t="n">
        <v>11</v>
      </c>
      <c r="AH162" t="n">
        <v>6</v>
      </c>
      <c r="AI162" t="n">
        <v>6</v>
      </c>
      <c r="AJ162" t="n">
        <v>11</v>
      </c>
      <c r="AK162" t="n">
        <v>11</v>
      </c>
      <c r="AL162" t="n">
        <v>6</v>
      </c>
      <c r="AM162" t="n">
        <v>6</v>
      </c>
      <c r="AN162" t="n">
        <v>9</v>
      </c>
      <c r="AO162" t="n">
        <v>9</v>
      </c>
      <c r="AP162" t="inlineStr">
        <is>
          <t>No</t>
        </is>
      </c>
      <c r="AQ162" t="inlineStr">
        <is>
          <t>Yes</t>
        </is>
      </c>
      <c r="AR162">
        <f>HYPERLINK("http://catalog.hathitrust.org/Record/003001249","HathiTrust Record")</f>
        <v/>
      </c>
      <c r="AS162">
        <f>HYPERLINK("https://creighton-primo.hosted.exlibrisgroup.com/primo-explore/search?tab=default_tab&amp;search_scope=EVERYTHING&amp;vid=01CRU&amp;lang=en_US&amp;offset=0&amp;query=any,contains,991002487879702656","Catalog Record")</f>
        <v/>
      </c>
      <c r="AT162">
        <f>HYPERLINK("http://www.worldcat.org/oclc/32384818","WorldCat Record")</f>
        <v/>
      </c>
      <c r="AU162" t="inlineStr">
        <is>
          <t>36758703:eng</t>
        </is>
      </c>
      <c r="AV162" t="inlineStr">
        <is>
          <t>32384818</t>
        </is>
      </c>
      <c r="AW162" t="inlineStr">
        <is>
          <t>991002487879702656</t>
        </is>
      </c>
      <c r="AX162" t="inlineStr">
        <is>
          <t>991002487879702656</t>
        </is>
      </c>
      <c r="AY162" t="inlineStr">
        <is>
          <t>2255206250002656</t>
        </is>
      </c>
      <c r="AZ162" t="inlineStr">
        <is>
          <t>BOOK</t>
        </is>
      </c>
      <c r="BB162" t="inlineStr">
        <is>
          <t>9780830816101</t>
        </is>
      </c>
      <c r="BC162" t="inlineStr">
        <is>
          <t>32285002143526</t>
        </is>
      </c>
      <c r="BD162" t="inlineStr">
        <is>
          <t>893809519</t>
        </is>
      </c>
    </row>
    <row r="163">
      <c r="A163" t="inlineStr">
        <is>
          <t>No</t>
        </is>
      </c>
      <c r="B163" t="inlineStr">
        <is>
          <t>BT121 .D75 1930a</t>
        </is>
      </c>
      <c r="C163" t="inlineStr">
        <is>
          <t>0                      BT 0121000D  75          1930a</t>
        </is>
      </c>
      <c r="D163" t="inlineStr">
        <is>
          <t>The blessed Trinity / by the Most Reverend Richard Downey ; introduction by Neil McNeil.</t>
        </is>
      </c>
      <c r="F163" t="inlineStr">
        <is>
          <t>No</t>
        </is>
      </c>
      <c r="G163" t="inlineStr">
        <is>
          <t>1</t>
        </is>
      </c>
      <c r="H163" t="inlineStr">
        <is>
          <t>No</t>
        </is>
      </c>
      <c r="I163" t="inlineStr">
        <is>
          <t>No</t>
        </is>
      </c>
      <c r="J163" t="inlineStr">
        <is>
          <t>0</t>
        </is>
      </c>
      <c r="K163" t="inlineStr">
        <is>
          <t>Downey, Richard.</t>
        </is>
      </c>
      <c r="L163" t="inlineStr">
        <is>
          <t>New York, The Macmillan company, 1930.</t>
        </is>
      </c>
      <c r="M163" t="inlineStr">
        <is>
          <t>1930</t>
        </is>
      </c>
      <c r="O163" t="inlineStr">
        <is>
          <t>eng</t>
        </is>
      </c>
      <c r="P163" t="inlineStr">
        <is>
          <t>nyu</t>
        </is>
      </c>
      <c r="Q163" t="inlineStr">
        <is>
          <t>The treasury of faith series: 4</t>
        </is>
      </c>
      <c r="R163" t="inlineStr">
        <is>
          <t xml:space="preserve">BT </t>
        </is>
      </c>
      <c r="S163" t="n">
        <v>7</v>
      </c>
      <c r="T163" t="n">
        <v>7</v>
      </c>
      <c r="U163" t="inlineStr">
        <is>
          <t>1999-10-13</t>
        </is>
      </c>
      <c r="V163" t="inlineStr">
        <is>
          <t>1999-10-13</t>
        </is>
      </c>
      <c r="W163" t="inlineStr">
        <is>
          <t>1991-07-31</t>
        </is>
      </c>
      <c r="X163" t="inlineStr">
        <is>
          <t>1991-07-31</t>
        </is>
      </c>
      <c r="Y163" t="n">
        <v>54</v>
      </c>
      <c r="Z163" t="n">
        <v>54</v>
      </c>
      <c r="AA163" t="n">
        <v>62</v>
      </c>
      <c r="AB163" t="n">
        <v>2</v>
      </c>
      <c r="AC163" t="n">
        <v>2</v>
      </c>
      <c r="AD163" t="n">
        <v>10</v>
      </c>
      <c r="AE163" t="n">
        <v>13</v>
      </c>
      <c r="AF163" t="n">
        <v>0</v>
      </c>
      <c r="AG163" t="n">
        <v>1</v>
      </c>
      <c r="AH163" t="n">
        <v>4</v>
      </c>
      <c r="AI163" t="n">
        <v>4</v>
      </c>
      <c r="AJ163" t="n">
        <v>8</v>
      </c>
      <c r="AK163" t="n">
        <v>11</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HYPERLINK("https://creighton-primo.hosted.exlibrisgroup.com/primo-explore/search?tab=default_tab&amp;search_scope=EVERYTHING&amp;vid=01CRU&amp;lang=en_US&amp;offset=0&amp;query=any,contains,991004218289702656","Catalog Record")</f>
        <v/>
      </c>
      <c r="AT163">
        <f>HYPERLINK("http://www.worldcat.org/oclc/2704248","WorldCat Record")</f>
        <v/>
      </c>
      <c r="AU163" t="inlineStr">
        <is>
          <t>5790086:eng</t>
        </is>
      </c>
      <c r="AV163" t="inlineStr">
        <is>
          <t>2704248</t>
        </is>
      </c>
      <c r="AW163" t="inlineStr">
        <is>
          <t>991004218289702656</t>
        </is>
      </c>
      <c r="AX163" t="inlineStr">
        <is>
          <t>991004218289702656</t>
        </is>
      </c>
      <c r="AY163" t="inlineStr">
        <is>
          <t>2257052150002656</t>
        </is>
      </c>
      <c r="AZ163" t="inlineStr">
        <is>
          <t>BOOK</t>
        </is>
      </c>
      <c r="BC163" t="inlineStr">
        <is>
          <t>32285000693100</t>
        </is>
      </c>
      <c r="BD163" t="inlineStr">
        <is>
          <t>893800739</t>
        </is>
      </c>
    </row>
    <row r="164">
      <c r="A164" t="inlineStr">
        <is>
          <t>No</t>
        </is>
      </c>
      <c r="B164" t="inlineStr">
        <is>
          <t>BT121 .M48 1903b</t>
        </is>
      </c>
      <c r="C164" t="inlineStr">
        <is>
          <t>0                      BT 0121000M  48          1903b</t>
        </is>
      </c>
      <c r="D164" t="inlineStr">
        <is>
          <t>The gift of Pentecost : meditations on the Holy Ghost / by Father Meschler ; translated from the German by Amabel Kerr.</t>
        </is>
      </c>
      <c r="F164" t="inlineStr">
        <is>
          <t>No</t>
        </is>
      </c>
      <c r="G164" t="inlineStr">
        <is>
          <t>1</t>
        </is>
      </c>
      <c r="H164" t="inlineStr">
        <is>
          <t>No</t>
        </is>
      </c>
      <c r="I164" t="inlineStr">
        <is>
          <t>No</t>
        </is>
      </c>
      <c r="J164" t="inlineStr">
        <is>
          <t>0</t>
        </is>
      </c>
      <c r="K164" t="inlineStr">
        <is>
          <t>Meschler, Maurice.</t>
        </is>
      </c>
      <c r="L164" t="inlineStr">
        <is>
          <t>St. Louis : B. Herder, 1903.</t>
        </is>
      </c>
      <c r="M164" t="inlineStr">
        <is>
          <t>1903</t>
        </is>
      </c>
      <c r="O164" t="inlineStr">
        <is>
          <t>eng</t>
        </is>
      </c>
      <c r="P164" t="inlineStr">
        <is>
          <t>mou</t>
        </is>
      </c>
      <c r="R164" t="inlineStr">
        <is>
          <t xml:space="preserve">BT </t>
        </is>
      </c>
      <c r="S164" t="n">
        <v>1</v>
      </c>
      <c r="T164" t="n">
        <v>1</v>
      </c>
      <c r="U164" t="inlineStr">
        <is>
          <t>2006-11-17</t>
        </is>
      </c>
      <c r="V164" t="inlineStr">
        <is>
          <t>2006-11-17</t>
        </is>
      </c>
      <c r="W164" t="inlineStr">
        <is>
          <t>1991-07-31</t>
        </is>
      </c>
      <c r="X164" t="inlineStr">
        <is>
          <t>1991-07-31</t>
        </is>
      </c>
      <c r="Y164" t="n">
        <v>22</v>
      </c>
      <c r="Z164" t="n">
        <v>20</v>
      </c>
      <c r="AA164" t="n">
        <v>31</v>
      </c>
      <c r="AB164" t="n">
        <v>1</v>
      </c>
      <c r="AC164" t="n">
        <v>1</v>
      </c>
      <c r="AD164" t="n">
        <v>10</v>
      </c>
      <c r="AE164" t="n">
        <v>11</v>
      </c>
      <c r="AF164" t="n">
        <v>1</v>
      </c>
      <c r="AG164" t="n">
        <v>1</v>
      </c>
      <c r="AH164" t="n">
        <v>3</v>
      </c>
      <c r="AI164" t="n">
        <v>3</v>
      </c>
      <c r="AJ164" t="n">
        <v>8</v>
      </c>
      <c r="AK164" t="n">
        <v>9</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HYPERLINK("https://creighton-primo.hosted.exlibrisgroup.com/primo-explore/search?tab=default_tab&amp;search_scope=EVERYTHING&amp;vid=01CRU&amp;lang=en_US&amp;offset=0&amp;query=any,contains,991005223409702656","Catalog Record")</f>
        <v/>
      </c>
      <c r="AT164">
        <f>HYPERLINK("http://www.worldcat.org/oclc/8252319","WorldCat Record")</f>
        <v/>
      </c>
      <c r="AU164" t="inlineStr">
        <is>
          <t>4020043608:eng</t>
        </is>
      </c>
      <c r="AV164" t="inlineStr">
        <is>
          <t>8252319</t>
        </is>
      </c>
      <c r="AW164" t="inlineStr">
        <is>
          <t>991005223409702656</t>
        </is>
      </c>
      <c r="AX164" t="inlineStr">
        <is>
          <t>991005223409702656</t>
        </is>
      </c>
      <c r="AY164" t="inlineStr">
        <is>
          <t>2262805590002656</t>
        </is>
      </c>
      <c r="AZ164" t="inlineStr">
        <is>
          <t>BOOK</t>
        </is>
      </c>
      <c r="BC164" t="inlineStr">
        <is>
          <t>32285000693159</t>
        </is>
      </c>
      <c r="BD164" t="inlineStr">
        <is>
          <t>893418577</t>
        </is>
      </c>
    </row>
    <row r="165">
      <c r="A165" t="inlineStr">
        <is>
          <t>No</t>
        </is>
      </c>
      <c r="B165" t="inlineStr">
        <is>
          <t>BT121 .R6 1930b</t>
        </is>
      </c>
      <c r="C165" t="inlineStr">
        <is>
          <t>0                      BT 0121000R  6           1930b</t>
        </is>
      </c>
      <c r="D165" t="inlineStr">
        <is>
          <t>The Christian experience of the Holy Spirit / by H. Wheeler Robinson.</t>
        </is>
      </c>
      <c r="F165" t="inlineStr">
        <is>
          <t>No</t>
        </is>
      </c>
      <c r="G165" t="inlineStr">
        <is>
          <t>1</t>
        </is>
      </c>
      <c r="H165" t="inlineStr">
        <is>
          <t>No</t>
        </is>
      </c>
      <c r="I165" t="inlineStr">
        <is>
          <t>No</t>
        </is>
      </c>
      <c r="J165" t="inlineStr">
        <is>
          <t>0</t>
        </is>
      </c>
      <c r="K165" t="inlineStr">
        <is>
          <t>Robinson, H. Wheeler (Henry Wheeler), 1872-1945.</t>
        </is>
      </c>
      <c r="L165" t="inlineStr">
        <is>
          <t>London : Nisbet, 1930, c1928.</t>
        </is>
      </c>
      <c r="M165" t="inlineStr">
        <is>
          <t>1928</t>
        </is>
      </c>
      <c r="O165" t="inlineStr">
        <is>
          <t>eng</t>
        </is>
      </c>
      <c r="P165" t="inlineStr">
        <is>
          <t xml:space="preserve">xx </t>
        </is>
      </c>
      <c r="Q165" t="inlineStr">
        <is>
          <t>The library of constructive theology</t>
        </is>
      </c>
      <c r="R165" t="inlineStr">
        <is>
          <t xml:space="preserve">BT </t>
        </is>
      </c>
      <c r="S165" t="n">
        <v>1</v>
      </c>
      <c r="T165" t="n">
        <v>1</v>
      </c>
      <c r="U165" t="inlineStr">
        <is>
          <t>2009-06-12</t>
        </is>
      </c>
      <c r="V165" t="inlineStr">
        <is>
          <t>2009-06-12</t>
        </is>
      </c>
      <c r="W165" t="inlineStr">
        <is>
          <t>1991-07-31</t>
        </is>
      </c>
      <c r="X165" t="inlineStr">
        <is>
          <t>1991-07-31</t>
        </is>
      </c>
      <c r="Y165" t="n">
        <v>183</v>
      </c>
      <c r="Z165" t="n">
        <v>116</v>
      </c>
      <c r="AA165" t="n">
        <v>336</v>
      </c>
      <c r="AB165" t="n">
        <v>2</v>
      </c>
      <c r="AC165" t="n">
        <v>4</v>
      </c>
      <c r="AD165" t="n">
        <v>7</v>
      </c>
      <c r="AE165" t="n">
        <v>21</v>
      </c>
      <c r="AF165" t="n">
        <v>2</v>
      </c>
      <c r="AG165" t="n">
        <v>8</v>
      </c>
      <c r="AH165" t="n">
        <v>0</v>
      </c>
      <c r="AI165" t="n">
        <v>3</v>
      </c>
      <c r="AJ165" t="n">
        <v>5</v>
      </c>
      <c r="AK165" t="n">
        <v>10</v>
      </c>
      <c r="AL165" t="n">
        <v>0</v>
      </c>
      <c r="AM165" t="n">
        <v>2</v>
      </c>
      <c r="AN165" t="n">
        <v>0</v>
      </c>
      <c r="AO165" t="n">
        <v>0</v>
      </c>
      <c r="AP165" t="inlineStr">
        <is>
          <t>No</t>
        </is>
      </c>
      <c r="AQ165" t="inlineStr">
        <is>
          <t>Yes</t>
        </is>
      </c>
      <c r="AR165">
        <f>HYPERLINK("http://catalog.hathitrust.org/Record/005775099","HathiTrust Record")</f>
        <v/>
      </c>
      <c r="AS165">
        <f>HYPERLINK("https://creighton-primo.hosted.exlibrisgroup.com/primo-explore/search?tab=default_tab&amp;search_scope=EVERYTHING&amp;vid=01CRU&amp;lang=en_US&amp;offset=0&amp;query=any,contains,991004615769702656","Catalog Record")</f>
        <v/>
      </c>
      <c r="AT165">
        <f>HYPERLINK("http://www.worldcat.org/oclc/4253694","WorldCat Record")</f>
        <v/>
      </c>
      <c r="AU165" t="inlineStr">
        <is>
          <t>1474717:eng</t>
        </is>
      </c>
      <c r="AV165" t="inlineStr">
        <is>
          <t>4253694</t>
        </is>
      </c>
      <c r="AW165" t="inlineStr">
        <is>
          <t>991004615769702656</t>
        </is>
      </c>
      <c r="AX165" t="inlineStr">
        <is>
          <t>991004615769702656</t>
        </is>
      </c>
      <c r="AY165" t="inlineStr">
        <is>
          <t>2267830950002656</t>
        </is>
      </c>
      <c r="AZ165" t="inlineStr">
        <is>
          <t>BOOK</t>
        </is>
      </c>
      <c r="BC165" t="inlineStr">
        <is>
          <t>32285000693167</t>
        </is>
      </c>
      <c r="BD165" t="inlineStr">
        <is>
          <t>893600033</t>
        </is>
      </c>
    </row>
    <row r="166">
      <c r="A166" t="inlineStr">
        <is>
          <t>No</t>
        </is>
      </c>
      <c r="B166" t="inlineStr">
        <is>
          <t>BT121 .S7</t>
        </is>
      </c>
      <c r="C166" t="inlineStr">
        <is>
          <t>0                      BT 0121000S  7</t>
        </is>
      </c>
      <c r="D166" t="inlineStr">
        <is>
          <t>Glories of the Holy Ghost : a series of studies, a collection of tributes, an account of certain movements bearing on the third person of the Blessed Trinity / by Wm. F. Stadelman.</t>
        </is>
      </c>
      <c r="F166" t="inlineStr">
        <is>
          <t>No</t>
        </is>
      </c>
      <c r="G166" t="inlineStr">
        <is>
          <t>1</t>
        </is>
      </c>
      <c r="H166" t="inlineStr">
        <is>
          <t>No</t>
        </is>
      </c>
      <c r="I166" t="inlineStr">
        <is>
          <t>No</t>
        </is>
      </c>
      <c r="J166" t="inlineStr">
        <is>
          <t>0</t>
        </is>
      </c>
      <c r="K166" t="inlineStr">
        <is>
          <t>Stadelman, William Francis Xavier, 1869-1928.</t>
        </is>
      </c>
      <c r="L166" t="inlineStr">
        <is>
          <t>Techny,Ill., Mission Press, 1919.</t>
        </is>
      </c>
      <c r="M166" t="inlineStr">
        <is>
          <t>1919</t>
        </is>
      </c>
      <c r="O166" t="inlineStr">
        <is>
          <t>eng</t>
        </is>
      </c>
      <c r="P166" t="inlineStr">
        <is>
          <t>___</t>
        </is>
      </c>
      <c r="R166" t="inlineStr">
        <is>
          <t xml:space="preserve">BT </t>
        </is>
      </c>
      <c r="S166" t="n">
        <v>2</v>
      </c>
      <c r="T166" t="n">
        <v>2</v>
      </c>
      <c r="U166" t="inlineStr">
        <is>
          <t>2009-06-12</t>
        </is>
      </c>
      <c r="V166" t="inlineStr">
        <is>
          <t>2009-06-12</t>
        </is>
      </c>
      <c r="W166" t="inlineStr">
        <is>
          <t>1990-04-12</t>
        </is>
      </c>
      <c r="X166" t="inlineStr">
        <is>
          <t>1990-04-12</t>
        </is>
      </c>
      <c r="Y166" t="n">
        <v>67</v>
      </c>
      <c r="Z166" t="n">
        <v>67</v>
      </c>
      <c r="AA166" t="n">
        <v>88</v>
      </c>
      <c r="AB166" t="n">
        <v>2</v>
      </c>
      <c r="AC166" t="n">
        <v>2</v>
      </c>
      <c r="AD166" t="n">
        <v>17</v>
      </c>
      <c r="AE166" t="n">
        <v>18</v>
      </c>
      <c r="AF166" t="n">
        <v>6</v>
      </c>
      <c r="AG166" t="n">
        <v>6</v>
      </c>
      <c r="AH166" t="n">
        <v>6</v>
      </c>
      <c r="AI166" t="n">
        <v>6</v>
      </c>
      <c r="AJ166" t="n">
        <v>13</v>
      </c>
      <c r="AK166" t="n">
        <v>14</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HYPERLINK("https://creighton-primo.hosted.exlibrisgroup.com/primo-explore/search?tab=default_tab&amp;search_scope=EVERYTHING&amp;vid=01CRU&amp;lang=en_US&amp;offset=0&amp;query=any,contains,991003126769702656","Catalog Record")</f>
        <v/>
      </c>
      <c r="AT166">
        <f>HYPERLINK("http://www.worldcat.org/oclc/670780","WorldCat Record")</f>
        <v/>
      </c>
      <c r="AU166" t="inlineStr">
        <is>
          <t>1008427388:eng</t>
        </is>
      </c>
      <c r="AV166" t="inlineStr">
        <is>
          <t>670780</t>
        </is>
      </c>
      <c r="AW166" t="inlineStr">
        <is>
          <t>991003126769702656</t>
        </is>
      </c>
      <c r="AX166" t="inlineStr">
        <is>
          <t>991003126769702656</t>
        </is>
      </c>
      <c r="AY166" t="inlineStr">
        <is>
          <t>2267755570002656</t>
        </is>
      </c>
      <c r="AZ166" t="inlineStr">
        <is>
          <t>BOOK</t>
        </is>
      </c>
      <c r="BC166" t="inlineStr">
        <is>
          <t>32285000112275</t>
        </is>
      </c>
      <c r="BD166" t="inlineStr">
        <is>
          <t>893227717</t>
        </is>
      </c>
    </row>
    <row r="167">
      <c r="A167" t="inlineStr">
        <is>
          <t>No</t>
        </is>
      </c>
      <c r="B167" t="inlineStr">
        <is>
          <t>BT121 .S9</t>
        </is>
      </c>
      <c r="C167" t="inlineStr">
        <is>
          <t>0                      BT 0121000S  9</t>
        </is>
      </c>
      <c r="D167" t="inlineStr">
        <is>
          <t>The Holy Spirit in the New Testament : a study of primitive Christian teaching / by Henry Barclay Swete.</t>
        </is>
      </c>
      <c r="F167" t="inlineStr">
        <is>
          <t>No</t>
        </is>
      </c>
      <c r="G167" t="inlineStr">
        <is>
          <t>1</t>
        </is>
      </c>
      <c r="H167" t="inlineStr">
        <is>
          <t>No</t>
        </is>
      </c>
      <c r="I167" t="inlineStr">
        <is>
          <t>No</t>
        </is>
      </c>
      <c r="J167" t="inlineStr">
        <is>
          <t>0</t>
        </is>
      </c>
      <c r="K167" t="inlineStr">
        <is>
          <t>Swete, Henry Barclay, 1835-1917.</t>
        </is>
      </c>
      <c r="L167" t="inlineStr">
        <is>
          <t>London : Macmillan, 1909.</t>
        </is>
      </c>
      <c r="M167" t="inlineStr">
        <is>
          <t>1909</t>
        </is>
      </c>
      <c r="N167" t="inlineStr">
        <is>
          <t>[1st ed.]</t>
        </is>
      </c>
      <c r="O167" t="inlineStr">
        <is>
          <t>eng</t>
        </is>
      </c>
      <c r="P167" t="inlineStr">
        <is>
          <t xml:space="preserve">en </t>
        </is>
      </c>
      <c r="R167" t="inlineStr">
        <is>
          <t xml:space="preserve">BT </t>
        </is>
      </c>
      <c r="S167" t="n">
        <v>7</v>
      </c>
      <c r="T167" t="n">
        <v>7</v>
      </c>
      <c r="U167" t="inlineStr">
        <is>
          <t>2002-07-12</t>
        </is>
      </c>
      <c r="V167" t="inlineStr">
        <is>
          <t>2002-07-12</t>
        </is>
      </c>
      <c r="W167" t="inlineStr">
        <is>
          <t>1991-07-31</t>
        </is>
      </c>
      <c r="X167" t="inlineStr">
        <is>
          <t>1991-07-31</t>
        </is>
      </c>
      <c r="Y167" t="n">
        <v>235</v>
      </c>
      <c r="Z167" t="n">
        <v>170</v>
      </c>
      <c r="AA167" t="n">
        <v>258</v>
      </c>
      <c r="AB167" t="n">
        <v>1</v>
      </c>
      <c r="AC167" t="n">
        <v>3</v>
      </c>
      <c r="AD167" t="n">
        <v>8</v>
      </c>
      <c r="AE167" t="n">
        <v>14</v>
      </c>
      <c r="AF167" t="n">
        <v>3</v>
      </c>
      <c r="AG167" t="n">
        <v>5</v>
      </c>
      <c r="AH167" t="n">
        <v>2</v>
      </c>
      <c r="AI167" t="n">
        <v>2</v>
      </c>
      <c r="AJ167" t="n">
        <v>3</v>
      </c>
      <c r="AK167" t="n">
        <v>5</v>
      </c>
      <c r="AL167" t="n">
        <v>0</v>
      </c>
      <c r="AM167" t="n">
        <v>2</v>
      </c>
      <c r="AN167" t="n">
        <v>0</v>
      </c>
      <c r="AO167" t="n">
        <v>0</v>
      </c>
      <c r="AP167" t="inlineStr">
        <is>
          <t>Yes</t>
        </is>
      </c>
      <c r="AQ167" t="inlineStr">
        <is>
          <t>No</t>
        </is>
      </c>
      <c r="AR167">
        <f>HYPERLINK("http://catalog.hathitrust.org/Record/009405274","HathiTrust Record")</f>
        <v/>
      </c>
      <c r="AS167">
        <f>HYPERLINK("https://creighton-primo.hosted.exlibrisgroup.com/primo-explore/search?tab=default_tab&amp;search_scope=EVERYTHING&amp;vid=01CRU&amp;lang=en_US&amp;offset=0&amp;query=any,contains,991004855119702656","Catalog Record")</f>
        <v/>
      </c>
      <c r="AT167">
        <f>HYPERLINK("http://www.worldcat.org/oclc/530016","WorldCat Record")</f>
        <v/>
      </c>
      <c r="AU167" t="inlineStr">
        <is>
          <t>1542072:eng</t>
        </is>
      </c>
      <c r="AV167" t="inlineStr">
        <is>
          <t>530016</t>
        </is>
      </c>
      <c r="AW167" t="inlineStr">
        <is>
          <t>991004855119702656</t>
        </is>
      </c>
      <c r="AX167" t="inlineStr">
        <is>
          <t>991004855119702656</t>
        </is>
      </c>
      <c r="AY167" t="inlineStr">
        <is>
          <t>2259515860002656</t>
        </is>
      </c>
      <c r="AZ167" t="inlineStr">
        <is>
          <t>BOOK</t>
        </is>
      </c>
      <c r="BC167" t="inlineStr">
        <is>
          <t>32285000693175</t>
        </is>
      </c>
      <c r="BD167" t="inlineStr">
        <is>
          <t>893248066</t>
        </is>
      </c>
    </row>
    <row r="168">
      <c r="A168" t="inlineStr">
        <is>
          <t>No</t>
        </is>
      </c>
      <c r="B168" t="inlineStr">
        <is>
          <t>BT121 .S948 1912</t>
        </is>
      </c>
      <c r="C168" t="inlineStr">
        <is>
          <t>0                      BT 0121000S  948         1912</t>
        </is>
      </c>
      <c r="D168" t="inlineStr">
        <is>
          <t>The Holy Spirit in the ancient church : a study of Christian teaching in the age of the fathers / by Henry Barclay Swete.</t>
        </is>
      </c>
      <c r="F168" t="inlineStr">
        <is>
          <t>No</t>
        </is>
      </c>
      <c r="G168" t="inlineStr">
        <is>
          <t>1</t>
        </is>
      </c>
      <c r="H168" t="inlineStr">
        <is>
          <t>No</t>
        </is>
      </c>
      <c r="I168" t="inlineStr">
        <is>
          <t>No</t>
        </is>
      </c>
      <c r="J168" t="inlineStr">
        <is>
          <t>0</t>
        </is>
      </c>
      <c r="K168" t="inlineStr">
        <is>
          <t>Swete, Henry Barclay, 1835-1917.</t>
        </is>
      </c>
      <c r="L168" t="inlineStr">
        <is>
          <t>London, Macmillan and Co., Limited, 1912.</t>
        </is>
      </c>
      <c r="M168" t="inlineStr">
        <is>
          <t>1912</t>
        </is>
      </c>
      <c r="O168" t="inlineStr">
        <is>
          <t>eng</t>
        </is>
      </c>
      <c r="P168" t="inlineStr">
        <is>
          <t>___</t>
        </is>
      </c>
      <c r="R168" t="inlineStr">
        <is>
          <t xml:space="preserve">BT </t>
        </is>
      </c>
      <c r="S168" t="n">
        <v>6</v>
      </c>
      <c r="T168" t="n">
        <v>6</v>
      </c>
      <c r="U168" t="inlineStr">
        <is>
          <t>2006-07-11</t>
        </is>
      </c>
      <c r="V168" t="inlineStr">
        <is>
          <t>2006-07-11</t>
        </is>
      </c>
      <c r="W168" t="inlineStr">
        <is>
          <t>1991-07-31</t>
        </is>
      </c>
      <c r="X168" t="inlineStr">
        <is>
          <t>1991-07-31</t>
        </is>
      </c>
      <c r="Y168" t="n">
        <v>204</v>
      </c>
      <c r="Z168" t="n">
        <v>134</v>
      </c>
      <c r="AA168" t="n">
        <v>276</v>
      </c>
      <c r="AB168" t="n">
        <v>1</v>
      </c>
      <c r="AC168" t="n">
        <v>4</v>
      </c>
      <c r="AD168" t="n">
        <v>7</v>
      </c>
      <c r="AE168" t="n">
        <v>21</v>
      </c>
      <c r="AF168" t="n">
        <v>3</v>
      </c>
      <c r="AG168" t="n">
        <v>7</v>
      </c>
      <c r="AH168" t="n">
        <v>1</v>
      </c>
      <c r="AI168" t="n">
        <v>4</v>
      </c>
      <c r="AJ168" t="n">
        <v>5</v>
      </c>
      <c r="AK168" t="n">
        <v>11</v>
      </c>
      <c r="AL168" t="n">
        <v>0</v>
      </c>
      <c r="AM168" t="n">
        <v>3</v>
      </c>
      <c r="AN168" t="n">
        <v>0</v>
      </c>
      <c r="AO168" t="n">
        <v>0</v>
      </c>
      <c r="AP168" t="inlineStr">
        <is>
          <t>Yes</t>
        </is>
      </c>
      <c r="AQ168" t="inlineStr">
        <is>
          <t>No</t>
        </is>
      </c>
      <c r="AR168">
        <f>HYPERLINK("http://catalog.hathitrust.org/Record/100759145","HathiTrust Record")</f>
        <v/>
      </c>
      <c r="AS168">
        <f>HYPERLINK("https://creighton-primo.hosted.exlibrisgroup.com/primo-explore/search?tab=default_tab&amp;search_scope=EVERYTHING&amp;vid=01CRU&amp;lang=en_US&amp;offset=0&amp;query=any,contains,991003561419702656","Catalog Record")</f>
        <v/>
      </c>
      <c r="AT168">
        <f>HYPERLINK("http://www.worldcat.org/oclc/1132073","WorldCat Record")</f>
        <v/>
      </c>
      <c r="AU168" t="inlineStr">
        <is>
          <t>2047236:eng</t>
        </is>
      </c>
      <c r="AV168" t="inlineStr">
        <is>
          <t>1132073</t>
        </is>
      </c>
      <c r="AW168" t="inlineStr">
        <is>
          <t>991003561419702656</t>
        </is>
      </c>
      <c r="AX168" t="inlineStr">
        <is>
          <t>991003561419702656</t>
        </is>
      </c>
      <c r="AY168" t="inlineStr">
        <is>
          <t>2264535880002656</t>
        </is>
      </c>
      <c r="AZ168" t="inlineStr">
        <is>
          <t>BOOK</t>
        </is>
      </c>
      <c r="BC168" t="inlineStr">
        <is>
          <t>32285000693183</t>
        </is>
      </c>
      <c r="BD168" t="inlineStr">
        <is>
          <t>893592625</t>
        </is>
      </c>
    </row>
    <row r="169">
      <c r="A169" t="inlineStr">
        <is>
          <t>No</t>
        </is>
      </c>
      <c r="B169" t="inlineStr">
        <is>
          <t>BT121.2 .A65 1995</t>
        </is>
      </c>
      <c r="C169" t="inlineStr">
        <is>
          <t>0                      BT 0121200A  65          1995</t>
        </is>
      </c>
      <c r="D169" t="inlineStr">
        <is>
          <t>The Comforter : the Spirit of joy / Andrew Apostoli.</t>
        </is>
      </c>
      <c r="F169" t="inlineStr">
        <is>
          <t>No</t>
        </is>
      </c>
      <c r="G169" t="inlineStr">
        <is>
          <t>1</t>
        </is>
      </c>
      <c r="H169" t="inlineStr">
        <is>
          <t>No</t>
        </is>
      </c>
      <c r="I169" t="inlineStr">
        <is>
          <t>No</t>
        </is>
      </c>
      <c r="J169" t="inlineStr">
        <is>
          <t>0</t>
        </is>
      </c>
      <c r="K169" t="inlineStr">
        <is>
          <t>Apostoli, Andrew.</t>
        </is>
      </c>
      <c r="L169" t="inlineStr">
        <is>
          <t>Staten Island, N.Y. : Alba House, c1995.</t>
        </is>
      </c>
      <c r="M169" t="inlineStr">
        <is>
          <t>1995</t>
        </is>
      </c>
      <c r="O169" t="inlineStr">
        <is>
          <t>eng</t>
        </is>
      </c>
      <c r="P169" t="inlineStr">
        <is>
          <t>nyu</t>
        </is>
      </c>
      <c r="R169" t="inlineStr">
        <is>
          <t xml:space="preserve">BT </t>
        </is>
      </c>
      <c r="S169" t="n">
        <v>3</v>
      </c>
      <c r="T169" t="n">
        <v>3</v>
      </c>
      <c r="U169" t="inlineStr">
        <is>
          <t>2002-08-06</t>
        </is>
      </c>
      <c r="V169" t="inlineStr">
        <is>
          <t>2002-08-06</t>
        </is>
      </c>
      <c r="W169" t="inlineStr">
        <is>
          <t>2002-08-06</t>
        </is>
      </c>
      <c r="X169" t="inlineStr">
        <is>
          <t>2002-08-06</t>
        </is>
      </c>
      <c r="Y169" t="n">
        <v>44</v>
      </c>
      <c r="Z169" t="n">
        <v>37</v>
      </c>
      <c r="AA169" t="n">
        <v>39</v>
      </c>
      <c r="AB169" t="n">
        <v>2</v>
      </c>
      <c r="AC169" t="n">
        <v>2</v>
      </c>
      <c r="AD169" t="n">
        <v>4</v>
      </c>
      <c r="AE169" t="n">
        <v>4</v>
      </c>
      <c r="AF169" t="n">
        <v>0</v>
      </c>
      <c r="AG169" t="n">
        <v>0</v>
      </c>
      <c r="AH169" t="n">
        <v>0</v>
      </c>
      <c r="AI169" t="n">
        <v>0</v>
      </c>
      <c r="AJ169" t="n">
        <v>4</v>
      </c>
      <c r="AK169" t="n">
        <v>4</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HYPERLINK("https://creighton-primo.hosted.exlibrisgroup.com/primo-explore/search?tab=default_tab&amp;search_scope=EVERYTHING&amp;vid=01CRU&amp;lang=en_US&amp;offset=0&amp;query=any,contains,991003852319702656","Catalog Record")</f>
        <v/>
      </c>
      <c r="AT169">
        <f>HYPERLINK("http://www.worldcat.org/oclc/31969902","WorldCat Record")</f>
        <v/>
      </c>
      <c r="AU169" t="inlineStr">
        <is>
          <t>4458929498:eng</t>
        </is>
      </c>
      <c r="AV169" t="inlineStr">
        <is>
          <t>31969902</t>
        </is>
      </c>
      <c r="AW169" t="inlineStr">
        <is>
          <t>991003852319702656</t>
        </is>
      </c>
      <c r="AX169" t="inlineStr">
        <is>
          <t>991003852319702656</t>
        </is>
      </c>
      <c r="AY169" t="inlineStr">
        <is>
          <t>2260796670002656</t>
        </is>
      </c>
      <c r="AZ169" t="inlineStr">
        <is>
          <t>BOOK</t>
        </is>
      </c>
      <c r="BB169" t="inlineStr">
        <is>
          <t>9780818907340</t>
        </is>
      </c>
      <c r="BC169" t="inlineStr">
        <is>
          <t>32285004642087</t>
        </is>
      </c>
      <c r="BD169" t="inlineStr">
        <is>
          <t>893506067</t>
        </is>
      </c>
    </row>
    <row r="170">
      <c r="A170" t="inlineStr">
        <is>
          <t>No</t>
        </is>
      </c>
      <c r="B170" t="inlineStr">
        <is>
          <t>BT121.2 .A66 1994</t>
        </is>
      </c>
      <c r="C170" t="inlineStr">
        <is>
          <t>0                      BT 0121200A  66          1994</t>
        </is>
      </c>
      <c r="D170" t="inlineStr">
        <is>
          <t>The gift of God : the Holy Spirit / Andrew Apostoli ; preface by Benedict J. Groeschel.</t>
        </is>
      </c>
      <c r="F170" t="inlineStr">
        <is>
          <t>No</t>
        </is>
      </c>
      <c r="G170" t="inlineStr">
        <is>
          <t>1</t>
        </is>
      </c>
      <c r="H170" t="inlineStr">
        <is>
          <t>No</t>
        </is>
      </c>
      <c r="I170" t="inlineStr">
        <is>
          <t>No</t>
        </is>
      </c>
      <c r="J170" t="inlineStr">
        <is>
          <t>0</t>
        </is>
      </c>
      <c r="K170" t="inlineStr">
        <is>
          <t>Apostoli, Andrew.</t>
        </is>
      </c>
      <c r="L170" t="inlineStr">
        <is>
          <t>New York : Alba House, c1994.</t>
        </is>
      </c>
      <c r="M170" t="inlineStr">
        <is>
          <t>1994</t>
        </is>
      </c>
      <c r="O170" t="inlineStr">
        <is>
          <t>eng</t>
        </is>
      </c>
      <c r="P170" t="inlineStr">
        <is>
          <t>nyu</t>
        </is>
      </c>
      <c r="R170" t="inlineStr">
        <is>
          <t xml:space="preserve">BT </t>
        </is>
      </c>
      <c r="S170" t="n">
        <v>3</v>
      </c>
      <c r="T170" t="n">
        <v>3</v>
      </c>
      <c r="U170" t="inlineStr">
        <is>
          <t>2004-07-15</t>
        </is>
      </c>
      <c r="V170" t="inlineStr">
        <is>
          <t>2004-07-15</t>
        </is>
      </c>
      <c r="W170" t="inlineStr">
        <is>
          <t>2002-08-06</t>
        </is>
      </c>
      <c r="X170" t="inlineStr">
        <is>
          <t>2002-08-06</t>
        </is>
      </c>
      <c r="Y170" t="n">
        <v>60</v>
      </c>
      <c r="Z170" t="n">
        <v>54</v>
      </c>
      <c r="AA170" t="n">
        <v>54</v>
      </c>
      <c r="AB170" t="n">
        <v>2</v>
      </c>
      <c r="AC170" t="n">
        <v>2</v>
      </c>
      <c r="AD170" t="n">
        <v>2</v>
      </c>
      <c r="AE170" t="n">
        <v>2</v>
      </c>
      <c r="AF170" t="n">
        <v>0</v>
      </c>
      <c r="AG170" t="n">
        <v>0</v>
      </c>
      <c r="AH170" t="n">
        <v>0</v>
      </c>
      <c r="AI170" t="n">
        <v>0</v>
      </c>
      <c r="AJ170" t="n">
        <v>2</v>
      </c>
      <c r="AK170" t="n">
        <v>2</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HYPERLINK("https://creighton-primo.hosted.exlibrisgroup.com/primo-explore/search?tab=default_tab&amp;search_scope=EVERYTHING&amp;vid=01CRU&amp;lang=en_US&amp;offset=0&amp;query=any,contains,991003852029702656","Catalog Record")</f>
        <v/>
      </c>
      <c r="AT170">
        <f>HYPERLINK("http://www.worldcat.org/oclc/29845416","WorldCat Record")</f>
        <v/>
      </c>
      <c r="AU170" t="inlineStr">
        <is>
          <t>32439294:eng</t>
        </is>
      </c>
      <c r="AV170" t="inlineStr">
        <is>
          <t>29845416</t>
        </is>
      </c>
      <c r="AW170" t="inlineStr">
        <is>
          <t>991003852029702656</t>
        </is>
      </c>
      <c r="AX170" t="inlineStr">
        <is>
          <t>991003852029702656</t>
        </is>
      </c>
      <c r="AY170" t="inlineStr">
        <is>
          <t>2265617890002656</t>
        </is>
      </c>
      <c r="AZ170" t="inlineStr">
        <is>
          <t>BOOK</t>
        </is>
      </c>
      <c r="BB170" t="inlineStr">
        <is>
          <t>9780818907036</t>
        </is>
      </c>
      <c r="BC170" t="inlineStr">
        <is>
          <t>32285004641931</t>
        </is>
      </c>
      <c r="BD170" t="inlineStr">
        <is>
          <t>893605282</t>
        </is>
      </c>
    </row>
    <row r="171">
      <c r="A171" t="inlineStr">
        <is>
          <t>No</t>
        </is>
      </c>
      <c r="B171" t="inlineStr">
        <is>
          <t>BT121.2 .B34 1975</t>
        </is>
      </c>
      <c r="C171" t="inlineStr">
        <is>
          <t>0                      BT 0121200B  34          1975</t>
        </is>
      </c>
      <c r="D171" t="inlineStr">
        <is>
          <t>The Holy Spirit and the Gospel tradition / by C. K. Barrett.</t>
        </is>
      </c>
      <c r="F171" t="inlineStr">
        <is>
          <t>No</t>
        </is>
      </c>
      <c r="G171" t="inlineStr">
        <is>
          <t>1</t>
        </is>
      </c>
      <c r="H171" t="inlineStr">
        <is>
          <t>No</t>
        </is>
      </c>
      <c r="I171" t="inlineStr">
        <is>
          <t>No</t>
        </is>
      </c>
      <c r="J171" t="inlineStr">
        <is>
          <t>0</t>
        </is>
      </c>
      <c r="K171" t="inlineStr">
        <is>
          <t>Barrett, C. K. (Charles Kingsley), 1917-2011.</t>
        </is>
      </c>
      <c r="L171" t="inlineStr">
        <is>
          <t>London, S.P.C.K., 1966, 1975 printing.</t>
        </is>
      </c>
      <c r="M171" t="inlineStr">
        <is>
          <t>1966</t>
        </is>
      </c>
      <c r="O171" t="inlineStr">
        <is>
          <t>eng</t>
        </is>
      </c>
      <c r="P171" t="inlineStr">
        <is>
          <t>enk</t>
        </is>
      </c>
      <c r="Q171" t="inlineStr">
        <is>
          <t>SPCK paperbacks</t>
        </is>
      </c>
      <c r="R171" t="inlineStr">
        <is>
          <t xml:space="preserve">BT </t>
        </is>
      </c>
      <c r="S171" t="n">
        <v>3</v>
      </c>
      <c r="T171" t="n">
        <v>3</v>
      </c>
      <c r="U171" t="inlineStr">
        <is>
          <t>1997-01-02</t>
        </is>
      </c>
      <c r="V171" t="inlineStr">
        <is>
          <t>1997-01-02</t>
        </is>
      </c>
      <c r="W171" t="inlineStr">
        <is>
          <t>1991-07-31</t>
        </is>
      </c>
      <c r="X171" t="inlineStr">
        <is>
          <t>1991-07-31</t>
        </is>
      </c>
      <c r="Y171" t="n">
        <v>215</v>
      </c>
      <c r="Z171" t="n">
        <v>160</v>
      </c>
      <c r="AA171" t="n">
        <v>349</v>
      </c>
      <c r="AB171" t="n">
        <v>2</v>
      </c>
      <c r="AC171" t="n">
        <v>3</v>
      </c>
      <c r="AD171" t="n">
        <v>20</v>
      </c>
      <c r="AE171" t="n">
        <v>28</v>
      </c>
      <c r="AF171" t="n">
        <v>6</v>
      </c>
      <c r="AG171" t="n">
        <v>9</v>
      </c>
      <c r="AH171" t="n">
        <v>3</v>
      </c>
      <c r="AI171" t="n">
        <v>6</v>
      </c>
      <c r="AJ171" t="n">
        <v>12</v>
      </c>
      <c r="AK171" t="n">
        <v>17</v>
      </c>
      <c r="AL171" t="n">
        <v>1</v>
      </c>
      <c r="AM171" t="n">
        <v>2</v>
      </c>
      <c r="AN171" t="n">
        <v>0</v>
      </c>
      <c r="AO171" t="n">
        <v>0</v>
      </c>
      <c r="AP171" t="inlineStr">
        <is>
          <t>No</t>
        </is>
      </c>
      <c r="AQ171" t="inlineStr">
        <is>
          <t>Yes</t>
        </is>
      </c>
      <c r="AR171">
        <f>HYPERLINK("http://catalog.hathitrust.org/Record/102074642","HathiTrust Record")</f>
        <v/>
      </c>
      <c r="AS171">
        <f>HYPERLINK("https://creighton-primo.hosted.exlibrisgroup.com/primo-explore/search?tab=default_tab&amp;search_scope=EVERYTHING&amp;vid=01CRU&amp;lang=en_US&amp;offset=0&amp;query=any,contains,991003301359702656","Catalog Record")</f>
        <v/>
      </c>
      <c r="AT171">
        <f>HYPERLINK("http://www.worldcat.org/oclc/824541","WorldCat Record")</f>
        <v/>
      </c>
      <c r="AU171" t="inlineStr">
        <is>
          <t>1487573:eng</t>
        </is>
      </c>
      <c r="AV171" t="inlineStr">
        <is>
          <t>824541</t>
        </is>
      </c>
      <c r="AW171" t="inlineStr">
        <is>
          <t>991003301359702656</t>
        </is>
      </c>
      <c r="AX171" t="inlineStr">
        <is>
          <t>991003301359702656</t>
        </is>
      </c>
      <c r="AY171" t="inlineStr">
        <is>
          <t>2267534820002656</t>
        </is>
      </c>
      <c r="AZ171" t="inlineStr">
        <is>
          <t>BOOK</t>
        </is>
      </c>
      <c r="BC171" t="inlineStr">
        <is>
          <t>32285000693209</t>
        </is>
      </c>
      <c r="BD171" t="inlineStr">
        <is>
          <t>893893583</t>
        </is>
      </c>
    </row>
    <row r="172">
      <c r="A172" t="inlineStr">
        <is>
          <t>No</t>
        </is>
      </c>
      <c r="B172" t="inlineStr">
        <is>
          <t>BT121.2 .B47 1989</t>
        </is>
      </c>
      <c r="C172" t="inlineStr">
        <is>
          <t>0                      BT 0121200B  47          1989</t>
        </is>
      </c>
      <c r="D172" t="inlineStr">
        <is>
          <t>The spirit of life : the Holy Spirit in the life of the Christian / Luis M. Bermejo.</t>
        </is>
      </c>
      <c r="F172" t="inlineStr">
        <is>
          <t>No</t>
        </is>
      </c>
      <c r="G172" t="inlineStr">
        <is>
          <t>1</t>
        </is>
      </c>
      <c r="H172" t="inlineStr">
        <is>
          <t>No</t>
        </is>
      </c>
      <c r="I172" t="inlineStr">
        <is>
          <t>No</t>
        </is>
      </c>
      <c r="J172" t="inlineStr">
        <is>
          <t>0</t>
        </is>
      </c>
      <c r="K172" t="inlineStr">
        <is>
          <t>Bermejo, Luis M., 1929-</t>
        </is>
      </c>
      <c r="L172" t="inlineStr">
        <is>
          <t>Chicago : Loyola University Press, 1989, c1987.</t>
        </is>
      </c>
      <c r="M172" t="inlineStr">
        <is>
          <t>1989</t>
        </is>
      </c>
      <c r="O172" t="inlineStr">
        <is>
          <t>eng</t>
        </is>
      </c>
      <c r="P172" t="inlineStr">
        <is>
          <t>ilu</t>
        </is>
      </c>
      <c r="R172" t="inlineStr">
        <is>
          <t xml:space="preserve">BT </t>
        </is>
      </c>
      <c r="S172" t="n">
        <v>2</v>
      </c>
      <c r="T172" t="n">
        <v>2</v>
      </c>
      <c r="U172" t="inlineStr">
        <is>
          <t>2000-09-19</t>
        </is>
      </c>
      <c r="V172" t="inlineStr">
        <is>
          <t>2000-09-19</t>
        </is>
      </c>
      <c r="W172" t="inlineStr">
        <is>
          <t>1991-07-31</t>
        </is>
      </c>
      <c r="X172" t="inlineStr">
        <is>
          <t>1991-07-31</t>
        </is>
      </c>
      <c r="Y172" t="n">
        <v>72</v>
      </c>
      <c r="Z172" t="n">
        <v>66</v>
      </c>
      <c r="AA172" t="n">
        <v>113</v>
      </c>
      <c r="AB172" t="n">
        <v>1</v>
      </c>
      <c r="AC172" t="n">
        <v>1</v>
      </c>
      <c r="AD172" t="n">
        <v>5</v>
      </c>
      <c r="AE172" t="n">
        <v>13</v>
      </c>
      <c r="AF172" t="n">
        <v>0</v>
      </c>
      <c r="AG172" t="n">
        <v>3</v>
      </c>
      <c r="AH172" t="n">
        <v>2</v>
      </c>
      <c r="AI172" t="n">
        <v>2</v>
      </c>
      <c r="AJ172" t="n">
        <v>4</v>
      </c>
      <c r="AK172" t="n">
        <v>12</v>
      </c>
      <c r="AL172" t="n">
        <v>0</v>
      </c>
      <c r="AM172" t="n">
        <v>0</v>
      </c>
      <c r="AN172" t="n">
        <v>0</v>
      </c>
      <c r="AO172" t="n">
        <v>0</v>
      </c>
      <c r="AP172" t="inlineStr">
        <is>
          <t>No</t>
        </is>
      </c>
      <c r="AQ172" t="inlineStr">
        <is>
          <t>Yes</t>
        </is>
      </c>
      <c r="AR172">
        <f>HYPERLINK("http://catalog.hathitrust.org/Record/102376358","HathiTrust Record")</f>
        <v/>
      </c>
      <c r="AS172">
        <f>HYPERLINK("https://creighton-primo.hosted.exlibrisgroup.com/primo-explore/search?tab=default_tab&amp;search_scope=EVERYTHING&amp;vid=01CRU&amp;lang=en_US&amp;offset=0&amp;query=any,contains,991001488659702656","Catalog Record")</f>
        <v/>
      </c>
      <c r="AT172">
        <f>HYPERLINK("http://www.worldcat.org/oclc/19675029","WorldCat Record")</f>
        <v/>
      </c>
      <c r="AU172" t="inlineStr">
        <is>
          <t>21505866:eng</t>
        </is>
      </c>
      <c r="AV172" t="inlineStr">
        <is>
          <t>19675029</t>
        </is>
      </c>
      <c r="AW172" t="inlineStr">
        <is>
          <t>991001488659702656</t>
        </is>
      </c>
      <c r="AX172" t="inlineStr">
        <is>
          <t>991001488659702656</t>
        </is>
      </c>
      <c r="AY172" t="inlineStr">
        <is>
          <t>2268805470002656</t>
        </is>
      </c>
      <c r="AZ172" t="inlineStr">
        <is>
          <t>BOOK</t>
        </is>
      </c>
      <c r="BB172" t="inlineStr">
        <is>
          <t>9780829406030</t>
        </is>
      </c>
      <c r="BC172" t="inlineStr">
        <is>
          <t>32285000693217</t>
        </is>
      </c>
      <c r="BD172" t="inlineStr">
        <is>
          <t>893596506</t>
        </is>
      </c>
    </row>
    <row r="173">
      <c r="A173" t="inlineStr">
        <is>
          <t>No</t>
        </is>
      </c>
      <c r="B173" t="inlineStr">
        <is>
          <t>BT121.2 .B68</t>
        </is>
      </c>
      <c r="C173" t="inlineStr">
        <is>
          <t>0                      BT 0121200B  68</t>
        </is>
      </c>
      <c r="D173" t="inlineStr">
        <is>
          <t>Le consolateur : Esprit-Saint et vie de Grâce / Louis Bouyer.</t>
        </is>
      </c>
      <c r="F173" t="inlineStr">
        <is>
          <t>No</t>
        </is>
      </c>
      <c r="G173" t="inlineStr">
        <is>
          <t>1</t>
        </is>
      </c>
      <c r="H173" t="inlineStr">
        <is>
          <t>No</t>
        </is>
      </c>
      <c r="I173" t="inlineStr">
        <is>
          <t>No</t>
        </is>
      </c>
      <c r="J173" t="inlineStr">
        <is>
          <t>0</t>
        </is>
      </c>
      <c r="K173" t="inlineStr">
        <is>
          <t>Bouyer, Louis, 1913-2004.</t>
        </is>
      </c>
      <c r="L173" t="inlineStr">
        <is>
          <t>Paris : Les Éditions du Cerf, 1980.</t>
        </is>
      </c>
      <c r="M173" t="inlineStr">
        <is>
          <t>1980</t>
        </is>
      </c>
      <c r="O173" t="inlineStr">
        <is>
          <t>fre</t>
        </is>
      </c>
      <c r="P173" t="inlineStr">
        <is>
          <t xml:space="preserve">fr </t>
        </is>
      </c>
      <c r="Q173" t="inlineStr">
        <is>
          <t>His Connaissance de Dieu ; v. 2</t>
        </is>
      </c>
      <c r="R173" t="inlineStr">
        <is>
          <t xml:space="preserve">BT </t>
        </is>
      </c>
      <c r="S173" t="n">
        <v>1</v>
      </c>
      <c r="T173" t="n">
        <v>1</v>
      </c>
      <c r="U173" t="inlineStr">
        <is>
          <t>1992-08-11</t>
        </is>
      </c>
      <c r="V173" t="inlineStr">
        <is>
          <t>1992-08-11</t>
        </is>
      </c>
      <c r="W173" t="inlineStr">
        <is>
          <t>1991-07-31</t>
        </is>
      </c>
      <c r="X173" t="inlineStr">
        <is>
          <t>1991-07-31</t>
        </is>
      </c>
      <c r="Y173" t="n">
        <v>71</v>
      </c>
      <c r="Z173" t="n">
        <v>49</v>
      </c>
      <c r="AA173" t="n">
        <v>51</v>
      </c>
      <c r="AB173" t="n">
        <v>1</v>
      </c>
      <c r="AC173" t="n">
        <v>1</v>
      </c>
      <c r="AD173" t="n">
        <v>5</v>
      </c>
      <c r="AE173" t="n">
        <v>5</v>
      </c>
      <c r="AF173" t="n">
        <v>0</v>
      </c>
      <c r="AG173" t="n">
        <v>0</v>
      </c>
      <c r="AH173" t="n">
        <v>1</v>
      </c>
      <c r="AI173" t="n">
        <v>1</v>
      </c>
      <c r="AJ173" t="n">
        <v>4</v>
      </c>
      <c r="AK173" t="n">
        <v>4</v>
      </c>
      <c r="AL173" t="n">
        <v>0</v>
      </c>
      <c r="AM173" t="n">
        <v>0</v>
      </c>
      <c r="AN173" t="n">
        <v>0</v>
      </c>
      <c r="AO173" t="n">
        <v>0</v>
      </c>
      <c r="AP173" t="inlineStr">
        <is>
          <t>No</t>
        </is>
      </c>
      <c r="AQ173" t="inlineStr">
        <is>
          <t>Yes</t>
        </is>
      </c>
      <c r="AR173">
        <f>HYPERLINK("http://catalog.hathitrust.org/Record/000242975","HathiTrust Record")</f>
        <v/>
      </c>
      <c r="AS173">
        <f>HYPERLINK("https://creighton-primo.hosted.exlibrisgroup.com/primo-explore/search?tab=default_tab&amp;search_scope=EVERYTHING&amp;vid=01CRU&amp;lang=en_US&amp;offset=0&amp;query=any,contains,991005097959702656","Catalog Record")</f>
        <v/>
      </c>
      <c r="AT173">
        <f>HYPERLINK("http://www.worldcat.org/oclc/7277011","WorldCat Record")</f>
        <v/>
      </c>
      <c r="AU173" t="inlineStr">
        <is>
          <t>9037116:fre</t>
        </is>
      </c>
      <c r="AV173" t="inlineStr">
        <is>
          <t>7277011</t>
        </is>
      </c>
      <c r="AW173" t="inlineStr">
        <is>
          <t>991005097959702656</t>
        </is>
      </c>
      <c r="AX173" t="inlineStr">
        <is>
          <t>991005097959702656</t>
        </is>
      </c>
      <c r="AY173" t="inlineStr">
        <is>
          <t>2263697430002656</t>
        </is>
      </c>
      <c r="AZ173" t="inlineStr">
        <is>
          <t>BOOK</t>
        </is>
      </c>
      <c r="BC173" t="inlineStr">
        <is>
          <t>32285000693225</t>
        </is>
      </c>
      <c r="BD173" t="inlineStr">
        <is>
          <t>893876931</t>
        </is>
      </c>
    </row>
    <row r="174">
      <c r="A174" t="inlineStr">
        <is>
          <t>No</t>
        </is>
      </c>
      <c r="B174" t="inlineStr">
        <is>
          <t>BT121.2 .B77</t>
        </is>
      </c>
      <c r="C174" t="inlineStr">
        <is>
          <t>0                      BT 0121200B  77</t>
        </is>
      </c>
      <c r="D174" t="inlineStr">
        <is>
          <t>A theology of the Holy Spirit : the Pentecostal experience and the New Testament witness / by Frederick Dale Bruner.</t>
        </is>
      </c>
      <c r="F174" t="inlineStr">
        <is>
          <t>No</t>
        </is>
      </c>
      <c r="G174" t="inlineStr">
        <is>
          <t>1</t>
        </is>
      </c>
      <c r="H174" t="inlineStr">
        <is>
          <t>No</t>
        </is>
      </c>
      <c r="I174" t="inlineStr">
        <is>
          <t>No</t>
        </is>
      </c>
      <c r="J174" t="inlineStr">
        <is>
          <t>0</t>
        </is>
      </c>
      <c r="K174" t="inlineStr">
        <is>
          <t>Bruner, Frederick Dale.</t>
        </is>
      </c>
      <c r="L174" t="inlineStr">
        <is>
          <t>Grand Rapids, Eerdmans [1970]</t>
        </is>
      </c>
      <c r="M174" t="inlineStr">
        <is>
          <t>1970</t>
        </is>
      </c>
      <c r="O174" t="inlineStr">
        <is>
          <t>eng</t>
        </is>
      </c>
      <c r="P174" t="inlineStr">
        <is>
          <t>miu</t>
        </is>
      </c>
      <c r="R174" t="inlineStr">
        <is>
          <t xml:space="preserve">BT </t>
        </is>
      </c>
      <c r="S174" t="n">
        <v>8</v>
      </c>
      <c r="T174" t="n">
        <v>8</v>
      </c>
      <c r="U174" t="inlineStr">
        <is>
          <t>2005-09-10</t>
        </is>
      </c>
      <c r="V174" t="inlineStr">
        <is>
          <t>2005-09-10</t>
        </is>
      </c>
      <c r="W174" t="inlineStr">
        <is>
          <t>1991-07-31</t>
        </is>
      </c>
      <c r="X174" t="inlineStr">
        <is>
          <t>1991-07-31</t>
        </is>
      </c>
      <c r="Y174" t="n">
        <v>673</v>
      </c>
      <c r="Z174" t="n">
        <v>610</v>
      </c>
      <c r="AA174" t="n">
        <v>667</v>
      </c>
      <c r="AB174" t="n">
        <v>9</v>
      </c>
      <c r="AC174" t="n">
        <v>9</v>
      </c>
      <c r="AD174" t="n">
        <v>40</v>
      </c>
      <c r="AE174" t="n">
        <v>43</v>
      </c>
      <c r="AF174" t="n">
        <v>15</v>
      </c>
      <c r="AG174" t="n">
        <v>18</v>
      </c>
      <c r="AH174" t="n">
        <v>7</v>
      </c>
      <c r="AI174" t="n">
        <v>8</v>
      </c>
      <c r="AJ174" t="n">
        <v>19</v>
      </c>
      <c r="AK174" t="n">
        <v>21</v>
      </c>
      <c r="AL174" t="n">
        <v>8</v>
      </c>
      <c r="AM174" t="n">
        <v>8</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HYPERLINK("https://creighton-primo.hosted.exlibrisgroup.com/primo-explore/search?tab=default_tab&amp;search_scope=EVERYTHING&amp;vid=01CRU&amp;lang=en_US&amp;offset=0&amp;query=any,contains,991000599319702656","Catalog Record")</f>
        <v/>
      </c>
      <c r="AT174">
        <f>HYPERLINK("http://www.worldcat.org/oclc/98065","WorldCat Record")</f>
        <v/>
      </c>
      <c r="AU174" t="inlineStr">
        <is>
          <t>454555:eng</t>
        </is>
      </c>
      <c r="AV174" t="inlineStr">
        <is>
          <t>98065</t>
        </is>
      </c>
      <c r="AW174" t="inlineStr">
        <is>
          <t>991000599319702656</t>
        </is>
      </c>
      <c r="AX174" t="inlineStr">
        <is>
          <t>991000599319702656</t>
        </is>
      </c>
      <c r="AY174" t="inlineStr">
        <is>
          <t>2272154810002656</t>
        </is>
      </c>
      <c r="AZ174" t="inlineStr">
        <is>
          <t>BOOK</t>
        </is>
      </c>
      <c r="BC174" t="inlineStr">
        <is>
          <t>32285000693233</t>
        </is>
      </c>
      <c r="BD174" t="inlineStr">
        <is>
          <t>893315085</t>
        </is>
      </c>
    </row>
    <row r="175">
      <c r="A175" t="inlineStr">
        <is>
          <t>No</t>
        </is>
      </c>
      <c r="B175" t="inlineStr">
        <is>
          <t>BT121.2 .C59313 1989</t>
        </is>
      </c>
      <c r="C175" t="inlineStr">
        <is>
          <t>0                      BT 0121200C  59313       1989</t>
        </is>
      </c>
      <c r="D175" t="inlineStr">
        <is>
          <t>The Holy Spirit and liberation / José Comblin ; translated from the Portuguese by Paul Burns.</t>
        </is>
      </c>
      <c r="F175" t="inlineStr">
        <is>
          <t>No</t>
        </is>
      </c>
      <c r="G175" t="inlineStr">
        <is>
          <t>1</t>
        </is>
      </c>
      <c r="H175" t="inlineStr">
        <is>
          <t>No</t>
        </is>
      </c>
      <c r="I175" t="inlineStr">
        <is>
          <t>No</t>
        </is>
      </c>
      <c r="J175" t="inlineStr">
        <is>
          <t>0</t>
        </is>
      </c>
      <c r="K175" t="inlineStr">
        <is>
          <t>Comblin, José, 1923-2011.</t>
        </is>
      </c>
      <c r="L175" t="inlineStr">
        <is>
          <t>Maryknoll, N.Y. : Orbis Books, c1989.</t>
        </is>
      </c>
      <c r="M175" t="inlineStr">
        <is>
          <t>1989</t>
        </is>
      </c>
      <c r="O175" t="inlineStr">
        <is>
          <t>eng</t>
        </is>
      </c>
      <c r="P175" t="inlineStr">
        <is>
          <t>nyu</t>
        </is>
      </c>
      <c r="Q175" t="inlineStr">
        <is>
          <t>Theology and liberation series</t>
        </is>
      </c>
      <c r="R175" t="inlineStr">
        <is>
          <t xml:space="preserve">BT </t>
        </is>
      </c>
      <c r="S175" t="n">
        <v>3</v>
      </c>
      <c r="T175" t="n">
        <v>3</v>
      </c>
      <c r="U175" t="inlineStr">
        <is>
          <t>2005-09-10</t>
        </is>
      </c>
      <c r="V175" t="inlineStr">
        <is>
          <t>2005-09-10</t>
        </is>
      </c>
      <c r="W175" t="inlineStr">
        <is>
          <t>1991-01-28</t>
        </is>
      </c>
      <c r="X175" t="inlineStr">
        <is>
          <t>1991-01-28</t>
        </is>
      </c>
      <c r="Y175" t="n">
        <v>252</v>
      </c>
      <c r="Z175" t="n">
        <v>211</v>
      </c>
      <c r="AA175" t="n">
        <v>232</v>
      </c>
      <c r="AB175" t="n">
        <v>2</v>
      </c>
      <c r="AC175" t="n">
        <v>2</v>
      </c>
      <c r="AD175" t="n">
        <v>21</v>
      </c>
      <c r="AE175" t="n">
        <v>22</v>
      </c>
      <c r="AF175" t="n">
        <v>8</v>
      </c>
      <c r="AG175" t="n">
        <v>9</v>
      </c>
      <c r="AH175" t="n">
        <v>5</v>
      </c>
      <c r="AI175" t="n">
        <v>5</v>
      </c>
      <c r="AJ175" t="n">
        <v>13</v>
      </c>
      <c r="AK175" t="n">
        <v>14</v>
      </c>
      <c r="AL175" t="n">
        <v>1</v>
      </c>
      <c r="AM175" t="n">
        <v>1</v>
      </c>
      <c r="AN175" t="n">
        <v>0</v>
      </c>
      <c r="AO175" t="n">
        <v>0</v>
      </c>
      <c r="AP175" t="inlineStr">
        <is>
          <t>No</t>
        </is>
      </c>
      <c r="AQ175" t="inlineStr">
        <is>
          <t>Yes</t>
        </is>
      </c>
      <c r="AR175">
        <f>HYPERLINK("http://catalog.hathitrust.org/Record/002908021","HathiTrust Record")</f>
        <v/>
      </c>
      <c r="AS175">
        <f>HYPERLINK("https://creighton-primo.hosted.exlibrisgroup.com/primo-explore/search?tab=default_tab&amp;search_scope=EVERYTHING&amp;vid=01CRU&amp;lang=en_US&amp;offset=0&amp;query=any,contains,991001460569702656","Catalog Record")</f>
        <v/>
      </c>
      <c r="AT175">
        <f>HYPERLINK("http://www.worldcat.org/oclc/19453448","WorldCat Record")</f>
        <v/>
      </c>
      <c r="AU175" t="inlineStr">
        <is>
          <t>20086684:eng</t>
        </is>
      </c>
      <c r="AV175" t="inlineStr">
        <is>
          <t>19453448</t>
        </is>
      </c>
      <c r="AW175" t="inlineStr">
        <is>
          <t>991001460569702656</t>
        </is>
      </c>
      <c r="AX175" t="inlineStr">
        <is>
          <t>991001460569702656</t>
        </is>
      </c>
      <c r="AY175" t="inlineStr">
        <is>
          <t>2259057350002656</t>
        </is>
      </c>
      <c r="AZ175" t="inlineStr">
        <is>
          <t>BOOK</t>
        </is>
      </c>
      <c r="BB175" t="inlineStr">
        <is>
          <t>9780883443675</t>
        </is>
      </c>
      <c r="BC175" t="inlineStr">
        <is>
          <t>32285000461763</t>
        </is>
      </c>
      <c r="BD175" t="inlineStr">
        <is>
          <t>893903431</t>
        </is>
      </c>
    </row>
    <row r="176">
      <c r="A176" t="inlineStr">
        <is>
          <t>No</t>
        </is>
      </c>
      <c r="B176" t="inlineStr">
        <is>
          <t>BT121.2 .C597</t>
        </is>
      </c>
      <c r="C176" t="inlineStr">
        <is>
          <t>0                      BT 0121200C  597</t>
        </is>
      </c>
      <c r="D176" t="inlineStr">
        <is>
          <t>Je crois en l'Esprit Saint / F. Yves M.-J. Congar.</t>
        </is>
      </c>
      <c r="E176" t="inlineStr">
        <is>
          <t>V.1</t>
        </is>
      </c>
      <c r="F176" t="inlineStr">
        <is>
          <t>Yes</t>
        </is>
      </c>
      <c r="G176" t="inlineStr">
        <is>
          <t>1</t>
        </is>
      </c>
      <c r="H176" t="inlineStr">
        <is>
          <t>No</t>
        </is>
      </c>
      <c r="I176" t="inlineStr">
        <is>
          <t>No</t>
        </is>
      </c>
      <c r="J176" t="inlineStr">
        <is>
          <t>0</t>
        </is>
      </c>
      <c r="K176" t="inlineStr">
        <is>
          <t>Congar, Yves, 1904-1995.</t>
        </is>
      </c>
      <c r="L176" t="inlineStr">
        <is>
          <t>Paris : Éditions du Cerf, 1979-</t>
        </is>
      </c>
      <c r="M176" t="inlineStr">
        <is>
          <t>1979</t>
        </is>
      </c>
      <c r="O176" t="inlineStr">
        <is>
          <t>fre</t>
        </is>
      </c>
      <c r="P176" t="inlineStr">
        <is>
          <t xml:space="preserve">fr </t>
        </is>
      </c>
      <c r="R176" t="inlineStr">
        <is>
          <t xml:space="preserve">BT </t>
        </is>
      </c>
      <c r="S176" t="n">
        <v>0</v>
      </c>
      <c r="T176" t="n">
        <v>1</v>
      </c>
      <c r="U176" t="inlineStr">
        <is>
          <t>2003-11-14</t>
        </is>
      </c>
      <c r="V176" t="inlineStr">
        <is>
          <t>2003-11-14</t>
        </is>
      </c>
      <c r="W176" t="inlineStr">
        <is>
          <t>1991-07-31</t>
        </is>
      </c>
      <c r="X176" t="inlineStr">
        <is>
          <t>1991-07-31</t>
        </is>
      </c>
      <c r="Y176" t="n">
        <v>82</v>
      </c>
      <c r="Z176" t="n">
        <v>54</v>
      </c>
      <c r="AA176" t="n">
        <v>61</v>
      </c>
      <c r="AB176" t="n">
        <v>1</v>
      </c>
      <c r="AC176" t="n">
        <v>1</v>
      </c>
      <c r="AD176" t="n">
        <v>6</v>
      </c>
      <c r="AE176" t="n">
        <v>6</v>
      </c>
      <c r="AF176" t="n">
        <v>0</v>
      </c>
      <c r="AG176" t="n">
        <v>0</v>
      </c>
      <c r="AH176" t="n">
        <v>2</v>
      </c>
      <c r="AI176" t="n">
        <v>2</v>
      </c>
      <c r="AJ176" t="n">
        <v>5</v>
      </c>
      <c r="AK176" t="n">
        <v>5</v>
      </c>
      <c r="AL176" t="n">
        <v>0</v>
      </c>
      <c r="AM176" t="n">
        <v>0</v>
      </c>
      <c r="AN176" t="n">
        <v>0</v>
      </c>
      <c r="AO176" t="n">
        <v>0</v>
      </c>
      <c r="AP176" t="inlineStr">
        <is>
          <t>No</t>
        </is>
      </c>
      <c r="AQ176" t="inlineStr">
        <is>
          <t>Yes</t>
        </is>
      </c>
      <c r="AR176">
        <f>HYPERLINK("http://catalog.hathitrust.org/Record/102583523","HathiTrust Record")</f>
        <v/>
      </c>
      <c r="AS176">
        <f>HYPERLINK("https://creighton-primo.hosted.exlibrisgroup.com/primo-explore/search?tab=default_tab&amp;search_scope=EVERYTHING&amp;vid=01CRU&amp;lang=en_US&amp;offset=0&amp;query=any,contains,991004851689702656","Catalog Record")</f>
        <v/>
      </c>
      <c r="AT176">
        <f>HYPERLINK("http://www.worldcat.org/oclc/5617674","WorldCat Record")</f>
        <v/>
      </c>
      <c r="AU176" t="inlineStr">
        <is>
          <t>3373483878:fre</t>
        </is>
      </c>
      <c r="AV176" t="inlineStr">
        <is>
          <t>5617674</t>
        </is>
      </c>
      <c r="AW176" t="inlineStr">
        <is>
          <t>991004851689702656</t>
        </is>
      </c>
      <c r="AX176" t="inlineStr">
        <is>
          <t>991004851689702656</t>
        </is>
      </c>
      <c r="AY176" t="inlineStr">
        <is>
          <t>2261427460002656</t>
        </is>
      </c>
      <c r="AZ176" t="inlineStr">
        <is>
          <t>BOOK</t>
        </is>
      </c>
      <c r="BB176" t="inlineStr">
        <is>
          <t>9782204013079</t>
        </is>
      </c>
      <c r="BC176" t="inlineStr">
        <is>
          <t>32285000693258</t>
        </is>
      </c>
      <c r="BD176" t="inlineStr">
        <is>
          <t>893436824</t>
        </is>
      </c>
    </row>
    <row r="177">
      <c r="A177" t="inlineStr">
        <is>
          <t>No</t>
        </is>
      </c>
      <c r="B177" t="inlineStr">
        <is>
          <t>BT121.2 .C597</t>
        </is>
      </c>
      <c r="C177" t="inlineStr">
        <is>
          <t>0                      BT 0121200C  597</t>
        </is>
      </c>
      <c r="D177" t="inlineStr">
        <is>
          <t>Je crois en l'Esprit Saint / F. Yves M.-J. Congar.</t>
        </is>
      </c>
      <c r="E177" t="inlineStr">
        <is>
          <t>V.2</t>
        </is>
      </c>
      <c r="F177" t="inlineStr">
        <is>
          <t>Yes</t>
        </is>
      </c>
      <c r="G177" t="inlineStr">
        <is>
          <t>1</t>
        </is>
      </c>
      <c r="H177" t="inlineStr">
        <is>
          <t>No</t>
        </is>
      </c>
      <c r="I177" t="inlineStr">
        <is>
          <t>No</t>
        </is>
      </c>
      <c r="J177" t="inlineStr">
        <is>
          <t>0</t>
        </is>
      </c>
      <c r="K177" t="inlineStr">
        <is>
          <t>Congar, Yves, 1904-1995.</t>
        </is>
      </c>
      <c r="L177" t="inlineStr">
        <is>
          <t>Paris : Éditions du Cerf, 1979-</t>
        </is>
      </c>
      <c r="M177" t="inlineStr">
        <is>
          <t>1979</t>
        </is>
      </c>
      <c r="O177" t="inlineStr">
        <is>
          <t>fre</t>
        </is>
      </c>
      <c r="P177" t="inlineStr">
        <is>
          <t xml:space="preserve">fr </t>
        </is>
      </c>
      <c r="R177" t="inlineStr">
        <is>
          <t xml:space="preserve">BT </t>
        </is>
      </c>
      <c r="S177" t="n">
        <v>0</v>
      </c>
      <c r="T177" t="n">
        <v>1</v>
      </c>
      <c r="U177" t="inlineStr">
        <is>
          <t>2003-11-14</t>
        </is>
      </c>
      <c r="V177" t="inlineStr">
        <is>
          <t>2003-11-14</t>
        </is>
      </c>
      <c r="W177" t="inlineStr">
        <is>
          <t>1991-07-31</t>
        </is>
      </c>
      <c r="X177" t="inlineStr">
        <is>
          <t>1991-07-31</t>
        </is>
      </c>
      <c r="Y177" t="n">
        <v>82</v>
      </c>
      <c r="Z177" t="n">
        <v>54</v>
      </c>
      <c r="AA177" t="n">
        <v>61</v>
      </c>
      <c r="AB177" t="n">
        <v>1</v>
      </c>
      <c r="AC177" t="n">
        <v>1</v>
      </c>
      <c r="AD177" t="n">
        <v>6</v>
      </c>
      <c r="AE177" t="n">
        <v>6</v>
      </c>
      <c r="AF177" t="n">
        <v>0</v>
      </c>
      <c r="AG177" t="n">
        <v>0</v>
      </c>
      <c r="AH177" t="n">
        <v>2</v>
      </c>
      <c r="AI177" t="n">
        <v>2</v>
      </c>
      <c r="AJ177" t="n">
        <v>5</v>
      </c>
      <c r="AK177" t="n">
        <v>5</v>
      </c>
      <c r="AL177" t="n">
        <v>0</v>
      </c>
      <c r="AM177" t="n">
        <v>0</v>
      </c>
      <c r="AN177" t="n">
        <v>0</v>
      </c>
      <c r="AO177" t="n">
        <v>0</v>
      </c>
      <c r="AP177" t="inlineStr">
        <is>
          <t>No</t>
        </is>
      </c>
      <c r="AQ177" t="inlineStr">
        <is>
          <t>Yes</t>
        </is>
      </c>
      <c r="AR177">
        <f>HYPERLINK("http://catalog.hathitrust.org/Record/102583523","HathiTrust Record")</f>
        <v/>
      </c>
      <c r="AS177">
        <f>HYPERLINK("https://creighton-primo.hosted.exlibrisgroup.com/primo-explore/search?tab=default_tab&amp;search_scope=EVERYTHING&amp;vid=01CRU&amp;lang=en_US&amp;offset=0&amp;query=any,contains,991004851689702656","Catalog Record")</f>
        <v/>
      </c>
      <c r="AT177">
        <f>HYPERLINK("http://www.worldcat.org/oclc/5617674","WorldCat Record")</f>
        <v/>
      </c>
      <c r="AU177" t="inlineStr">
        <is>
          <t>3373483878:fre</t>
        </is>
      </c>
      <c r="AV177" t="inlineStr">
        <is>
          <t>5617674</t>
        </is>
      </c>
      <c r="AW177" t="inlineStr">
        <is>
          <t>991004851689702656</t>
        </is>
      </c>
      <c r="AX177" t="inlineStr">
        <is>
          <t>991004851689702656</t>
        </is>
      </c>
      <c r="AY177" t="inlineStr">
        <is>
          <t>2261427460002656</t>
        </is>
      </c>
      <c r="AZ177" t="inlineStr">
        <is>
          <t>BOOK</t>
        </is>
      </c>
      <c r="BB177" t="inlineStr">
        <is>
          <t>9782204013079</t>
        </is>
      </c>
      <c r="BC177" t="inlineStr">
        <is>
          <t>32285000693266</t>
        </is>
      </c>
      <c r="BD177" t="inlineStr">
        <is>
          <t>893424260</t>
        </is>
      </c>
    </row>
    <row r="178">
      <c r="A178" t="inlineStr">
        <is>
          <t>No</t>
        </is>
      </c>
      <c r="B178" t="inlineStr">
        <is>
          <t>BT121.2 .C597</t>
        </is>
      </c>
      <c r="C178" t="inlineStr">
        <is>
          <t>0                      BT 0121200C  597</t>
        </is>
      </c>
      <c r="D178" t="inlineStr">
        <is>
          <t>Je crois en l'Esprit Saint / F. Yves M.-J. Congar.</t>
        </is>
      </c>
      <c r="E178" t="inlineStr">
        <is>
          <t>V.3</t>
        </is>
      </c>
      <c r="F178" t="inlineStr">
        <is>
          <t>Yes</t>
        </is>
      </c>
      <c r="G178" t="inlineStr">
        <is>
          <t>1</t>
        </is>
      </c>
      <c r="H178" t="inlineStr">
        <is>
          <t>No</t>
        </is>
      </c>
      <c r="I178" t="inlineStr">
        <is>
          <t>No</t>
        </is>
      </c>
      <c r="J178" t="inlineStr">
        <is>
          <t>0</t>
        </is>
      </c>
      <c r="K178" t="inlineStr">
        <is>
          <t>Congar, Yves, 1904-1995.</t>
        </is>
      </c>
      <c r="L178" t="inlineStr">
        <is>
          <t>Paris : Éditions du Cerf, 1979-</t>
        </is>
      </c>
      <c r="M178" t="inlineStr">
        <is>
          <t>1979</t>
        </is>
      </c>
      <c r="O178" t="inlineStr">
        <is>
          <t>fre</t>
        </is>
      </c>
      <c r="P178" t="inlineStr">
        <is>
          <t xml:space="preserve">fr </t>
        </is>
      </c>
      <c r="R178" t="inlineStr">
        <is>
          <t xml:space="preserve">BT </t>
        </is>
      </c>
      <c r="S178" t="n">
        <v>1</v>
      </c>
      <c r="T178" t="n">
        <v>1</v>
      </c>
      <c r="U178" t="inlineStr">
        <is>
          <t>2003-11-14</t>
        </is>
      </c>
      <c r="V178" t="inlineStr">
        <is>
          <t>2003-11-14</t>
        </is>
      </c>
      <c r="W178" t="inlineStr">
        <is>
          <t>1991-07-31</t>
        </is>
      </c>
      <c r="X178" t="inlineStr">
        <is>
          <t>1991-07-31</t>
        </is>
      </c>
      <c r="Y178" t="n">
        <v>82</v>
      </c>
      <c r="Z178" t="n">
        <v>54</v>
      </c>
      <c r="AA178" t="n">
        <v>61</v>
      </c>
      <c r="AB178" t="n">
        <v>1</v>
      </c>
      <c r="AC178" t="n">
        <v>1</v>
      </c>
      <c r="AD178" t="n">
        <v>6</v>
      </c>
      <c r="AE178" t="n">
        <v>6</v>
      </c>
      <c r="AF178" t="n">
        <v>0</v>
      </c>
      <c r="AG178" t="n">
        <v>0</v>
      </c>
      <c r="AH178" t="n">
        <v>2</v>
      </c>
      <c r="AI178" t="n">
        <v>2</v>
      </c>
      <c r="AJ178" t="n">
        <v>5</v>
      </c>
      <c r="AK178" t="n">
        <v>5</v>
      </c>
      <c r="AL178" t="n">
        <v>0</v>
      </c>
      <c r="AM178" t="n">
        <v>0</v>
      </c>
      <c r="AN178" t="n">
        <v>0</v>
      </c>
      <c r="AO178" t="n">
        <v>0</v>
      </c>
      <c r="AP178" t="inlineStr">
        <is>
          <t>No</t>
        </is>
      </c>
      <c r="AQ178" t="inlineStr">
        <is>
          <t>Yes</t>
        </is>
      </c>
      <c r="AR178">
        <f>HYPERLINK("http://catalog.hathitrust.org/Record/102583523","HathiTrust Record")</f>
        <v/>
      </c>
      <c r="AS178">
        <f>HYPERLINK("https://creighton-primo.hosted.exlibrisgroup.com/primo-explore/search?tab=default_tab&amp;search_scope=EVERYTHING&amp;vid=01CRU&amp;lang=en_US&amp;offset=0&amp;query=any,contains,991004851689702656","Catalog Record")</f>
        <v/>
      </c>
      <c r="AT178">
        <f>HYPERLINK("http://www.worldcat.org/oclc/5617674","WorldCat Record")</f>
        <v/>
      </c>
      <c r="AU178" t="inlineStr">
        <is>
          <t>3373483878:fre</t>
        </is>
      </c>
      <c r="AV178" t="inlineStr">
        <is>
          <t>5617674</t>
        </is>
      </c>
      <c r="AW178" t="inlineStr">
        <is>
          <t>991004851689702656</t>
        </is>
      </c>
      <c r="AX178" t="inlineStr">
        <is>
          <t>991004851689702656</t>
        </is>
      </c>
      <c r="AY178" t="inlineStr">
        <is>
          <t>2261427460002656</t>
        </is>
      </c>
      <c r="AZ178" t="inlineStr">
        <is>
          <t>BOOK</t>
        </is>
      </c>
      <c r="BB178" t="inlineStr">
        <is>
          <t>9782204013079</t>
        </is>
      </c>
      <c r="BC178" t="inlineStr">
        <is>
          <t>32285000693274</t>
        </is>
      </c>
      <c r="BD178" t="inlineStr">
        <is>
          <t>893436823</t>
        </is>
      </c>
    </row>
    <row r="179">
      <c r="A179" t="inlineStr">
        <is>
          <t>No</t>
        </is>
      </c>
      <c r="B179" t="inlineStr">
        <is>
          <t>BT121.2 .C59713 1983</t>
        </is>
      </c>
      <c r="C179" t="inlineStr">
        <is>
          <t>0                      BT 0121200C  59713       1983</t>
        </is>
      </c>
      <c r="D179" t="inlineStr">
        <is>
          <t>I believe in the Holy Spirit / Yves M.J. Congar ; translated by David Smith.</t>
        </is>
      </c>
      <c r="E179" t="inlineStr">
        <is>
          <t>V.3</t>
        </is>
      </c>
      <c r="F179" t="inlineStr">
        <is>
          <t>Yes</t>
        </is>
      </c>
      <c r="G179" t="inlineStr">
        <is>
          <t>1</t>
        </is>
      </c>
      <c r="H179" t="inlineStr">
        <is>
          <t>No</t>
        </is>
      </c>
      <c r="I179" t="inlineStr">
        <is>
          <t>Yes</t>
        </is>
      </c>
      <c r="J179" t="inlineStr">
        <is>
          <t>0</t>
        </is>
      </c>
      <c r="K179" t="inlineStr">
        <is>
          <t>Congar, Yves, 1904-1995.</t>
        </is>
      </c>
      <c r="L179" t="inlineStr">
        <is>
          <t>New York : Seabury Press ; London : G. Chapman, 1983.</t>
        </is>
      </c>
      <c r="M179" t="inlineStr">
        <is>
          <t>1983</t>
        </is>
      </c>
      <c r="O179" t="inlineStr">
        <is>
          <t>eng</t>
        </is>
      </c>
      <c r="P179" t="inlineStr">
        <is>
          <t>nyu</t>
        </is>
      </c>
      <c r="R179" t="inlineStr">
        <is>
          <t xml:space="preserve">BT </t>
        </is>
      </c>
      <c r="S179" t="n">
        <v>12</v>
      </c>
      <c r="T179" t="n">
        <v>38</v>
      </c>
      <c r="U179" t="inlineStr">
        <is>
          <t>2008-12-03</t>
        </is>
      </c>
      <c r="V179" t="inlineStr">
        <is>
          <t>2008-12-03</t>
        </is>
      </c>
      <c r="W179" t="inlineStr">
        <is>
          <t>1991-07-31</t>
        </is>
      </c>
      <c r="X179" t="inlineStr">
        <is>
          <t>1991-07-31</t>
        </is>
      </c>
      <c r="Y179" t="n">
        <v>455</v>
      </c>
      <c r="Z179" t="n">
        <v>351</v>
      </c>
      <c r="AA179" t="n">
        <v>435</v>
      </c>
      <c r="AB179" t="n">
        <v>4</v>
      </c>
      <c r="AC179" t="n">
        <v>4</v>
      </c>
      <c r="AD179" t="n">
        <v>33</v>
      </c>
      <c r="AE179" t="n">
        <v>38</v>
      </c>
      <c r="AF179" t="n">
        <v>10</v>
      </c>
      <c r="AG179" t="n">
        <v>14</v>
      </c>
      <c r="AH179" t="n">
        <v>8</v>
      </c>
      <c r="AI179" t="n">
        <v>8</v>
      </c>
      <c r="AJ179" t="n">
        <v>23</v>
      </c>
      <c r="AK179" t="n">
        <v>27</v>
      </c>
      <c r="AL179" t="n">
        <v>2</v>
      </c>
      <c r="AM179" t="n">
        <v>2</v>
      </c>
      <c r="AN179" t="n">
        <v>0</v>
      </c>
      <c r="AO179" t="n">
        <v>0</v>
      </c>
      <c r="AP179" t="inlineStr">
        <is>
          <t>No</t>
        </is>
      </c>
      <c r="AQ179" t="inlineStr">
        <is>
          <t>Yes</t>
        </is>
      </c>
      <c r="AR179">
        <f>HYPERLINK("http://catalog.hathitrust.org/Record/000773886","HathiTrust Record")</f>
        <v/>
      </c>
      <c r="AS179">
        <f>HYPERLINK("https://creighton-primo.hosted.exlibrisgroup.com/primo-explore/search?tab=default_tab&amp;search_scope=EVERYTHING&amp;vid=01CRU&amp;lang=en_US&amp;offset=0&amp;query=any,contains,991000104549702656","Catalog Record")</f>
        <v/>
      </c>
      <c r="AT179">
        <f>HYPERLINK("http://www.worldcat.org/oclc/8974708","WorldCat Record")</f>
        <v/>
      </c>
      <c r="AU179" t="inlineStr">
        <is>
          <t>3373253706:eng</t>
        </is>
      </c>
      <c r="AV179" t="inlineStr">
        <is>
          <t>8974708</t>
        </is>
      </c>
      <c r="AW179" t="inlineStr">
        <is>
          <t>991000104549702656</t>
        </is>
      </c>
      <c r="AX179" t="inlineStr">
        <is>
          <t>991000104549702656</t>
        </is>
      </c>
      <c r="AY179" t="inlineStr">
        <is>
          <t>2256935140002656</t>
        </is>
      </c>
      <c r="AZ179" t="inlineStr">
        <is>
          <t>BOOK</t>
        </is>
      </c>
      <c r="BB179" t="inlineStr">
        <is>
          <t>9780816405404</t>
        </is>
      </c>
      <c r="BC179" t="inlineStr">
        <is>
          <t>32285000693308</t>
        </is>
      </c>
      <c r="BD179" t="inlineStr">
        <is>
          <t>893515002</t>
        </is>
      </c>
    </row>
    <row r="180">
      <c r="A180" t="inlineStr">
        <is>
          <t>No</t>
        </is>
      </c>
      <c r="B180" t="inlineStr">
        <is>
          <t>BT121.2 .C59713 1983</t>
        </is>
      </c>
      <c r="C180" t="inlineStr">
        <is>
          <t>0                      BT 0121200C  59713       1983</t>
        </is>
      </c>
      <c r="D180" t="inlineStr">
        <is>
          <t>I believe in the Holy Spirit / Yves M.J. Congar ; translated by David Smith.</t>
        </is>
      </c>
      <c r="E180" t="inlineStr">
        <is>
          <t>V.1</t>
        </is>
      </c>
      <c r="F180" t="inlineStr">
        <is>
          <t>Yes</t>
        </is>
      </c>
      <c r="G180" t="inlineStr">
        <is>
          <t>1</t>
        </is>
      </c>
      <c r="H180" t="inlineStr">
        <is>
          <t>No</t>
        </is>
      </c>
      <c r="I180" t="inlineStr">
        <is>
          <t>Yes</t>
        </is>
      </c>
      <c r="J180" t="inlineStr">
        <is>
          <t>0</t>
        </is>
      </c>
      <c r="K180" t="inlineStr">
        <is>
          <t>Congar, Yves, 1904-1995.</t>
        </is>
      </c>
      <c r="L180" t="inlineStr">
        <is>
          <t>New York : Seabury Press ; London : G. Chapman, 1983.</t>
        </is>
      </c>
      <c r="M180" t="inlineStr">
        <is>
          <t>1983</t>
        </is>
      </c>
      <c r="O180" t="inlineStr">
        <is>
          <t>eng</t>
        </is>
      </c>
      <c r="P180" t="inlineStr">
        <is>
          <t>nyu</t>
        </is>
      </c>
      <c r="R180" t="inlineStr">
        <is>
          <t xml:space="preserve">BT </t>
        </is>
      </c>
      <c r="S180" t="n">
        <v>19</v>
      </c>
      <c r="T180" t="n">
        <v>38</v>
      </c>
      <c r="U180" t="inlineStr">
        <is>
          <t>2008-12-03</t>
        </is>
      </c>
      <c r="V180" t="inlineStr">
        <is>
          <t>2008-12-03</t>
        </is>
      </c>
      <c r="W180" t="inlineStr">
        <is>
          <t>1991-07-31</t>
        </is>
      </c>
      <c r="X180" t="inlineStr">
        <is>
          <t>1991-07-31</t>
        </is>
      </c>
      <c r="Y180" t="n">
        <v>455</v>
      </c>
      <c r="Z180" t="n">
        <v>351</v>
      </c>
      <c r="AA180" t="n">
        <v>435</v>
      </c>
      <c r="AB180" t="n">
        <v>4</v>
      </c>
      <c r="AC180" t="n">
        <v>4</v>
      </c>
      <c r="AD180" t="n">
        <v>33</v>
      </c>
      <c r="AE180" t="n">
        <v>38</v>
      </c>
      <c r="AF180" t="n">
        <v>10</v>
      </c>
      <c r="AG180" t="n">
        <v>14</v>
      </c>
      <c r="AH180" t="n">
        <v>8</v>
      </c>
      <c r="AI180" t="n">
        <v>8</v>
      </c>
      <c r="AJ180" t="n">
        <v>23</v>
      </c>
      <c r="AK180" t="n">
        <v>27</v>
      </c>
      <c r="AL180" t="n">
        <v>2</v>
      </c>
      <c r="AM180" t="n">
        <v>2</v>
      </c>
      <c r="AN180" t="n">
        <v>0</v>
      </c>
      <c r="AO180" t="n">
        <v>0</v>
      </c>
      <c r="AP180" t="inlineStr">
        <is>
          <t>No</t>
        </is>
      </c>
      <c r="AQ180" t="inlineStr">
        <is>
          <t>Yes</t>
        </is>
      </c>
      <c r="AR180">
        <f>HYPERLINK("http://catalog.hathitrust.org/Record/000773886","HathiTrust Record")</f>
        <v/>
      </c>
      <c r="AS180">
        <f>HYPERLINK("https://creighton-primo.hosted.exlibrisgroup.com/primo-explore/search?tab=default_tab&amp;search_scope=EVERYTHING&amp;vid=01CRU&amp;lang=en_US&amp;offset=0&amp;query=any,contains,991000104549702656","Catalog Record")</f>
        <v/>
      </c>
      <c r="AT180">
        <f>HYPERLINK("http://www.worldcat.org/oclc/8974708","WorldCat Record")</f>
        <v/>
      </c>
      <c r="AU180" t="inlineStr">
        <is>
          <t>3373253706:eng</t>
        </is>
      </c>
      <c r="AV180" t="inlineStr">
        <is>
          <t>8974708</t>
        </is>
      </c>
      <c r="AW180" t="inlineStr">
        <is>
          <t>991000104549702656</t>
        </is>
      </c>
      <c r="AX180" t="inlineStr">
        <is>
          <t>991000104549702656</t>
        </is>
      </c>
      <c r="AY180" t="inlineStr">
        <is>
          <t>2256935140002656</t>
        </is>
      </c>
      <c r="AZ180" t="inlineStr">
        <is>
          <t>BOOK</t>
        </is>
      </c>
      <c r="BB180" t="inlineStr">
        <is>
          <t>9780816405404</t>
        </is>
      </c>
      <c r="BC180" t="inlineStr">
        <is>
          <t>32285000693282</t>
        </is>
      </c>
      <c r="BD180" t="inlineStr">
        <is>
          <t>893495918</t>
        </is>
      </c>
    </row>
    <row r="181">
      <c r="A181" t="inlineStr">
        <is>
          <t>No</t>
        </is>
      </c>
      <c r="B181" t="inlineStr">
        <is>
          <t>BT121.2 .C59713 1983</t>
        </is>
      </c>
      <c r="C181" t="inlineStr">
        <is>
          <t>0                      BT 0121200C  59713       1983</t>
        </is>
      </c>
      <c r="D181" t="inlineStr">
        <is>
          <t>I believe in the Holy Spirit / Yves M.J. Congar ; translated by David Smith.</t>
        </is>
      </c>
      <c r="E181" t="inlineStr">
        <is>
          <t>V.2</t>
        </is>
      </c>
      <c r="F181" t="inlineStr">
        <is>
          <t>Yes</t>
        </is>
      </c>
      <c r="G181" t="inlineStr">
        <is>
          <t>1</t>
        </is>
      </c>
      <c r="H181" t="inlineStr">
        <is>
          <t>No</t>
        </is>
      </c>
      <c r="I181" t="inlineStr">
        <is>
          <t>Yes</t>
        </is>
      </c>
      <c r="J181" t="inlineStr">
        <is>
          <t>0</t>
        </is>
      </c>
      <c r="K181" t="inlineStr">
        <is>
          <t>Congar, Yves, 1904-1995.</t>
        </is>
      </c>
      <c r="L181" t="inlineStr">
        <is>
          <t>New York : Seabury Press ; London : G. Chapman, 1983.</t>
        </is>
      </c>
      <c r="M181" t="inlineStr">
        <is>
          <t>1983</t>
        </is>
      </c>
      <c r="O181" t="inlineStr">
        <is>
          <t>eng</t>
        </is>
      </c>
      <c r="P181" t="inlineStr">
        <is>
          <t>nyu</t>
        </is>
      </c>
      <c r="R181" t="inlineStr">
        <is>
          <t xml:space="preserve">BT </t>
        </is>
      </c>
      <c r="S181" t="n">
        <v>7</v>
      </c>
      <c r="T181" t="n">
        <v>38</v>
      </c>
      <c r="U181" t="inlineStr">
        <is>
          <t>2008-12-03</t>
        </is>
      </c>
      <c r="V181" t="inlineStr">
        <is>
          <t>2008-12-03</t>
        </is>
      </c>
      <c r="W181" t="inlineStr">
        <is>
          <t>1991-07-31</t>
        </is>
      </c>
      <c r="X181" t="inlineStr">
        <is>
          <t>1991-07-31</t>
        </is>
      </c>
      <c r="Y181" t="n">
        <v>455</v>
      </c>
      <c r="Z181" t="n">
        <v>351</v>
      </c>
      <c r="AA181" t="n">
        <v>435</v>
      </c>
      <c r="AB181" t="n">
        <v>4</v>
      </c>
      <c r="AC181" t="n">
        <v>4</v>
      </c>
      <c r="AD181" t="n">
        <v>33</v>
      </c>
      <c r="AE181" t="n">
        <v>38</v>
      </c>
      <c r="AF181" t="n">
        <v>10</v>
      </c>
      <c r="AG181" t="n">
        <v>14</v>
      </c>
      <c r="AH181" t="n">
        <v>8</v>
      </c>
      <c r="AI181" t="n">
        <v>8</v>
      </c>
      <c r="AJ181" t="n">
        <v>23</v>
      </c>
      <c r="AK181" t="n">
        <v>27</v>
      </c>
      <c r="AL181" t="n">
        <v>2</v>
      </c>
      <c r="AM181" t="n">
        <v>2</v>
      </c>
      <c r="AN181" t="n">
        <v>0</v>
      </c>
      <c r="AO181" t="n">
        <v>0</v>
      </c>
      <c r="AP181" t="inlineStr">
        <is>
          <t>No</t>
        </is>
      </c>
      <c r="AQ181" t="inlineStr">
        <is>
          <t>Yes</t>
        </is>
      </c>
      <c r="AR181">
        <f>HYPERLINK("http://catalog.hathitrust.org/Record/000773886","HathiTrust Record")</f>
        <v/>
      </c>
      <c r="AS181">
        <f>HYPERLINK("https://creighton-primo.hosted.exlibrisgroup.com/primo-explore/search?tab=default_tab&amp;search_scope=EVERYTHING&amp;vid=01CRU&amp;lang=en_US&amp;offset=0&amp;query=any,contains,991000104549702656","Catalog Record")</f>
        <v/>
      </c>
      <c r="AT181">
        <f>HYPERLINK("http://www.worldcat.org/oclc/8974708","WorldCat Record")</f>
        <v/>
      </c>
      <c r="AU181" t="inlineStr">
        <is>
          <t>3373253706:eng</t>
        </is>
      </c>
      <c r="AV181" t="inlineStr">
        <is>
          <t>8974708</t>
        </is>
      </c>
      <c r="AW181" t="inlineStr">
        <is>
          <t>991000104549702656</t>
        </is>
      </c>
      <c r="AX181" t="inlineStr">
        <is>
          <t>991000104549702656</t>
        </is>
      </c>
      <c r="AY181" t="inlineStr">
        <is>
          <t>2256935140002656</t>
        </is>
      </c>
      <c r="AZ181" t="inlineStr">
        <is>
          <t>BOOK</t>
        </is>
      </c>
      <c r="BB181" t="inlineStr">
        <is>
          <t>9780816405404</t>
        </is>
      </c>
      <c r="BC181" t="inlineStr">
        <is>
          <t>32285000693290</t>
        </is>
      </c>
      <c r="BD181" t="inlineStr">
        <is>
          <t>893527798</t>
        </is>
      </c>
    </row>
    <row r="182">
      <c r="A182" t="inlineStr">
        <is>
          <t>No</t>
        </is>
      </c>
      <c r="B182" t="inlineStr">
        <is>
          <t>BT121.2 .C597213 1986</t>
        </is>
      </c>
      <c r="C182" t="inlineStr">
        <is>
          <t>0                      BT 0121200C  597213      1986</t>
        </is>
      </c>
      <c r="D182" t="inlineStr">
        <is>
          <t>The Word and the Spirit / Yves M.J. Congar ; translated by David Smith.</t>
        </is>
      </c>
      <c r="F182" t="inlineStr">
        <is>
          <t>No</t>
        </is>
      </c>
      <c r="G182" t="inlineStr">
        <is>
          <t>1</t>
        </is>
      </c>
      <c r="H182" t="inlineStr">
        <is>
          <t>No</t>
        </is>
      </c>
      <c r="I182" t="inlineStr">
        <is>
          <t>No</t>
        </is>
      </c>
      <c r="J182" t="inlineStr">
        <is>
          <t>0</t>
        </is>
      </c>
      <c r="K182" t="inlineStr">
        <is>
          <t>Congar, Yves, 1904-1995.</t>
        </is>
      </c>
      <c r="L182" t="inlineStr">
        <is>
          <t>London : G. Chapman ; San Francisco : Harper &amp; Row, 1986.</t>
        </is>
      </c>
      <c r="M182" t="inlineStr">
        <is>
          <t>1986</t>
        </is>
      </c>
      <c r="O182" t="inlineStr">
        <is>
          <t>eng</t>
        </is>
      </c>
      <c r="P182" t="inlineStr">
        <is>
          <t>enk</t>
        </is>
      </c>
      <c r="R182" t="inlineStr">
        <is>
          <t xml:space="preserve">BT </t>
        </is>
      </c>
      <c r="S182" t="n">
        <v>4</v>
      </c>
      <c r="T182" t="n">
        <v>4</v>
      </c>
      <c r="U182" t="inlineStr">
        <is>
          <t>2000-11-29</t>
        </is>
      </c>
      <c r="V182" t="inlineStr">
        <is>
          <t>2000-11-29</t>
        </is>
      </c>
      <c r="W182" t="inlineStr">
        <is>
          <t>1991-07-31</t>
        </is>
      </c>
      <c r="X182" t="inlineStr">
        <is>
          <t>1991-07-31</t>
        </is>
      </c>
      <c r="Y182" t="n">
        <v>348</v>
      </c>
      <c r="Z182" t="n">
        <v>287</v>
      </c>
      <c r="AA182" t="n">
        <v>293</v>
      </c>
      <c r="AB182" t="n">
        <v>1</v>
      </c>
      <c r="AC182" t="n">
        <v>1</v>
      </c>
      <c r="AD182" t="n">
        <v>25</v>
      </c>
      <c r="AE182" t="n">
        <v>25</v>
      </c>
      <c r="AF182" t="n">
        <v>10</v>
      </c>
      <c r="AG182" t="n">
        <v>10</v>
      </c>
      <c r="AH182" t="n">
        <v>6</v>
      </c>
      <c r="AI182" t="n">
        <v>6</v>
      </c>
      <c r="AJ182" t="n">
        <v>16</v>
      </c>
      <c r="AK182" t="n">
        <v>16</v>
      </c>
      <c r="AL182" t="n">
        <v>0</v>
      </c>
      <c r="AM182" t="n">
        <v>0</v>
      </c>
      <c r="AN182" t="n">
        <v>0</v>
      </c>
      <c r="AO182" t="n">
        <v>0</v>
      </c>
      <c r="AP182" t="inlineStr">
        <is>
          <t>No</t>
        </is>
      </c>
      <c r="AQ182" t="inlineStr">
        <is>
          <t>Yes</t>
        </is>
      </c>
      <c r="AR182">
        <f>HYPERLINK("http://catalog.hathitrust.org/Record/000481415","HathiTrust Record")</f>
        <v/>
      </c>
      <c r="AS182">
        <f>HYPERLINK("https://creighton-primo.hosted.exlibrisgroup.com/primo-explore/search?tab=default_tab&amp;search_scope=EVERYTHING&amp;vid=01CRU&amp;lang=en_US&amp;offset=0&amp;query=any,contains,991000811749702656","Catalog Record")</f>
        <v/>
      </c>
      <c r="AT182">
        <f>HYPERLINK("http://www.worldcat.org/oclc/13332436","WorldCat Record")</f>
        <v/>
      </c>
      <c r="AU182" t="inlineStr">
        <is>
          <t>7515864:eng</t>
        </is>
      </c>
      <c r="AV182" t="inlineStr">
        <is>
          <t>13332436</t>
        </is>
      </c>
      <c r="AW182" t="inlineStr">
        <is>
          <t>991000811749702656</t>
        </is>
      </c>
      <c r="AX182" t="inlineStr">
        <is>
          <t>991000811749702656</t>
        </is>
      </c>
      <c r="AY182" t="inlineStr">
        <is>
          <t>2260927880002656</t>
        </is>
      </c>
      <c r="AZ182" t="inlineStr">
        <is>
          <t>BOOK</t>
        </is>
      </c>
      <c r="BB182" t="inlineStr">
        <is>
          <t>9780866835381</t>
        </is>
      </c>
      <c r="BC182" t="inlineStr">
        <is>
          <t>32285000693316</t>
        </is>
      </c>
      <c r="BD182" t="inlineStr">
        <is>
          <t>893528404</t>
        </is>
      </c>
    </row>
    <row r="183">
      <c r="A183" t="inlineStr">
        <is>
          <t>No</t>
        </is>
      </c>
      <c r="B183" t="inlineStr">
        <is>
          <t>BT121.2 .D4 1959</t>
        </is>
      </c>
      <c r="C183" t="inlineStr">
        <is>
          <t>0                      BT 0121200D  4           1959</t>
        </is>
      </c>
      <c r="D183" t="inlineStr">
        <is>
          <t>The Holy Spirit and modern thought : an inquiry into the historical, theological, and psychological aspects of the Christian doctrine of the Holy Spirit / by Lindsay Dewar.</t>
        </is>
      </c>
      <c r="F183" t="inlineStr">
        <is>
          <t>No</t>
        </is>
      </c>
      <c r="G183" t="inlineStr">
        <is>
          <t>1</t>
        </is>
      </c>
      <c r="H183" t="inlineStr">
        <is>
          <t>No</t>
        </is>
      </c>
      <c r="I183" t="inlineStr">
        <is>
          <t>No</t>
        </is>
      </c>
      <c r="J183" t="inlineStr">
        <is>
          <t>0</t>
        </is>
      </c>
      <c r="K183" t="inlineStr">
        <is>
          <t>Dewar, Lindsay, 1891-</t>
        </is>
      </c>
      <c r="L183" t="inlineStr">
        <is>
          <t>London, A. R. Mowbray [1959]</t>
        </is>
      </c>
      <c r="M183" t="inlineStr">
        <is>
          <t>1959</t>
        </is>
      </c>
      <c r="O183" t="inlineStr">
        <is>
          <t>eng</t>
        </is>
      </c>
      <c r="P183" t="inlineStr">
        <is>
          <t>___</t>
        </is>
      </c>
      <c r="R183" t="inlineStr">
        <is>
          <t xml:space="preserve">BT </t>
        </is>
      </c>
      <c r="S183" t="n">
        <v>2</v>
      </c>
      <c r="T183" t="n">
        <v>2</v>
      </c>
      <c r="U183" t="inlineStr">
        <is>
          <t>1993-03-15</t>
        </is>
      </c>
      <c r="V183" t="inlineStr">
        <is>
          <t>1993-03-15</t>
        </is>
      </c>
      <c r="W183" t="inlineStr">
        <is>
          <t>1991-07-31</t>
        </is>
      </c>
      <c r="X183" t="inlineStr">
        <is>
          <t>1991-07-31</t>
        </is>
      </c>
      <c r="Y183" t="n">
        <v>132</v>
      </c>
      <c r="Z183" t="n">
        <v>81</v>
      </c>
      <c r="AA183" t="n">
        <v>259</v>
      </c>
      <c r="AB183" t="n">
        <v>1</v>
      </c>
      <c r="AC183" t="n">
        <v>2</v>
      </c>
      <c r="AD183" t="n">
        <v>4</v>
      </c>
      <c r="AE183" t="n">
        <v>20</v>
      </c>
      <c r="AF183" t="n">
        <v>2</v>
      </c>
      <c r="AG183" t="n">
        <v>7</v>
      </c>
      <c r="AH183" t="n">
        <v>1</v>
      </c>
      <c r="AI183" t="n">
        <v>4</v>
      </c>
      <c r="AJ183" t="n">
        <v>1</v>
      </c>
      <c r="AK183" t="n">
        <v>11</v>
      </c>
      <c r="AL183" t="n">
        <v>0</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HYPERLINK("https://creighton-primo.hosted.exlibrisgroup.com/primo-explore/search?tab=default_tab&amp;search_scope=EVERYTHING&amp;vid=01CRU&amp;lang=en_US&amp;offset=0&amp;query=any,contains,991003700809702656","Catalog Record")</f>
        <v/>
      </c>
      <c r="AT183">
        <f>HYPERLINK("http://www.worldcat.org/oclc/1336891","WorldCat Record")</f>
        <v/>
      </c>
      <c r="AU183" t="inlineStr">
        <is>
          <t>2177177:eng</t>
        </is>
      </c>
      <c r="AV183" t="inlineStr">
        <is>
          <t>1336891</t>
        </is>
      </c>
      <c r="AW183" t="inlineStr">
        <is>
          <t>991003700809702656</t>
        </is>
      </c>
      <c r="AX183" t="inlineStr">
        <is>
          <t>991003700809702656</t>
        </is>
      </c>
      <c r="AY183" t="inlineStr">
        <is>
          <t>2257459970002656</t>
        </is>
      </c>
      <c r="AZ183" t="inlineStr">
        <is>
          <t>BOOK</t>
        </is>
      </c>
      <c r="BC183" t="inlineStr">
        <is>
          <t>32285000693324</t>
        </is>
      </c>
      <c r="BD183" t="inlineStr">
        <is>
          <t>893518779</t>
        </is>
      </c>
    </row>
    <row r="184">
      <c r="A184" t="inlineStr">
        <is>
          <t>No</t>
        </is>
      </c>
      <c r="B184" t="inlineStr">
        <is>
          <t>BT121.2 .D513</t>
        </is>
      </c>
      <c r="C184" t="inlineStr">
        <is>
          <t>0                      BT 0121200D  513</t>
        </is>
      </c>
      <c r="D184" t="inlineStr">
        <is>
          <t>The Holy Spirit and the priest : toward an interiorization of our priesthood / Clement Dillenschneider. Translated by Sister M. Renelle.</t>
        </is>
      </c>
      <c r="F184" t="inlineStr">
        <is>
          <t>No</t>
        </is>
      </c>
      <c r="G184" t="inlineStr">
        <is>
          <t>1</t>
        </is>
      </c>
      <c r="H184" t="inlineStr">
        <is>
          <t>No</t>
        </is>
      </c>
      <c r="I184" t="inlineStr">
        <is>
          <t>No</t>
        </is>
      </c>
      <c r="J184" t="inlineStr">
        <is>
          <t>0</t>
        </is>
      </c>
      <c r="K184" t="inlineStr">
        <is>
          <t>Dillenschneider, Clément, 1890-1969.</t>
        </is>
      </c>
      <c r="L184" t="inlineStr">
        <is>
          <t>St. Louis, Herder [1965]</t>
        </is>
      </c>
      <c r="M184" t="inlineStr">
        <is>
          <t>1965</t>
        </is>
      </c>
      <c r="O184" t="inlineStr">
        <is>
          <t>eng</t>
        </is>
      </c>
      <c r="P184" t="inlineStr">
        <is>
          <t>mou</t>
        </is>
      </c>
      <c r="R184" t="inlineStr">
        <is>
          <t xml:space="preserve">BT </t>
        </is>
      </c>
      <c r="S184" t="n">
        <v>5</v>
      </c>
      <c r="T184" t="n">
        <v>5</v>
      </c>
      <c r="U184" t="inlineStr">
        <is>
          <t>2009-04-14</t>
        </is>
      </c>
      <c r="V184" t="inlineStr">
        <is>
          <t>2009-04-14</t>
        </is>
      </c>
      <c r="W184" t="inlineStr">
        <is>
          <t>1991-07-31</t>
        </is>
      </c>
      <c r="X184" t="inlineStr">
        <is>
          <t>1991-07-31</t>
        </is>
      </c>
      <c r="Y184" t="n">
        <v>107</v>
      </c>
      <c r="Z184" t="n">
        <v>85</v>
      </c>
      <c r="AA184" t="n">
        <v>85</v>
      </c>
      <c r="AB184" t="n">
        <v>1</v>
      </c>
      <c r="AC184" t="n">
        <v>1</v>
      </c>
      <c r="AD184" t="n">
        <v>17</v>
      </c>
      <c r="AE184" t="n">
        <v>17</v>
      </c>
      <c r="AF184" t="n">
        <v>4</v>
      </c>
      <c r="AG184" t="n">
        <v>4</v>
      </c>
      <c r="AH184" t="n">
        <v>6</v>
      </c>
      <c r="AI184" t="n">
        <v>6</v>
      </c>
      <c r="AJ184" t="n">
        <v>13</v>
      </c>
      <c r="AK184" t="n">
        <v>13</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HYPERLINK("https://creighton-primo.hosted.exlibrisgroup.com/primo-explore/search?tab=default_tab&amp;search_scope=EVERYTHING&amp;vid=01CRU&amp;lang=en_US&amp;offset=0&amp;query=any,contains,991004040569702656","Catalog Record")</f>
        <v/>
      </c>
      <c r="AT184">
        <f>HYPERLINK("http://www.worldcat.org/oclc/2186843","WorldCat Record")</f>
        <v/>
      </c>
      <c r="AU184" t="inlineStr">
        <is>
          <t>4249104:eng</t>
        </is>
      </c>
      <c r="AV184" t="inlineStr">
        <is>
          <t>2186843</t>
        </is>
      </c>
      <c r="AW184" t="inlineStr">
        <is>
          <t>991004040569702656</t>
        </is>
      </c>
      <c r="AX184" t="inlineStr">
        <is>
          <t>991004040569702656</t>
        </is>
      </c>
      <c r="AY184" t="inlineStr">
        <is>
          <t>2268567860002656</t>
        </is>
      </c>
      <c r="AZ184" t="inlineStr">
        <is>
          <t>BOOK</t>
        </is>
      </c>
      <c r="BC184" t="inlineStr">
        <is>
          <t>32285000693332</t>
        </is>
      </c>
      <c r="BD184" t="inlineStr">
        <is>
          <t>893712080</t>
        </is>
      </c>
    </row>
    <row r="185">
      <c r="A185" t="inlineStr">
        <is>
          <t>No</t>
        </is>
      </c>
      <c r="B185" t="inlineStr">
        <is>
          <t>BT121.2 .F33 1998</t>
        </is>
      </c>
      <c r="C185" t="inlineStr">
        <is>
          <t>0                      BT 0121200F  33          1998</t>
        </is>
      </c>
      <c r="D185" t="inlineStr">
        <is>
          <t>The Holy Spirit : unbounded gift of joy / Mary Ann Fatula.</t>
        </is>
      </c>
      <c r="F185" t="inlineStr">
        <is>
          <t>No</t>
        </is>
      </c>
      <c r="G185" t="inlineStr">
        <is>
          <t>1</t>
        </is>
      </c>
      <c r="H185" t="inlineStr">
        <is>
          <t>No</t>
        </is>
      </c>
      <c r="I185" t="inlineStr">
        <is>
          <t>No</t>
        </is>
      </c>
      <c r="J185" t="inlineStr">
        <is>
          <t>0</t>
        </is>
      </c>
      <c r="K185" t="inlineStr">
        <is>
          <t>Fatula, Mary Ann.</t>
        </is>
      </c>
      <c r="L185" t="inlineStr">
        <is>
          <t>Collegeville, Minn. : Liturgical Press, c1998.</t>
        </is>
      </c>
      <c r="M185" t="inlineStr">
        <is>
          <t>1998</t>
        </is>
      </c>
      <c r="O185" t="inlineStr">
        <is>
          <t>eng</t>
        </is>
      </c>
      <c r="P185" t="inlineStr">
        <is>
          <t>mnu</t>
        </is>
      </c>
      <c r="R185" t="inlineStr">
        <is>
          <t xml:space="preserve">BT </t>
        </is>
      </c>
      <c r="S185" t="n">
        <v>6</v>
      </c>
      <c r="T185" t="n">
        <v>6</v>
      </c>
      <c r="U185" t="inlineStr">
        <is>
          <t>2000-01-26</t>
        </is>
      </c>
      <c r="V185" t="inlineStr">
        <is>
          <t>2000-01-26</t>
        </is>
      </c>
      <c r="W185" t="inlineStr">
        <is>
          <t>1998-07-20</t>
        </is>
      </c>
      <c r="X185" t="inlineStr">
        <is>
          <t>1998-07-20</t>
        </is>
      </c>
      <c r="Y185" t="n">
        <v>97</v>
      </c>
      <c r="Z185" t="n">
        <v>81</v>
      </c>
      <c r="AA185" t="n">
        <v>81</v>
      </c>
      <c r="AB185" t="n">
        <v>2</v>
      </c>
      <c r="AC185" t="n">
        <v>2</v>
      </c>
      <c r="AD185" t="n">
        <v>9</v>
      </c>
      <c r="AE185" t="n">
        <v>9</v>
      </c>
      <c r="AF185" t="n">
        <v>2</v>
      </c>
      <c r="AG185" t="n">
        <v>2</v>
      </c>
      <c r="AH185" t="n">
        <v>2</v>
      </c>
      <c r="AI185" t="n">
        <v>2</v>
      </c>
      <c r="AJ185" t="n">
        <v>7</v>
      </c>
      <c r="AK185" t="n">
        <v>7</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HYPERLINK("https://creighton-primo.hosted.exlibrisgroup.com/primo-explore/search?tab=default_tab&amp;search_scope=EVERYTHING&amp;vid=01CRU&amp;lang=en_US&amp;offset=0&amp;query=any,contains,991002888249702656","Catalog Record")</f>
        <v/>
      </c>
      <c r="AT185">
        <f>HYPERLINK("http://www.worldcat.org/oclc/38055962","WorldCat Record")</f>
        <v/>
      </c>
      <c r="AU185" t="inlineStr">
        <is>
          <t>1102334725:eng</t>
        </is>
      </c>
      <c r="AV185" t="inlineStr">
        <is>
          <t>38055962</t>
        </is>
      </c>
      <c r="AW185" t="inlineStr">
        <is>
          <t>991002888249702656</t>
        </is>
      </c>
      <c r="AX185" t="inlineStr">
        <is>
          <t>991002888249702656</t>
        </is>
      </c>
      <c r="AY185" t="inlineStr">
        <is>
          <t>2263980550002656</t>
        </is>
      </c>
      <c r="AZ185" t="inlineStr">
        <is>
          <t>BOOK</t>
        </is>
      </c>
      <c r="BB185" t="inlineStr">
        <is>
          <t>9780814650301</t>
        </is>
      </c>
      <c r="BC185" t="inlineStr">
        <is>
          <t>32285003432977</t>
        </is>
      </c>
      <c r="BD185" t="inlineStr">
        <is>
          <t>893786698</t>
        </is>
      </c>
    </row>
    <row r="186">
      <c r="A186" t="inlineStr">
        <is>
          <t>No</t>
        </is>
      </c>
      <c r="B186" t="inlineStr">
        <is>
          <t>BT121.2 .F37</t>
        </is>
      </c>
      <c r="C186" t="inlineStr">
        <is>
          <t>0                      BT 0121200F  37</t>
        </is>
      </c>
      <c r="D186" t="inlineStr">
        <is>
          <t>Surprised by the Spirit / by Edward J. Farrell.</t>
        </is>
      </c>
      <c r="F186" t="inlineStr">
        <is>
          <t>No</t>
        </is>
      </c>
      <c r="G186" t="inlineStr">
        <is>
          <t>1</t>
        </is>
      </c>
      <c r="H186" t="inlineStr">
        <is>
          <t>No</t>
        </is>
      </c>
      <c r="I186" t="inlineStr">
        <is>
          <t>No</t>
        </is>
      </c>
      <c r="J186" t="inlineStr">
        <is>
          <t>0</t>
        </is>
      </c>
      <c r="K186" t="inlineStr">
        <is>
          <t>Farrell, Edward J.</t>
        </is>
      </c>
      <c r="L186" t="inlineStr">
        <is>
          <t>Denville, N.J., Dimension Books [c1973]</t>
        </is>
      </c>
      <c r="M186" t="inlineStr">
        <is>
          <t>1973</t>
        </is>
      </c>
      <c r="O186" t="inlineStr">
        <is>
          <t>eng</t>
        </is>
      </c>
      <c r="P186" t="inlineStr">
        <is>
          <t>___</t>
        </is>
      </c>
      <c r="R186" t="inlineStr">
        <is>
          <t xml:space="preserve">BT </t>
        </is>
      </c>
      <c r="S186" t="n">
        <v>3</v>
      </c>
      <c r="T186" t="n">
        <v>3</v>
      </c>
      <c r="U186" t="inlineStr">
        <is>
          <t>2000-01-26</t>
        </is>
      </c>
      <c r="V186" t="inlineStr">
        <is>
          <t>2000-01-26</t>
        </is>
      </c>
      <c r="W186" t="inlineStr">
        <is>
          <t>1991-07-31</t>
        </is>
      </c>
      <c r="X186" t="inlineStr">
        <is>
          <t>1991-07-31</t>
        </is>
      </c>
      <c r="Y186" t="n">
        <v>184</v>
      </c>
      <c r="Z186" t="n">
        <v>155</v>
      </c>
      <c r="AA186" t="n">
        <v>160</v>
      </c>
      <c r="AB186" t="n">
        <v>3</v>
      </c>
      <c r="AC186" t="n">
        <v>3</v>
      </c>
      <c r="AD186" t="n">
        <v>18</v>
      </c>
      <c r="AE186" t="n">
        <v>18</v>
      </c>
      <c r="AF186" t="n">
        <v>4</v>
      </c>
      <c r="AG186" t="n">
        <v>4</v>
      </c>
      <c r="AH186" t="n">
        <v>4</v>
      </c>
      <c r="AI186" t="n">
        <v>4</v>
      </c>
      <c r="AJ186" t="n">
        <v>14</v>
      </c>
      <c r="AK186" t="n">
        <v>14</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HYPERLINK("https://creighton-primo.hosted.exlibrisgroup.com/primo-explore/search?tab=default_tab&amp;search_scope=EVERYTHING&amp;vid=01CRU&amp;lang=en_US&amp;offset=0&amp;query=any,contains,991003187189702656","Catalog Record")</f>
        <v/>
      </c>
      <c r="AT186">
        <f>HYPERLINK("http://www.worldcat.org/oclc/713501","WorldCat Record")</f>
        <v/>
      </c>
      <c r="AU186" t="inlineStr">
        <is>
          <t>2593425018:eng</t>
        </is>
      </c>
      <c r="AV186" t="inlineStr">
        <is>
          <t>713501</t>
        </is>
      </c>
      <c r="AW186" t="inlineStr">
        <is>
          <t>991003187189702656</t>
        </is>
      </c>
      <c r="AX186" t="inlineStr">
        <is>
          <t>991003187189702656</t>
        </is>
      </c>
      <c r="AY186" t="inlineStr">
        <is>
          <t>2255337620002656</t>
        </is>
      </c>
      <c r="AZ186" t="inlineStr">
        <is>
          <t>BOOK</t>
        </is>
      </c>
      <c r="BC186" t="inlineStr">
        <is>
          <t>32285000693340</t>
        </is>
      </c>
      <c r="BD186" t="inlineStr">
        <is>
          <t>893698734</t>
        </is>
      </c>
    </row>
    <row r="187">
      <c r="A187" t="inlineStr">
        <is>
          <t>No</t>
        </is>
      </c>
      <c r="B187" t="inlineStr">
        <is>
          <t>BT121.2 .F62 1976</t>
        </is>
      </c>
      <c r="C187" t="inlineStr">
        <is>
          <t>0                      BT 0121200F  62          1976</t>
        </is>
      </c>
      <c r="D187" t="inlineStr">
        <is>
          <t>Come, Holy Spirit : thoughts on renewing the earth as the kingdom of God / Francis Xavier Ford.</t>
        </is>
      </c>
      <c r="F187" t="inlineStr">
        <is>
          <t>No</t>
        </is>
      </c>
      <c r="G187" t="inlineStr">
        <is>
          <t>1</t>
        </is>
      </c>
      <c r="H187" t="inlineStr">
        <is>
          <t>No</t>
        </is>
      </c>
      <c r="I187" t="inlineStr">
        <is>
          <t>No</t>
        </is>
      </c>
      <c r="J187" t="inlineStr">
        <is>
          <t>0</t>
        </is>
      </c>
      <c r="K187" t="inlineStr">
        <is>
          <t>Ford, Francis Xavier, 1892-1952.</t>
        </is>
      </c>
      <c r="L187" t="inlineStr">
        <is>
          <t>Maryknoll, N.Y. : Orbis Books, c1976.</t>
        </is>
      </c>
      <c r="M187" t="inlineStr">
        <is>
          <t>1976</t>
        </is>
      </c>
      <c r="N187" t="inlineStr">
        <is>
          <t>Rev. ed.</t>
        </is>
      </c>
      <c r="O187" t="inlineStr">
        <is>
          <t>eng</t>
        </is>
      </c>
      <c r="P187" t="inlineStr">
        <is>
          <t>nyu</t>
        </is>
      </c>
      <c r="R187" t="inlineStr">
        <is>
          <t xml:space="preserve">BT </t>
        </is>
      </c>
      <c r="S187" t="n">
        <v>2</v>
      </c>
      <c r="T187" t="n">
        <v>2</v>
      </c>
      <c r="U187" t="inlineStr">
        <is>
          <t>1998-03-05</t>
        </is>
      </c>
      <c r="V187" t="inlineStr">
        <is>
          <t>1998-03-05</t>
        </is>
      </c>
      <c r="W187" t="inlineStr">
        <is>
          <t>1991-07-31</t>
        </is>
      </c>
      <c r="X187" t="inlineStr">
        <is>
          <t>1991-07-31</t>
        </is>
      </c>
      <c r="Y187" t="n">
        <v>86</v>
      </c>
      <c r="Z187" t="n">
        <v>77</v>
      </c>
      <c r="AA187" t="n">
        <v>77</v>
      </c>
      <c r="AB187" t="n">
        <v>2</v>
      </c>
      <c r="AC187" t="n">
        <v>2</v>
      </c>
      <c r="AD187" t="n">
        <v>6</v>
      </c>
      <c r="AE187" t="n">
        <v>6</v>
      </c>
      <c r="AF187" t="n">
        <v>0</v>
      </c>
      <c r="AG187" t="n">
        <v>0</v>
      </c>
      <c r="AH187" t="n">
        <v>1</v>
      </c>
      <c r="AI187" t="n">
        <v>1</v>
      </c>
      <c r="AJ187" t="n">
        <v>5</v>
      </c>
      <c r="AK187" t="n">
        <v>5</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HYPERLINK("https://creighton-primo.hosted.exlibrisgroup.com/primo-explore/search?tab=default_tab&amp;search_scope=EVERYTHING&amp;vid=01CRU&amp;lang=en_US&amp;offset=0&amp;query=any,contains,991004084909702656","Catalog Record")</f>
        <v/>
      </c>
      <c r="AT187">
        <f>HYPERLINK("http://www.worldcat.org/oclc/2331832","WorldCat Record")</f>
        <v/>
      </c>
      <c r="AU187" t="inlineStr">
        <is>
          <t>3855114365:eng</t>
        </is>
      </c>
      <c r="AV187" t="inlineStr">
        <is>
          <t>2331832</t>
        </is>
      </c>
      <c r="AW187" t="inlineStr">
        <is>
          <t>991004084909702656</t>
        </is>
      </c>
      <c r="AX187" t="inlineStr">
        <is>
          <t>991004084909702656</t>
        </is>
      </c>
      <c r="AY187" t="inlineStr">
        <is>
          <t>2264144020002656</t>
        </is>
      </c>
      <c r="AZ187" t="inlineStr">
        <is>
          <t>BOOK</t>
        </is>
      </c>
      <c r="BB187" t="inlineStr">
        <is>
          <t>9780883440674</t>
        </is>
      </c>
      <c r="BC187" t="inlineStr">
        <is>
          <t>32285000693357</t>
        </is>
      </c>
      <c r="BD187" t="inlineStr">
        <is>
          <t>893500100</t>
        </is>
      </c>
    </row>
    <row r="188">
      <c r="A188" t="inlineStr">
        <is>
          <t>No</t>
        </is>
      </c>
      <c r="B188" t="inlineStr">
        <is>
          <t>BT121.2 .G44 1984</t>
        </is>
      </c>
      <c r="C188" t="inlineStr">
        <is>
          <t>0                      BT 0121200G  44          1984</t>
        </is>
      </c>
      <c r="D188" t="inlineStr">
        <is>
          <t>The Divine Mother, a trinitarian theology of the Holy Spirit / Donald L. Gelpi.</t>
        </is>
      </c>
      <c r="F188" t="inlineStr">
        <is>
          <t>No</t>
        </is>
      </c>
      <c r="G188" t="inlineStr">
        <is>
          <t>1</t>
        </is>
      </c>
      <c r="H188" t="inlineStr">
        <is>
          <t>No</t>
        </is>
      </c>
      <c r="I188" t="inlineStr">
        <is>
          <t>No</t>
        </is>
      </c>
      <c r="J188" t="inlineStr">
        <is>
          <t>0</t>
        </is>
      </c>
      <c r="K188" t="inlineStr">
        <is>
          <t>Gelpi, Donald L., 1934-2011.</t>
        </is>
      </c>
      <c r="L188" t="inlineStr">
        <is>
          <t>Lanham, MD : University Press of America, c1984.</t>
        </is>
      </c>
      <c r="M188" t="inlineStr">
        <is>
          <t>1984</t>
        </is>
      </c>
      <c r="O188" t="inlineStr">
        <is>
          <t>eng</t>
        </is>
      </c>
      <c r="P188" t="inlineStr">
        <is>
          <t>mdu</t>
        </is>
      </c>
      <c r="R188" t="inlineStr">
        <is>
          <t xml:space="preserve">BT </t>
        </is>
      </c>
      <c r="S188" t="n">
        <v>3</v>
      </c>
      <c r="T188" t="n">
        <v>3</v>
      </c>
      <c r="U188" t="inlineStr">
        <is>
          <t>1992-08-11</t>
        </is>
      </c>
      <c r="V188" t="inlineStr">
        <is>
          <t>1992-08-11</t>
        </is>
      </c>
      <c r="W188" t="inlineStr">
        <is>
          <t>1991-07-31</t>
        </is>
      </c>
      <c r="X188" t="inlineStr">
        <is>
          <t>1991-07-31</t>
        </is>
      </c>
      <c r="Y188" t="n">
        <v>252</v>
      </c>
      <c r="Z188" t="n">
        <v>201</v>
      </c>
      <c r="AA188" t="n">
        <v>203</v>
      </c>
      <c r="AB188" t="n">
        <v>2</v>
      </c>
      <c r="AC188" t="n">
        <v>2</v>
      </c>
      <c r="AD188" t="n">
        <v>26</v>
      </c>
      <c r="AE188" t="n">
        <v>26</v>
      </c>
      <c r="AF188" t="n">
        <v>10</v>
      </c>
      <c r="AG188" t="n">
        <v>10</v>
      </c>
      <c r="AH188" t="n">
        <v>8</v>
      </c>
      <c r="AI188" t="n">
        <v>8</v>
      </c>
      <c r="AJ188" t="n">
        <v>19</v>
      </c>
      <c r="AK188" t="n">
        <v>19</v>
      </c>
      <c r="AL188" t="n">
        <v>1</v>
      </c>
      <c r="AM188" t="n">
        <v>1</v>
      </c>
      <c r="AN188" t="n">
        <v>0</v>
      </c>
      <c r="AO188" t="n">
        <v>0</v>
      </c>
      <c r="AP188" t="inlineStr">
        <is>
          <t>No</t>
        </is>
      </c>
      <c r="AQ188" t="inlineStr">
        <is>
          <t>Yes</t>
        </is>
      </c>
      <c r="AR188">
        <f>HYPERLINK("http://catalog.hathitrust.org/Record/000566563","HathiTrust Record")</f>
        <v/>
      </c>
      <c r="AS188">
        <f>HYPERLINK("https://creighton-primo.hosted.exlibrisgroup.com/primo-explore/search?tab=default_tab&amp;search_scope=EVERYTHING&amp;vid=01CRU&amp;lang=en_US&amp;offset=0&amp;query=any,contains,991000441909702656","Catalog Record")</f>
        <v/>
      </c>
      <c r="AT188">
        <f>HYPERLINK("http://www.worldcat.org/oclc/10825164","WorldCat Record")</f>
        <v/>
      </c>
      <c r="AU188" t="inlineStr">
        <is>
          <t>3370671:eng</t>
        </is>
      </c>
      <c r="AV188" t="inlineStr">
        <is>
          <t>10825164</t>
        </is>
      </c>
      <c r="AW188" t="inlineStr">
        <is>
          <t>991000441909702656</t>
        </is>
      </c>
      <c r="AX188" t="inlineStr">
        <is>
          <t>991000441909702656</t>
        </is>
      </c>
      <c r="AY188" t="inlineStr">
        <is>
          <t>2264390080002656</t>
        </is>
      </c>
      <c r="AZ188" t="inlineStr">
        <is>
          <t>BOOK</t>
        </is>
      </c>
      <c r="BB188" t="inlineStr">
        <is>
          <t>9780819140357</t>
        </is>
      </c>
      <c r="BC188" t="inlineStr">
        <is>
          <t>32285000693373</t>
        </is>
      </c>
      <c r="BD188" t="inlineStr">
        <is>
          <t>893425711</t>
        </is>
      </c>
    </row>
    <row r="189">
      <c r="A189" t="inlineStr">
        <is>
          <t>No</t>
        </is>
      </c>
      <c r="B189" t="inlineStr">
        <is>
          <t>BT121.2 .H36</t>
        </is>
      </c>
      <c r="C189" t="inlineStr">
        <is>
          <t>0                      BT 0121200H  36</t>
        </is>
      </c>
      <c r="D189" t="inlineStr">
        <is>
          <t>The conspiracy of God : the Holy Spirit in men / [by] John C. Haughey.</t>
        </is>
      </c>
      <c r="F189" t="inlineStr">
        <is>
          <t>No</t>
        </is>
      </c>
      <c r="G189" t="inlineStr">
        <is>
          <t>1</t>
        </is>
      </c>
      <c r="H189" t="inlineStr">
        <is>
          <t>No</t>
        </is>
      </c>
      <c r="I189" t="inlineStr">
        <is>
          <t>No</t>
        </is>
      </c>
      <c r="J189" t="inlineStr">
        <is>
          <t>0</t>
        </is>
      </c>
      <c r="K189" t="inlineStr">
        <is>
          <t>Haughey, John C.</t>
        </is>
      </c>
      <c r="L189" t="inlineStr">
        <is>
          <t>Garden City, N.Y., Doubleday, 1973.</t>
        </is>
      </c>
      <c r="M189" t="inlineStr">
        <is>
          <t>1973</t>
        </is>
      </c>
      <c r="N189" t="inlineStr">
        <is>
          <t>[1st ed.]</t>
        </is>
      </c>
      <c r="O189" t="inlineStr">
        <is>
          <t>eng</t>
        </is>
      </c>
      <c r="P189" t="inlineStr">
        <is>
          <t>nyu</t>
        </is>
      </c>
      <c r="R189" t="inlineStr">
        <is>
          <t xml:space="preserve">BT </t>
        </is>
      </c>
      <c r="S189" t="n">
        <v>3</v>
      </c>
      <c r="T189" t="n">
        <v>3</v>
      </c>
      <c r="U189" t="inlineStr">
        <is>
          <t>1999-07-27</t>
        </is>
      </c>
      <c r="V189" t="inlineStr">
        <is>
          <t>1999-07-27</t>
        </is>
      </c>
      <c r="W189" t="inlineStr">
        <is>
          <t>1991-07-31</t>
        </is>
      </c>
      <c r="X189" t="inlineStr">
        <is>
          <t>1991-07-31</t>
        </is>
      </c>
      <c r="Y189" t="n">
        <v>339</v>
      </c>
      <c r="Z189" t="n">
        <v>294</v>
      </c>
      <c r="AA189" t="n">
        <v>328</v>
      </c>
      <c r="AB189" t="n">
        <v>3</v>
      </c>
      <c r="AC189" t="n">
        <v>3</v>
      </c>
      <c r="AD189" t="n">
        <v>27</v>
      </c>
      <c r="AE189" t="n">
        <v>30</v>
      </c>
      <c r="AF189" t="n">
        <v>8</v>
      </c>
      <c r="AG189" t="n">
        <v>10</v>
      </c>
      <c r="AH189" t="n">
        <v>6</v>
      </c>
      <c r="AI189" t="n">
        <v>7</v>
      </c>
      <c r="AJ189" t="n">
        <v>21</v>
      </c>
      <c r="AK189" t="n">
        <v>24</v>
      </c>
      <c r="AL189" t="n">
        <v>1</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HYPERLINK("https://creighton-primo.hosted.exlibrisgroup.com/primo-explore/search?tab=default_tab&amp;search_scope=EVERYTHING&amp;vid=01CRU&amp;lang=en_US&amp;offset=0&amp;query=any,contains,991003206299702656","Catalog Record")</f>
        <v/>
      </c>
      <c r="AT189">
        <f>HYPERLINK("http://www.worldcat.org/oclc/730911","WorldCat Record")</f>
        <v/>
      </c>
      <c r="AU189" t="inlineStr">
        <is>
          <t>1755834:eng</t>
        </is>
      </c>
      <c r="AV189" t="inlineStr">
        <is>
          <t>730911</t>
        </is>
      </c>
      <c r="AW189" t="inlineStr">
        <is>
          <t>991003206299702656</t>
        </is>
      </c>
      <c r="AX189" t="inlineStr">
        <is>
          <t>991003206299702656</t>
        </is>
      </c>
      <c r="AY189" t="inlineStr">
        <is>
          <t>2267121370002656</t>
        </is>
      </c>
      <c r="AZ189" t="inlineStr">
        <is>
          <t>BOOK</t>
        </is>
      </c>
      <c r="BB189" t="inlineStr">
        <is>
          <t>9780385004008</t>
        </is>
      </c>
      <c r="BC189" t="inlineStr">
        <is>
          <t>32285000693407</t>
        </is>
      </c>
      <c r="BD189" t="inlineStr">
        <is>
          <t>893441017</t>
        </is>
      </c>
    </row>
    <row r="190">
      <c r="A190" t="inlineStr">
        <is>
          <t>No</t>
        </is>
      </c>
      <c r="B190" t="inlineStr">
        <is>
          <t>BT121.2 .M253</t>
        </is>
      </c>
      <c r="C190" t="inlineStr">
        <is>
          <t>0                      BT 0121200M  253</t>
        </is>
      </c>
      <c r="D190" t="inlineStr">
        <is>
          <t>The breath and spirit of God / by Thierry Maertens. Translated by Robert J. Olsen and Albert J. LaMothe,Jr.</t>
        </is>
      </c>
      <c r="F190" t="inlineStr">
        <is>
          <t>No</t>
        </is>
      </c>
      <c r="G190" t="inlineStr">
        <is>
          <t>1</t>
        </is>
      </c>
      <c r="H190" t="inlineStr">
        <is>
          <t>No</t>
        </is>
      </c>
      <c r="I190" t="inlineStr">
        <is>
          <t>No</t>
        </is>
      </c>
      <c r="J190" t="inlineStr">
        <is>
          <t>0</t>
        </is>
      </c>
      <c r="K190" t="inlineStr">
        <is>
          <t>Maertens, Thierry, 1921-</t>
        </is>
      </c>
      <c r="L190" t="inlineStr">
        <is>
          <t>Notre Dame, Ind., Fides Publishers [1964]</t>
        </is>
      </c>
      <c r="M190" t="inlineStr">
        <is>
          <t>1964</t>
        </is>
      </c>
      <c r="O190" t="inlineStr">
        <is>
          <t>eng</t>
        </is>
      </c>
      <c r="P190" t="inlineStr">
        <is>
          <t>___</t>
        </is>
      </c>
      <c r="R190" t="inlineStr">
        <is>
          <t xml:space="preserve">BT </t>
        </is>
      </c>
      <c r="S190" t="n">
        <v>3</v>
      </c>
      <c r="T190" t="n">
        <v>3</v>
      </c>
      <c r="U190" t="inlineStr">
        <is>
          <t>2006-07-11</t>
        </is>
      </c>
      <c r="V190" t="inlineStr">
        <is>
          <t>2006-07-11</t>
        </is>
      </c>
      <c r="W190" t="inlineStr">
        <is>
          <t>1991-07-31</t>
        </is>
      </c>
      <c r="X190" t="inlineStr">
        <is>
          <t>1991-07-31</t>
        </is>
      </c>
      <c r="Y190" t="n">
        <v>121</v>
      </c>
      <c r="Z190" t="n">
        <v>102</v>
      </c>
      <c r="AA190" t="n">
        <v>102</v>
      </c>
      <c r="AB190" t="n">
        <v>2</v>
      </c>
      <c r="AC190" t="n">
        <v>2</v>
      </c>
      <c r="AD190" t="n">
        <v>17</v>
      </c>
      <c r="AE190" t="n">
        <v>17</v>
      </c>
      <c r="AF190" t="n">
        <v>4</v>
      </c>
      <c r="AG190" t="n">
        <v>4</v>
      </c>
      <c r="AH190" t="n">
        <v>5</v>
      </c>
      <c r="AI190" t="n">
        <v>5</v>
      </c>
      <c r="AJ190" t="n">
        <v>13</v>
      </c>
      <c r="AK190" t="n">
        <v>13</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HYPERLINK("https://creighton-primo.hosted.exlibrisgroup.com/primo-explore/search?tab=default_tab&amp;search_scope=EVERYTHING&amp;vid=01CRU&amp;lang=en_US&amp;offset=0&amp;query=any,contains,991003126749702656","Catalog Record")</f>
        <v/>
      </c>
      <c r="AT190">
        <f>HYPERLINK("http://www.worldcat.org/oclc/670769","WorldCat Record")</f>
        <v/>
      </c>
      <c r="AU190" t="inlineStr">
        <is>
          <t>1702189:eng</t>
        </is>
      </c>
      <c r="AV190" t="inlineStr">
        <is>
          <t>670769</t>
        </is>
      </c>
      <c r="AW190" t="inlineStr">
        <is>
          <t>991003126749702656</t>
        </is>
      </c>
      <c r="AX190" t="inlineStr">
        <is>
          <t>991003126749702656</t>
        </is>
      </c>
      <c r="AY190" t="inlineStr">
        <is>
          <t>2267757240002656</t>
        </is>
      </c>
      <c r="AZ190" t="inlineStr">
        <is>
          <t>BOOK</t>
        </is>
      </c>
      <c r="BC190" t="inlineStr">
        <is>
          <t>32285000693480</t>
        </is>
      </c>
      <c r="BD190" t="inlineStr">
        <is>
          <t>893868125</t>
        </is>
      </c>
    </row>
    <row r="191">
      <c r="A191" t="inlineStr">
        <is>
          <t>No</t>
        </is>
      </c>
      <c r="B191" t="inlineStr">
        <is>
          <t>BT121.2 .M2531 1966</t>
        </is>
      </c>
      <c r="C191" t="inlineStr">
        <is>
          <t>0                      BT 0121200M  2531        1966</t>
        </is>
      </c>
      <c r="D191" t="inlineStr">
        <is>
          <t>The spirit of God in Scripture / by Thierry Maertens.</t>
        </is>
      </c>
      <c r="F191" t="inlineStr">
        <is>
          <t>No</t>
        </is>
      </c>
      <c r="G191" t="inlineStr">
        <is>
          <t>1</t>
        </is>
      </c>
      <c r="H191" t="inlineStr">
        <is>
          <t>No</t>
        </is>
      </c>
      <c r="I191" t="inlineStr">
        <is>
          <t>No</t>
        </is>
      </c>
      <c r="J191" t="inlineStr">
        <is>
          <t>0</t>
        </is>
      </c>
      <c r="K191" t="inlineStr">
        <is>
          <t>Maertens, Thierry, 1921-</t>
        </is>
      </c>
      <c r="L191" t="inlineStr">
        <is>
          <t>Baltimore : Helicon, [1966]</t>
        </is>
      </c>
      <c r="M191" t="inlineStr">
        <is>
          <t>1966</t>
        </is>
      </c>
      <c r="O191" t="inlineStr">
        <is>
          <t>eng</t>
        </is>
      </c>
      <c r="P191" t="inlineStr">
        <is>
          <t>___</t>
        </is>
      </c>
      <c r="Q191" t="inlineStr">
        <is>
          <t>The Living word series, 6</t>
        </is>
      </c>
      <c r="R191" t="inlineStr">
        <is>
          <t xml:space="preserve">BT </t>
        </is>
      </c>
      <c r="S191" t="n">
        <v>2</v>
      </c>
      <c r="T191" t="n">
        <v>2</v>
      </c>
      <c r="U191" t="inlineStr">
        <is>
          <t>2002-07-12</t>
        </is>
      </c>
      <c r="V191" t="inlineStr">
        <is>
          <t>2002-07-12</t>
        </is>
      </c>
      <c r="W191" t="inlineStr">
        <is>
          <t>1991-07-31</t>
        </is>
      </c>
      <c r="X191" t="inlineStr">
        <is>
          <t>1991-07-31</t>
        </is>
      </c>
      <c r="Y191" t="n">
        <v>100</v>
      </c>
      <c r="Z191" t="n">
        <v>83</v>
      </c>
      <c r="AA191" t="n">
        <v>83</v>
      </c>
      <c r="AB191" t="n">
        <v>1</v>
      </c>
      <c r="AC191" t="n">
        <v>1</v>
      </c>
      <c r="AD191" t="n">
        <v>15</v>
      </c>
      <c r="AE191" t="n">
        <v>15</v>
      </c>
      <c r="AF191" t="n">
        <v>2</v>
      </c>
      <c r="AG191" t="n">
        <v>2</v>
      </c>
      <c r="AH191" t="n">
        <v>5</v>
      </c>
      <c r="AI191" t="n">
        <v>5</v>
      </c>
      <c r="AJ191" t="n">
        <v>11</v>
      </c>
      <c r="AK191" t="n">
        <v>11</v>
      </c>
      <c r="AL191" t="n">
        <v>0</v>
      </c>
      <c r="AM191" t="n">
        <v>0</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HYPERLINK("https://creighton-primo.hosted.exlibrisgroup.com/primo-explore/search?tab=default_tab&amp;search_scope=EVERYTHING&amp;vid=01CRU&amp;lang=en_US&amp;offset=0&amp;query=any,contains,991002717249702656","Catalog Record")</f>
        <v/>
      </c>
      <c r="AT191">
        <f>HYPERLINK("http://www.worldcat.org/oclc/411660","WorldCat Record")</f>
        <v/>
      </c>
      <c r="AU191" t="inlineStr">
        <is>
          <t>8908693522:eng</t>
        </is>
      </c>
      <c r="AV191" t="inlineStr">
        <is>
          <t>411660</t>
        </is>
      </c>
      <c r="AW191" t="inlineStr">
        <is>
          <t>991002717249702656</t>
        </is>
      </c>
      <c r="AX191" t="inlineStr">
        <is>
          <t>991002717249702656</t>
        </is>
      </c>
      <c r="AY191" t="inlineStr">
        <is>
          <t>2264995440002656</t>
        </is>
      </c>
      <c r="AZ191" t="inlineStr">
        <is>
          <t>BOOK</t>
        </is>
      </c>
      <c r="BC191" t="inlineStr">
        <is>
          <t>32285000693498</t>
        </is>
      </c>
      <c r="BD191" t="inlineStr">
        <is>
          <t>893880307</t>
        </is>
      </c>
    </row>
    <row r="192">
      <c r="A192" t="inlineStr">
        <is>
          <t>No</t>
        </is>
      </c>
      <c r="B192" t="inlineStr">
        <is>
          <t>BT121.2 .M26 1993</t>
        </is>
      </c>
      <c r="C192" t="inlineStr">
        <is>
          <t>0                      BT 0121200M  26          1993</t>
        </is>
      </c>
      <c r="D192" t="inlineStr">
        <is>
          <t>The Spirit broods over the world / George A. Maloney.</t>
        </is>
      </c>
      <c r="F192" t="inlineStr">
        <is>
          <t>No</t>
        </is>
      </c>
      <c r="G192" t="inlineStr">
        <is>
          <t>1</t>
        </is>
      </c>
      <c r="H192" t="inlineStr">
        <is>
          <t>No</t>
        </is>
      </c>
      <c r="I192" t="inlineStr">
        <is>
          <t>No</t>
        </is>
      </c>
      <c r="J192" t="inlineStr">
        <is>
          <t>0</t>
        </is>
      </c>
      <c r="K192" t="inlineStr">
        <is>
          <t>Maloney, George A., 1924-2005.</t>
        </is>
      </c>
      <c r="L192" t="inlineStr">
        <is>
          <t>New York : Alba House, c1993.</t>
        </is>
      </c>
      <c r="M192" t="inlineStr">
        <is>
          <t>1993</t>
        </is>
      </c>
      <c r="O192" t="inlineStr">
        <is>
          <t>eng</t>
        </is>
      </c>
      <c r="P192" t="inlineStr">
        <is>
          <t>nyu</t>
        </is>
      </c>
      <c r="R192" t="inlineStr">
        <is>
          <t xml:space="preserve">BT </t>
        </is>
      </c>
      <c r="S192" t="n">
        <v>1</v>
      </c>
      <c r="T192" t="n">
        <v>1</v>
      </c>
      <c r="U192" t="inlineStr">
        <is>
          <t>2006-07-11</t>
        </is>
      </c>
      <c r="V192" t="inlineStr">
        <is>
          <t>2006-07-11</t>
        </is>
      </c>
      <c r="W192" t="inlineStr">
        <is>
          <t>1994-02-07</t>
        </is>
      </c>
      <c r="X192" t="inlineStr">
        <is>
          <t>1994-02-07</t>
        </is>
      </c>
      <c r="Y192" t="n">
        <v>52</v>
      </c>
      <c r="Z192" t="n">
        <v>46</v>
      </c>
      <c r="AA192" t="n">
        <v>46</v>
      </c>
      <c r="AB192" t="n">
        <v>2</v>
      </c>
      <c r="AC192" t="n">
        <v>2</v>
      </c>
      <c r="AD192" t="n">
        <v>7</v>
      </c>
      <c r="AE192" t="n">
        <v>7</v>
      </c>
      <c r="AF192" t="n">
        <v>0</v>
      </c>
      <c r="AG192" t="n">
        <v>0</v>
      </c>
      <c r="AH192" t="n">
        <v>1</v>
      </c>
      <c r="AI192" t="n">
        <v>1</v>
      </c>
      <c r="AJ192" t="n">
        <v>5</v>
      </c>
      <c r="AK192" t="n">
        <v>5</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HYPERLINK("https://creighton-primo.hosted.exlibrisgroup.com/primo-explore/search?tab=default_tab&amp;search_scope=EVERYTHING&amp;vid=01CRU&amp;lang=en_US&amp;offset=0&amp;query=any,contains,991002112289702656","Catalog Record")</f>
        <v/>
      </c>
      <c r="AT192">
        <f>HYPERLINK("http://www.worldcat.org/oclc/27068119","WorldCat Record")</f>
        <v/>
      </c>
      <c r="AU192" t="inlineStr">
        <is>
          <t>4239998605:eng</t>
        </is>
      </c>
      <c r="AV192" t="inlineStr">
        <is>
          <t>27068119</t>
        </is>
      </c>
      <c r="AW192" t="inlineStr">
        <is>
          <t>991002112289702656</t>
        </is>
      </c>
      <c r="AX192" t="inlineStr">
        <is>
          <t>991002112289702656</t>
        </is>
      </c>
      <c r="AY192" t="inlineStr">
        <is>
          <t>2256736840002656</t>
        </is>
      </c>
      <c r="AZ192" t="inlineStr">
        <is>
          <t>BOOK</t>
        </is>
      </c>
      <c r="BB192" t="inlineStr">
        <is>
          <t>9780818906336</t>
        </is>
      </c>
      <c r="BC192" t="inlineStr">
        <is>
          <t>32285001840379</t>
        </is>
      </c>
      <c r="BD192" t="inlineStr">
        <is>
          <t>893898397</t>
        </is>
      </c>
    </row>
    <row r="193">
      <c r="A193" t="inlineStr">
        <is>
          <t>No</t>
        </is>
      </c>
      <c r="B193" t="inlineStr">
        <is>
          <t>BT121.2 .S3813</t>
        </is>
      </c>
      <c r="C193" t="inlineStr">
        <is>
          <t>0                      BT 0121200S  3813</t>
        </is>
      </c>
      <c r="D193" t="inlineStr">
        <is>
          <t>The Holy Spirit / by Eduard Schweizer ; translated by Reginald H. and Ilse Fuller.</t>
        </is>
      </c>
      <c r="F193" t="inlineStr">
        <is>
          <t>No</t>
        </is>
      </c>
      <c r="G193" t="inlineStr">
        <is>
          <t>1</t>
        </is>
      </c>
      <c r="H193" t="inlineStr">
        <is>
          <t>No</t>
        </is>
      </c>
      <c r="I193" t="inlineStr">
        <is>
          <t>No</t>
        </is>
      </c>
      <c r="J193" t="inlineStr">
        <is>
          <t>0</t>
        </is>
      </c>
      <c r="K193" t="inlineStr">
        <is>
          <t>Schweizer, Eduard, 1913-2006.</t>
        </is>
      </c>
      <c r="L193" t="inlineStr">
        <is>
          <t>Philadelphia : Fortress Press, c1980.</t>
        </is>
      </c>
      <c r="M193" t="inlineStr">
        <is>
          <t>1980</t>
        </is>
      </c>
      <c r="O193" t="inlineStr">
        <is>
          <t>eng</t>
        </is>
      </c>
      <c r="P193" t="inlineStr">
        <is>
          <t>pau</t>
        </is>
      </c>
      <c r="R193" t="inlineStr">
        <is>
          <t xml:space="preserve">BT </t>
        </is>
      </c>
      <c r="S193" t="n">
        <v>3</v>
      </c>
      <c r="T193" t="n">
        <v>3</v>
      </c>
      <c r="U193" t="inlineStr">
        <is>
          <t>1994-02-21</t>
        </is>
      </c>
      <c r="V193" t="inlineStr">
        <is>
          <t>1994-02-21</t>
        </is>
      </c>
      <c r="W193" t="inlineStr">
        <is>
          <t>1991-07-31</t>
        </is>
      </c>
      <c r="X193" t="inlineStr">
        <is>
          <t>1991-07-31</t>
        </is>
      </c>
      <c r="Y193" t="n">
        <v>539</v>
      </c>
      <c r="Z193" t="n">
        <v>463</v>
      </c>
      <c r="AA193" t="n">
        <v>502</v>
      </c>
      <c r="AB193" t="n">
        <v>3</v>
      </c>
      <c r="AC193" t="n">
        <v>4</v>
      </c>
      <c r="AD193" t="n">
        <v>35</v>
      </c>
      <c r="AE193" t="n">
        <v>38</v>
      </c>
      <c r="AF193" t="n">
        <v>13</v>
      </c>
      <c r="AG193" t="n">
        <v>14</v>
      </c>
      <c r="AH193" t="n">
        <v>8</v>
      </c>
      <c r="AI193" t="n">
        <v>8</v>
      </c>
      <c r="AJ193" t="n">
        <v>21</v>
      </c>
      <c r="AK193" t="n">
        <v>23</v>
      </c>
      <c r="AL193" t="n">
        <v>2</v>
      </c>
      <c r="AM193" t="n">
        <v>3</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HYPERLINK("https://creighton-primo.hosted.exlibrisgroup.com/primo-explore/search?tab=default_tab&amp;search_scope=EVERYTHING&amp;vid=01CRU&amp;lang=en_US&amp;offset=0&amp;query=any,contains,991004985499702656","Catalog Record")</f>
        <v/>
      </c>
      <c r="AT193">
        <f>HYPERLINK("http://www.worldcat.org/oclc/6447396","WorldCat Record")</f>
        <v/>
      </c>
      <c r="AU193" t="inlineStr">
        <is>
          <t>114069750:eng</t>
        </is>
      </c>
      <c r="AV193" t="inlineStr">
        <is>
          <t>6447396</t>
        </is>
      </c>
      <c r="AW193" t="inlineStr">
        <is>
          <t>991004985499702656</t>
        </is>
      </c>
      <c r="AX193" t="inlineStr">
        <is>
          <t>991004985499702656</t>
        </is>
      </c>
      <c r="AY193" t="inlineStr">
        <is>
          <t>2255547890002656</t>
        </is>
      </c>
      <c r="AZ193" t="inlineStr">
        <is>
          <t>BOOK</t>
        </is>
      </c>
      <c r="BB193" t="inlineStr">
        <is>
          <t>9780800606299</t>
        </is>
      </c>
      <c r="BC193" t="inlineStr">
        <is>
          <t>32285000693548</t>
        </is>
      </c>
      <c r="BD193" t="inlineStr">
        <is>
          <t>893513876</t>
        </is>
      </c>
    </row>
    <row r="194">
      <c r="A194" t="inlineStr">
        <is>
          <t>No</t>
        </is>
      </c>
      <c r="B194" t="inlineStr">
        <is>
          <t>BT121.2 .S565</t>
        </is>
      </c>
      <c r="C194" t="inlineStr">
        <is>
          <t>0                      BT 0121200S  565</t>
        </is>
      </c>
      <c r="D194" t="inlineStr">
        <is>
          <t>The Spirit of God in Christian life / contributors, Barnabas Mary Ahern ... [et al.] ; edited by Edward Malatesta.</t>
        </is>
      </c>
      <c r="F194" t="inlineStr">
        <is>
          <t>No</t>
        </is>
      </c>
      <c r="G194" t="inlineStr">
        <is>
          <t>1</t>
        </is>
      </c>
      <c r="H194" t="inlineStr">
        <is>
          <t>No</t>
        </is>
      </c>
      <c r="I194" t="inlineStr">
        <is>
          <t>No</t>
        </is>
      </c>
      <c r="J194" t="inlineStr">
        <is>
          <t>0</t>
        </is>
      </c>
      <c r="L194" t="inlineStr">
        <is>
          <t>New York : Paulist Press, c1977.</t>
        </is>
      </c>
      <c r="M194" t="inlineStr">
        <is>
          <t>1977</t>
        </is>
      </c>
      <c r="O194" t="inlineStr">
        <is>
          <t>eng</t>
        </is>
      </c>
      <c r="P194" t="inlineStr">
        <is>
          <t>nyu</t>
        </is>
      </c>
      <c r="Q194" t="inlineStr">
        <is>
          <t>Deus books</t>
        </is>
      </c>
      <c r="R194" t="inlineStr">
        <is>
          <t xml:space="preserve">BT </t>
        </is>
      </c>
      <c r="S194" t="n">
        <v>3</v>
      </c>
      <c r="T194" t="n">
        <v>3</v>
      </c>
      <c r="U194" t="inlineStr">
        <is>
          <t>1994-09-09</t>
        </is>
      </c>
      <c r="V194" t="inlineStr">
        <is>
          <t>1994-09-09</t>
        </is>
      </c>
      <c r="W194" t="inlineStr">
        <is>
          <t>1991-07-31</t>
        </is>
      </c>
      <c r="X194" t="inlineStr">
        <is>
          <t>1991-07-31</t>
        </is>
      </c>
      <c r="Y194" t="n">
        <v>103</v>
      </c>
      <c r="Z194" t="n">
        <v>82</v>
      </c>
      <c r="AA194" t="n">
        <v>82</v>
      </c>
      <c r="AB194" t="n">
        <v>1</v>
      </c>
      <c r="AC194" t="n">
        <v>1</v>
      </c>
      <c r="AD194" t="n">
        <v>8</v>
      </c>
      <c r="AE194" t="n">
        <v>8</v>
      </c>
      <c r="AF194" t="n">
        <v>2</v>
      </c>
      <c r="AG194" t="n">
        <v>2</v>
      </c>
      <c r="AH194" t="n">
        <v>1</v>
      </c>
      <c r="AI194" t="n">
        <v>1</v>
      </c>
      <c r="AJ194" t="n">
        <v>7</v>
      </c>
      <c r="AK194" t="n">
        <v>7</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HYPERLINK("https://creighton-primo.hosted.exlibrisgroup.com/primo-explore/search?tab=default_tab&amp;search_scope=EVERYTHING&amp;vid=01CRU&amp;lang=en_US&amp;offset=0&amp;query=any,contains,991004419049702656","Catalog Record")</f>
        <v/>
      </c>
      <c r="AT194">
        <f>HYPERLINK("http://www.worldcat.org/oclc/3377618","WorldCat Record")</f>
        <v/>
      </c>
      <c r="AU194" t="inlineStr">
        <is>
          <t>367056070:eng</t>
        </is>
      </c>
      <c r="AV194" t="inlineStr">
        <is>
          <t>3377618</t>
        </is>
      </c>
      <c r="AW194" t="inlineStr">
        <is>
          <t>991004419049702656</t>
        </is>
      </c>
      <c r="AX194" t="inlineStr">
        <is>
          <t>991004419049702656</t>
        </is>
      </c>
      <c r="AY194" t="inlineStr">
        <is>
          <t>2256168250002656</t>
        </is>
      </c>
      <c r="AZ194" t="inlineStr">
        <is>
          <t>BOOK</t>
        </is>
      </c>
      <c r="BB194" t="inlineStr">
        <is>
          <t>9780809120338</t>
        </is>
      </c>
      <c r="BC194" t="inlineStr">
        <is>
          <t>32285000693555</t>
        </is>
      </c>
      <c r="BD194" t="inlineStr">
        <is>
          <t>893612326</t>
        </is>
      </c>
    </row>
    <row r="195">
      <c r="A195" t="inlineStr">
        <is>
          <t>No</t>
        </is>
      </c>
      <c r="B195" t="inlineStr">
        <is>
          <t>BT121.2 .S9313 1975</t>
        </is>
      </c>
      <c r="C195" t="inlineStr">
        <is>
          <t>0                      BT 0121200S  9313        1975</t>
        </is>
      </c>
      <c r="D195" t="inlineStr">
        <is>
          <t>A new Pentecost? / L. J. Suenens ; translated by Francis Martin.</t>
        </is>
      </c>
      <c r="F195" t="inlineStr">
        <is>
          <t>No</t>
        </is>
      </c>
      <c r="G195" t="inlineStr">
        <is>
          <t>1</t>
        </is>
      </c>
      <c r="H195" t="inlineStr">
        <is>
          <t>No</t>
        </is>
      </c>
      <c r="I195" t="inlineStr">
        <is>
          <t>No</t>
        </is>
      </c>
      <c r="J195" t="inlineStr">
        <is>
          <t>0</t>
        </is>
      </c>
      <c r="K195" t="inlineStr">
        <is>
          <t>Suenens, Léon Joseph, 1904-1996.</t>
        </is>
      </c>
      <c r="L195" t="inlineStr">
        <is>
          <t>New York : Seabury Press, [1975], c1974.</t>
        </is>
      </c>
      <c r="M195" t="inlineStr">
        <is>
          <t>1975</t>
        </is>
      </c>
      <c r="O195" t="inlineStr">
        <is>
          <t>eng</t>
        </is>
      </c>
      <c r="P195" t="inlineStr">
        <is>
          <t>nyu</t>
        </is>
      </c>
      <c r="R195" t="inlineStr">
        <is>
          <t xml:space="preserve">BT </t>
        </is>
      </c>
      <c r="S195" t="n">
        <v>7</v>
      </c>
      <c r="T195" t="n">
        <v>7</v>
      </c>
      <c r="U195" t="inlineStr">
        <is>
          <t>2008-12-03</t>
        </is>
      </c>
      <c r="V195" t="inlineStr">
        <is>
          <t>2008-12-03</t>
        </is>
      </c>
      <c r="W195" t="inlineStr">
        <is>
          <t>1990-06-26</t>
        </is>
      </c>
      <c r="X195" t="inlineStr">
        <is>
          <t>1990-06-26</t>
        </is>
      </c>
      <c r="Y195" t="n">
        <v>438</v>
      </c>
      <c r="Z195" t="n">
        <v>386</v>
      </c>
      <c r="AA195" t="n">
        <v>427</v>
      </c>
      <c r="AB195" t="n">
        <v>5</v>
      </c>
      <c r="AC195" t="n">
        <v>5</v>
      </c>
      <c r="AD195" t="n">
        <v>32</v>
      </c>
      <c r="AE195" t="n">
        <v>32</v>
      </c>
      <c r="AF195" t="n">
        <v>11</v>
      </c>
      <c r="AG195" t="n">
        <v>11</v>
      </c>
      <c r="AH195" t="n">
        <v>7</v>
      </c>
      <c r="AI195" t="n">
        <v>7</v>
      </c>
      <c r="AJ195" t="n">
        <v>21</v>
      </c>
      <c r="AK195" t="n">
        <v>21</v>
      </c>
      <c r="AL195" t="n">
        <v>3</v>
      </c>
      <c r="AM195" t="n">
        <v>3</v>
      </c>
      <c r="AN195" t="n">
        <v>0</v>
      </c>
      <c r="AO195" t="n">
        <v>0</v>
      </c>
      <c r="AP195" t="inlineStr">
        <is>
          <t>No</t>
        </is>
      </c>
      <c r="AQ195" t="inlineStr">
        <is>
          <t>Yes</t>
        </is>
      </c>
      <c r="AR195">
        <f>HYPERLINK("http://catalog.hathitrust.org/Record/006020625","HathiTrust Record")</f>
        <v/>
      </c>
      <c r="AS195">
        <f>HYPERLINK("https://creighton-primo.hosted.exlibrisgroup.com/primo-explore/search?tab=default_tab&amp;search_scope=EVERYTHING&amp;vid=01CRU&amp;lang=en_US&amp;offset=0&amp;query=any,contains,991003545619702656","Catalog Record")</f>
        <v/>
      </c>
      <c r="AT195">
        <f>HYPERLINK("http://www.worldcat.org/oclc/1111426","WorldCat Record")</f>
        <v/>
      </c>
      <c r="AU195" t="inlineStr">
        <is>
          <t>134878734:eng</t>
        </is>
      </c>
      <c r="AV195" t="inlineStr">
        <is>
          <t>1111426</t>
        </is>
      </c>
      <c r="AW195" t="inlineStr">
        <is>
          <t>991003545619702656</t>
        </is>
      </c>
      <c r="AX195" t="inlineStr">
        <is>
          <t>991003545619702656</t>
        </is>
      </c>
      <c r="AY195" t="inlineStr">
        <is>
          <t>2269651150002656</t>
        </is>
      </c>
      <c r="AZ195" t="inlineStr">
        <is>
          <t>BOOK</t>
        </is>
      </c>
      <c r="BB195" t="inlineStr">
        <is>
          <t>9780816402762</t>
        </is>
      </c>
      <c r="BC195" t="inlineStr">
        <is>
          <t>32285000215003</t>
        </is>
      </c>
      <c r="BD195" t="inlineStr">
        <is>
          <t>893416495</t>
        </is>
      </c>
    </row>
    <row r="196">
      <c r="A196" t="inlineStr">
        <is>
          <t>No</t>
        </is>
      </c>
      <c r="B196" t="inlineStr">
        <is>
          <t>BT121.2 .T39 1979</t>
        </is>
      </c>
      <c r="C196" t="inlineStr">
        <is>
          <t>0                      BT 0121200T  39          1979</t>
        </is>
      </c>
      <c r="D196" t="inlineStr">
        <is>
          <t>The go-between God : the Holy Spirit and the Christian mission / John V. Taylor.</t>
        </is>
      </c>
      <c r="F196" t="inlineStr">
        <is>
          <t>No</t>
        </is>
      </c>
      <c r="G196" t="inlineStr">
        <is>
          <t>1</t>
        </is>
      </c>
      <c r="H196" t="inlineStr">
        <is>
          <t>No</t>
        </is>
      </c>
      <c r="I196" t="inlineStr">
        <is>
          <t>No</t>
        </is>
      </c>
      <c r="J196" t="inlineStr">
        <is>
          <t>0</t>
        </is>
      </c>
      <c r="K196" t="inlineStr">
        <is>
          <t>Taylor, John V. (John Vernon), 1914-2001.</t>
        </is>
      </c>
      <c r="L196" t="inlineStr">
        <is>
          <t>New York : Oxford University Press, 1979, c1972.</t>
        </is>
      </c>
      <c r="M196" t="inlineStr">
        <is>
          <t>1979</t>
        </is>
      </c>
      <c r="O196" t="inlineStr">
        <is>
          <t>eng</t>
        </is>
      </c>
      <c r="P196" t="inlineStr">
        <is>
          <t>nyu</t>
        </is>
      </c>
      <c r="R196" t="inlineStr">
        <is>
          <t xml:space="preserve">BT </t>
        </is>
      </c>
      <c r="S196" t="n">
        <v>3</v>
      </c>
      <c r="T196" t="n">
        <v>3</v>
      </c>
      <c r="U196" t="inlineStr">
        <is>
          <t>1998-12-03</t>
        </is>
      </c>
      <c r="V196" t="inlineStr">
        <is>
          <t>1998-12-03</t>
        </is>
      </c>
      <c r="W196" t="inlineStr">
        <is>
          <t>1991-07-31</t>
        </is>
      </c>
      <c r="X196" t="inlineStr">
        <is>
          <t>1991-07-31</t>
        </is>
      </c>
      <c r="Y196" t="n">
        <v>160</v>
      </c>
      <c r="Z196" t="n">
        <v>150</v>
      </c>
      <c r="AA196" t="n">
        <v>382</v>
      </c>
      <c r="AB196" t="n">
        <v>2</v>
      </c>
      <c r="AC196" t="n">
        <v>2</v>
      </c>
      <c r="AD196" t="n">
        <v>12</v>
      </c>
      <c r="AE196" t="n">
        <v>18</v>
      </c>
      <c r="AF196" t="n">
        <v>2</v>
      </c>
      <c r="AG196" t="n">
        <v>5</v>
      </c>
      <c r="AH196" t="n">
        <v>4</v>
      </c>
      <c r="AI196" t="n">
        <v>5</v>
      </c>
      <c r="AJ196" t="n">
        <v>10</v>
      </c>
      <c r="AK196" t="n">
        <v>12</v>
      </c>
      <c r="AL196" t="n">
        <v>0</v>
      </c>
      <c r="AM196" t="n">
        <v>0</v>
      </c>
      <c r="AN196" t="n">
        <v>0</v>
      </c>
      <c r="AO196" t="n">
        <v>0</v>
      </c>
      <c r="AP196" t="inlineStr">
        <is>
          <t>No</t>
        </is>
      </c>
      <c r="AQ196" t="inlineStr">
        <is>
          <t>Yes</t>
        </is>
      </c>
      <c r="AR196">
        <f>HYPERLINK("http://catalog.hathitrust.org/Record/000718444","HathiTrust Record")</f>
        <v/>
      </c>
      <c r="AS196">
        <f>HYPERLINK("https://creighton-primo.hosted.exlibrisgroup.com/primo-explore/search?tab=default_tab&amp;search_scope=EVERYTHING&amp;vid=01CRU&amp;lang=en_US&amp;offset=0&amp;query=any,contains,991004815669702656","Catalog Record")</f>
        <v/>
      </c>
      <c r="AT196">
        <f>HYPERLINK("http://www.worldcat.org/oclc/5310026","WorldCat Record")</f>
        <v/>
      </c>
      <c r="AU196" t="inlineStr">
        <is>
          <t>48722268:eng</t>
        </is>
      </c>
      <c r="AV196" t="inlineStr">
        <is>
          <t>5310026</t>
        </is>
      </c>
      <c r="AW196" t="inlineStr">
        <is>
          <t>991004815669702656</t>
        </is>
      </c>
      <c r="AX196" t="inlineStr">
        <is>
          <t>991004815669702656</t>
        </is>
      </c>
      <c r="AY196" t="inlineStr">
        <is>
          <t>2264334490002656</t>
        </is>
      </c>
      <c r="AZ196" t="inlineStr">
        <is>
          <t>BOOK</t>
        </is>
      </c>
      <c r="BB196" t="inlineStr">
        <is>
          <t>9780195201253</t>
        </is>
      </c>
      <c r="BC196" t="inlineStr">
        <is>
          <t>32285000693563</t>
        </is>
      </c>
      <c r="BD196" t="inlineStr">
        <is>
          <t>893338159</t>
        </is>
      </c>
    </row>
    <row r="197">
      <c r="A197" t="inlineStr">
        <is>
          <t>No</t>
        </is>
      </c>
      <c r="B197" t="inlineStr">
        <is>
          <t>BT121.2 .W4413 1994</t>
        </is>
      </c>
      <c r="C197" t="inlineStr">
        <is>
          <t>0                      BT 0121200W  4413        1994</t>
        </is>
      </c>
      <c r="D197" t="inlineStr">
        <is>
          <t>God the spirit / by Michael Welker ; translated by John F. Hoffmeyer.</t>
        </is>
      </c>
      <c r="F197" t="inlineStr">
        <is>
          <t>No</t>
        </is>
      </c>
      <c r="G197" t="inlineStr">
        <is>
          <t>1</t>
        </is>
      </c>
      <c r="H197" t="inlineStr">
        <is>
          <t>No</t>
        </is>
      </c>
      <c r="I197" t="inlineStr">
        <is>
          <t>No</t>
        </is>
      </c>
      <c r="J197" t="inlineStr">
        <is>
          <t>0</t>
        </is>
      </c>
      <c r="K197" t="inlineStr">
        <is>
          <t>Welker, Michael, 1947-</t>
        </is>
      </c>
      <c r="L197" t="inlineStr">
        <is>
          <t>Minneapolis : Fortress Press, 1994.</t>
        </is>
      </c>
      <c r="M197" t="inlineStr">
        <is>
          <t>1994</t>
        </is>
      </c>
      <c r="N197" t="inlineStr">
        <is>
          <t>1st English-language ed.</t>
        </is>
      </c>
      <c r="O197" t="inlineStr">
        <is>
          <t>eng</t>
        </is>
      </c>
      <c r="P197" t="inlineStr">
        <is>
          <t>mnu</t>
        </is>
      </c>
      <c r="R197" t="inlineStr">
        <is>
          <t xml:space="preserve">BT </t>
        </is>
      </c>
      <c r="S197" t="n">
        <v>8</v>
      </c>
      <c r="T197" t="n">
        <v>8</v>
      </c>
      <c r="U197" t="inlineStr">
        <is>
          <t>2010-03-19</t>
        </is>
      </c>
      <c r="V197" t="inlineStr">
        <is>
          <t>2010-03-19</t>
        </is>
      </c>
      <c r="W197" t="inlineStr">
        <is>
          <t>1994-12-22</t>
        </is>
      </c>
      <c r="X197" t="inlineStr">
        <is>
          <t>1994-12-22</t>
        </is>
      </c>
      <c r="Y197" t="n">
        <v>299</v>
      </c>
      <c r="Z197" t="n">
        <v>228</v>
      </c>
      <c r="AA197" t="n">
        <v>238</v>
      </c>
      <c r="AB197" t="n">
        <v>2</v>
      </c>
      <c r="AC197" t="n">
        <v>3</v>
      </c>
      <c r="AD197" t="n">
        <v>15</v>
      </c>
      <c r="AE197" t="n">
        <v>17</v>
      </c>
      <c r="AF197" t="n">
        <v>6</v>
      </c>
      <c r="AG197" t="n">
        <v>7</v>
      </c>
      <c r="AH197" t="n">
        <v>3</v>
      </c>
      <c r="AI197" t="n">
        <v>4</v>
      </c>
      <c r="AJ197" t="n">
        <v>10</v>
      </c>
      <c r="AK197" t="n">
        <v>10</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HYPERLINK("https://creighton-primo.hosted.exlibrisgroup.com/primo-explore/search?tab=default_tab&amp;search_scope=EVERYTHING&amp;vid=01CRU&amp;lang=en_US&amp;offset=0&amp;query=any,contains,991002313489702656","Catalog Record")</f>
        <v/>
      </c>
      <c r="AT197">
        <f>HYPERLINK("http://www.worldcat.org/oclc/30030391","WorldCat Record")</f>
        <v/>
      </c>
      <c r="AU197" t="inlineStr">
        <is>
          <t>889900679:eng</t>
        </is>
      </c>
      <c r="AV197" t="inlineStr">
        <is>
          <t>30030391</t>
        </is>
      </c>
      <c r="AW197" t="inlineStr">
        <is>
          <t>991002313489702656</t>
        </is>
      </c>
      <c r="AX197" t="inlineStr">
        <is>
          <t>991002313489702656</t>
        </is>
      </c>
      <c r="AY197" t="inlineStr">
        <is>
          <t>2269069930002656</t>
        </is>
      </c>
      <c r="AZ197" t="inlineStr">
        <is>
          <t>BOOK</t>
        </is>
      </c>
      <c r="BB197" t="inlineStr">
        <is>
          <t>9780800627669</t>
        </is>
      </c>
      <c r="BC197" t="inlineStr">
        <is>
          <t>32285001978302</t>
        </is>
      </c>
      <c r="BD197" t="inlineStr">
        <is>
          <t>893226698</t>
        </is>
      </c>
    </row>
    <row r="198">
      <c r="A198" t="inlineStr">
        <is>
          <t>No</t>
        </is>
      </c>
      <c r="B198" t="inlineStr">
        <is>
          <t>BT121.5 .S5</t>
        </is>
      </c>
      <c r="C198" t="inlineStr">
        <is>
          <t>0                      BT 0121500S  5</t>
        </is>
      </c>
      <c r="D198" t="inlineStr">
        <is>
          <t>The Holy Spirit in action : why Christians call Him "the Lord and Giver of Life" / by F.J. Sheed.</t>
        </is>
      </c>
      <c r="F198" t="inlineStr">
        <is>
          <t>No</t>
        </is>
      </c>
      <c r="G198" t="inlineStr">
        <is>
          <t>1</t>
        </is>
      </c>
      <c r="H198" t="inlineStr">
        <is>
          <t>No</t>
        </is>
      </c>
      <c r="I198" t="inlineStr">
        <is>
          <t>No</t>
        </is>
      </c>
      <c r="J198" t="inlineStr">
        <is>
          <t>0</t>
        </is>
      </c>
      <c r="K198" t="inlineStr">
        <is>
          <t>Sheed, F. J. (Francis Joseph), 1897-1981.</t>
        </is>
      </c>
      <c r="L198" t="inlineStr">
        <is>
          <t>Ann Arbor, Mi. : Servant Books, 1981.</t>
        </is>
      </c>
      <c r="M198" t="inlineStr">
        <is>
          <t>1981</t>
        </is>
      </c>
      <c r="O198" t="inlineStr">
        <is>
          <t>eng</t>
        </is>
      </c>
      <c r="P198" t="inlineStr">
        <is>
          <t>miu</t>
        </is>
      </c>
      <c r="R198" t="inlineStr">
        <is>
          <t xml:space="preserve">BT </t>
        </is>
      </c>
      <c r="S198" t="n">
        <v>5</v>
      </c>
      <c r="T198" t="n">
        <v>5</v>
      </c>
      <c r="U198" t="inlineStr">
        <is>
          <t>1997-05-13</t>
        </is>
      </c>
      <c r="V198" t="inlineStr">
        <is>
          <t>1997-05-13</t>
        </is>
      </c>
      <c r="W198" t="inlineStr">
        <is>
          <t>1990-04-17</t>
        </is>
      </c>
      <c r="X198" t="inlineStr">
        <is>
          <t>1990-04-17</t>
        </is>
      </c>
      <c r="Y198" t="n">
        <v>167</v>
      </c>
      <c r="Z198" t="n">
        <v>153</v>
      </c>
      <c r="AA198" t="n">
        <v>159</v>
      </c>
      <c r="AB198" t="n">
        <v>3</v>
      </c>
      <c r="AC198" t="n">
        <v>3</v>
      </c>
      <c r="AD198" t="n">
        <v>12</v>
      </c>
      <c r="AE198" t="n">
        <v>12</v>
      </c>
      <c r="AF198" t="n">
        <v>3</v>
      </c>
      <c r="AG198" t="n">
        <v>3</v>
      </c>
      <c r="AH198" t="n">
        <v>4</v>
      </c>
      <c r="AI198" t="n">
        <v>4</v>
      </c>
      <c r="AJ198" t="n">
        <v>8</v>
      </c>
      <c r="AK198" t="n">
        <v>8</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HYPERLINK("https://creighton-primo.hosted.exlibrisgroup.com/primo-explore/search?tab=default_tab&amp;search_scope=EVERYTHING&amp;vid=01CRU&amp;lang=en_US&amp;offset=0&amp;query=any,contains,991005178849702656","Catalog Record")</f>
        <v/>
      </c>
      <c r="AT198">
        <f>HYPERLINK("http://www.worldcat.org/oclc/7933732","WorldCat Record")</f>
        <v/>
      </c>
      <c r="AU198" t="inlineStr">
        <is>
          <t>1151161023:eng</t>
        </is>
      </c>
      <c r="AV198" t="inlineStr">
        <is>
          <t>7933732</t>
        </is>
      </c>
      <c r="AW198" t="inlineStr">
        <is>
          <t>991005178849702656</t>
        </is>
      </c>
      <c r="AX198" t="inlineStr">
        <is>
          <t>991005178849702656</t>
        </is>
      </c>
      <c r="AY198" t="inlineStr">
        <is>
          <t>2269209470002656</t>
        </is>
      </c>
      <c r="AZ198" t="inlineStr">
        <is>
          <t>BOOK</t>
        </is>
      </c>
      <c r="BB198" t="inlineStr">
        <is>
          <t>9780892831098</t>
        </is>
      </c>
      <c r="BC198" t="inlineStr">
        <is>
          <t>32285000122928</t>
        </is>
      </c>
      <c r="BD198" t="inlineStr">
        <is>
          <t>893713578</t>
        </is>
      </c>
    </row>
    <row r="199">
      <c r="A199" t="inlineStr">
        <is>
          <t>No</t>
        </is>
      </c>
      <c r="B199" t="inlineStr">
        <is>
          <t>BT1211 .H37 1978</t>
        </is>
      </c>
      <c r="C199" t="inlineStr">
        <is>
          <t>0                      BT 1211000H  37          1978</t>
        </is>
      </c>
      <c r="D199" t="inlineStr">
        <is>
          <t>The modern rival of Christian faith : an analysis of secularism / Georgia Harkness.</t>
        </is>
      </c>
      <c r="F199" t="inlineStr">
        <is>
          <t>No</t>
        </is>
      </c>
      <c r="G199" t="inlineStr">
        <is>
          <t>1</t>
        </is>
      </c>
      <c r="H199" t="inlineStr">
        <is>
          <t>No</t>
        </is>
      </c>
      <c r="I199" t="inlineStr">
        <is>
          <t>No</t>
        </is>
      </c>
      <c r="J199" t="inlineStr">
        <is>
          <t>0</t>
        </is>
      </c>
      <c r="K199" t="inlineStr">
        <is>
          <t>Harkness, Georgia Elma, 1891-1974.</t>
        </is>
      </c>
      <c r="L199" t="inlineStr">
        <is>
          <t>Westport, Conn. : Greenwood Press, [1978], c1952.</t>
        </is>
      </c>
      <c r="M199" t="inlineStr">
        <is>
          <t>1978</t>
        </is>
      </c>
      <c r="O199" t="inlineStr">
        <is>
          <t>eng</t>
        </is>
      </c>
      <c r="P199" t="inlineStr">
        <is>
          <t>ctu</t>
        </is>
      </c>
      <c r="R199" t="inlineStr">
        <is>
          <t xml:space="preserve">BT </t>
        </is>
      </c>
      <c r="S199" t="n">
        <v>1</v>
      </c>
      <c r="T199" t="n">
        <v>1</v>
      </c>
      <c r="U199" t="inlineStr">
        <is>
          <t>1997-03-29</t>
        </is>
      </c>
      <c r="V199" t="inlineStr">
        <is>
          <t>1997-03-29</t>
        </is>
      </c>
      <c r="W199" t="inlineStr">
        <is>
          <t>1991-11-19</t>
        </is>
      </c>
      <c r="X199" t="inlineStr">
        <is>
          <t>1991-11-19</t>
        </is>
      </c>
      <c r="Y199" t="n">
        <v>103</v>
      </c>
      <c r="Z199" t="n">
        <v>92</v>
      </c>
      <c r="AA199" t="n">
        <v>417</v>
      </c>
      <c r="AB199" t="n">
        <v>1</v>
      </c>
      <c r="AC199" t="n">
        <v>7</v>
      </c>
      <c r="AD199" t="n">
        <v>5</v>
      </c>
      <c r="AE199" t="n">
        <v>18</v>
      </c>
      <c r="AF199" t="n">
        <v>3</v>
      </c>
      <c r="AG199" t="n">
        <v>7</v>
      </c>
      <c r="AH199" t="n">
        <v>2</v>
      </c>
      <c r="AI199" t="n">
        <v>3</v>
      </c>
      <c r="AJ199" t="n">
        <v>2</v>
      </c>
      <c r="AK199" t="n">
        <v>6</v>
      </c>
      <c r="AL199" t="n">
        <v>0</v>
      </c>
      <c r="AM199" t="n">
        <v>6</v>
      </c>
      <c r="AN199" t="n">
        <v>0</v>
      </c>
      <c r="AO199" t="n">
        <v>0</v>
      </c>
      <c r="AP199" t="inlineStr">
        <is>
          <t>No</t>
        </is>
      </c>
      <c r="AQ199" t="inlineStr">
        <is>
          <t>Yes</t>
        </is>
      </c>
      <c r="AR199">
        <f>HYPERLINK("http://catalog.hathitrust.org/Record/102005827","HathiTrust Record")</f>
        <v/>
      </c>
      <c r="AS199">
        <f>HYPERLINK("https://creighton-primo.hosted.exlibrisgroup.com/primo-explore/search?tab=default_tab&amp;search_scope=EVERYTHING&amp;vid=01CRU&amp;lang=en_US&amp;offset=0&amp;query=any,contains,991004459769702656","Catalog Record")</f>
        <v/>
      </c>
      <c r="AT199">
        <f>HYPERLINK("http://www.worldcat.org/oclc/3542482","WorldCat Record")</f>
        <v/>
      </c>
      <c r="AU199" t="inlineStr">
        <is>
          <t>444941:eng</t>
        </is>
      </c>
      <c r="AV199" t="inlineStr">
        <is>
          <t>3542482</t>
        </is>
      </c>
      <c r="AW199" t="inlineStr">
        <is>
          <t>991004459769702656</t>
        </is>
      </c>
      <c r="AX199" t="inlineStr">
        <is>
          <t>991004459769702656</t>
        </is>
      </c>
      <c r="AY199" t="inlineStr">
        <is>
          <t>2264332410002656</t>
        </is>
      </c>
      <c r="AZ199" t="inlineStr">
        <is>
          <t>BOOK</t>
        </is>
      </c>
      <c r="BB199" t="inlineStr">
        <is>
          <t>9780313201745</t>
        </is>
      </c>
      <c r="BC199" t="inlineStr">
        <is>
          <t>32285000824820</t>
        </is>
      </c>
      <c r="BD199" t="inlineStr">
        <is>
          <t>893693976</t>
        </is>
      </c>
    </row>
    <row r="200">
      <c r="A200" t="inlineStr">
        <is>
          <t>No</t>
        </is>
      </c>
      <c r="B200" t="inlineStr">
        <is>
          <t>BT122 .R25</t>
        </is>
      </c>
      <c r="C200" t="inlineStr">
        <is>
          <t>0                      BT 0122000R  25</t>
        </is>
      </c>
      <c r="D200" t="inlineStr">
        <is>
          <t>Come Holy Spirit / by Arthur Michael Ramsey, Leon-Joseph Cardinal Suenens ; with sermons by John Maury Allin, Robert E. Terwilliger.</t>
        </is>
      </c>
      <c r="F200" t="inlineStr">
        <is>
          <t>No</t>
        </is>
      </c>
      <c r="G200" t="inlineStr">
        <is>
          <t>1</t>
        </is>
      </c>
      <c r="H200" t="inlineStr">
        <is>
          <t>No</t>
        </is>
      </c>
      <c r="I200" t="inlineStr">
        <is>
          <t>No</t>
        </is>
      </c>
      <c r="J200" t="inlineStr">
        <is>
          <t>0</t>
        </is>
      </c>
      <c r="K200" t="inlineStr">
        <is>
          <t>Ramsey, Michael, 1904-1988.</t>
        </is>
      </c>
      <c r="L200" t="inlineStr">
        <is>
          <t>New York : Morehouse-Barlow Co., c1976.</t>
        </is>
      </c>
      <c r="M200" t="inlineStr">
        <is>
          <t>1976</t>
        </is>
      </c>
      <c r="O200" t="inlineStr">
        <is>
          <t>eng</t>
        </is>
      </c>
      <c r="P200" t="inlineStr">
        <is>
          <t>nyu</t>
        </is>
      </c>
      <c r="R200" t="inlineStr">
        <is>
          <t xml:space="preserve">BT </t>
        </is>
      </c>
      <c r="S200" t="n">
        <v>3</v>
      </c>
      <c r="T200" t="n">
        <v>3</v>
      </c>
      <c r="U200" t="inlineStr">
        <is>
          <t>1994-09-09</t>
        </is>
      </c>
      <c r="V200" t="inlineStr">
        <is>
          <t>1994-09-09</t>
        </is>
      </c>
      <c r="W200" t="inlineStr">
        <is>
          <t>1990-06-12</t>
        </is>
      </c>
      <c r="X200" t="inlineStr">
        <is>
          <t>1990-06-12</t>
        </is>
      </c>
      <c r="Y200" t="n">
        <v>130</v>
      </c>
      <c r="Z200" t="n">
        <v>109</v>
      </c>
      <c r="AA200" t="n">
        <v>111</v>
      </c>
      <c r="AB200" t="n">
        <v>1</v>
      </c>
      <c r="AC200" t="n">
        <v>1</v>
      </c>
      <c r="AD200" t="n">
        <v>7</v>
      </c>
      <c r="AE200" t="n">
        <v>7</v>
      </c>
      <c r="AF200" t="n">
        <v>2</v>
      </c>
      <c r="AG200" t="n">
        <v>2</v>
      </c>
      <c r="AH200" t="n">
        <v>1</v>
      </c>
      <c r="AI200" t="n">
        <v>1</v>
      </c>
      <c r="AJ200" t="n">
        <v>6</v>
      </c>
      <c r="AK200" t="n">
        <v>6</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HYPERLINK("https://creighton-primo.hosted.exlibrisgroup.com/primo-explore/search?tab=default_tab&amp;search_scope=EVERYTHING&amp;vid=01CRU&amp;lang=en_US&amp;offset=0&amp;query=any,contains,991004045919702656","Catalog Record")</f>
        <v/>
      </c>
      <c r="AT200">
        <f>HYPERLINK("http://www.worldcat.org/oclc/2201822","WorldCat Record")</f>
        <v/>
      </c>
      <c r="AU200" t="inlineStr">
        <is>
          <t>119373905:eng</t>
        </is>
      </c>
      <c r="AV200" t="inlineStr">
        <is>
          <t>2201822</t>
        </is>
      </c>
      <c r="AW200" t="inlineStr">
        <is>
          <t>991004045919702656</t>
        </is>
      </c>
      <c r="AX200" t="inlineStr">
        <is>
          <t>991004045919702656</t>
        </is>
      </c>
      <c r="AY200" t="inlineStr">
        <is>
          <t>2255925820002656</t>
        </is>
      </c>
      <c r="AZ200" t="inlineStr">
        <is>
          <t>BOOK</t>
        </is>
      </c>
      <c r="BB200" t="inlineStr">
        <is>
          <t>9780819211866</t>
        </is>
      </c>
      <c r="BC200" t="inlineStr">
        <is>
          <t>32285000184738</t>
        </is>
      </c>
      <c r="BD200" t="inlineStr">
        <is>
          <t>893788208</t>
        </is>
      </c>
    </row>
    <row r="201">
      <c r="A201" t="inlineStr">
        <is>
          <t>No</t>
        </is>
      </c>
      <c r="B201" t="inlineStr">
        <is>
          <t>BT123 .M3 1972</t>
        </is>
      </c>
      <c r="C201" t="inlineStr">
        <is>
          <t>0                      BT 0123000M  3           1972</t>
        </is>
      </c>
      <c r="D201" t="inlineStr">
        <is>
          <t>The baptism in the Holy Spirit as an ecumenical problem : [two essays relating the baptism in the Holy Spirit to sacramental life / by Kilian McDonnell and Arnold Bittlinger]</t>
        </is>
      </c>
      <c r="F201" t="inlineStr">
        <is>
          <t>No</t>
        </is>
      </c>
      <c r="G201" t="inlineStr">
        <is>
          <t>1</t>
        </is>
      </c>
      <c r="H201" t="inlineStr">
        <is>
          <t>No</t>
        </is>
      </c>
      <c r="I201" t="inlineStr">
        <is>
          <t>No</t>
        </is>
      </c>
      <c r="J201" t="inlineStr">
        <is>
          <t>0</t>
        </is>
      </c>
      <c r="K201" t="inlineStr">
        <is>
          <t>McDonnell, Kilian.</t>
        </is>
      </c>
      <c r="L201" t="inlineStr">
        <is>
          <t>Notre Dame, Ind. : Charismatic Renewal Services, [1972]</t>
        </is>
      </c>
      <c r="M201" t="inlineStr">
        <is>
          <t>1972</t>
        </is>
      </c>
      <c r="O201" t="inlineStr">
        <is>
          <t>eng</t>
        </is>
      </c>
      <c r="P201" t="inlineStr">
        <is>
          <t>xxu</t>
        </is>
      </c>
      <c r="R201" t="inlineStr">
        <is>
          <t xml:space="preserve">BT </t>
        </is>
      </c>
      <c r="S201" t="n">
        <v>3</v>
      </c>
      <c r="T201" t="n">
        <v>3</v>
      </c>
      <c r="U201" t="inlineStr">
        <is>
          <t>2001-10-24</t>
        </is>
      </c>
      <c r="V201" t="inlineStr">
        <is>
          <t>2001-10-24</t>
        </is>
      </c>
      <c r="W201" t="inlineStr">
        <is>
          <t>1991-08-01</t>
        </is>
      </c>
      <c r="X201" t="inlineStr">
        <is>
          <t>1991-08-01</t>
        </is>
      </c>
      <c r="Y201" t="n">
        <v>36</v>
      </c>
      <c r="Z201" t="n">
        <v>32</v>
      </c>
      <c r="AA201" t="n">
        <v>32</v>
      </c>
      <c r="AB201" t="n">
        <v>1</v>
      </c>
      <c r="AC201" t="n">
        <v>1</v>
      </c>
      <c r="AD201" t="n">
        <v>4</v>
      </c>
      <c r="AE201" t="n">
        <v>4</v>
      </c>
      <c r="AF201" t="n">
        <v>1</v>
      </c>
      <c r="AG201" t="n">
        <v>1</v>
      </c>
      <c r="AH201" t="n">
        <v>2</v>
      </c>
      <c r="AI201" t="n">
        <v>2</v>
      </c>
      <c r="AJ201" t="n">
        <v>2</v>
      </c>
      <c r="AK201" t="n">
        <v>2</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HYPERLINK("https://creighton-primo.hosted.exlibrisgroup.com/primo-explore/search?tab=default_tab&amp;search_scope=EVERYTHING&amp;vid=01CRU&amp;lang=en_US&amp;offset=0&amp;query=any,contains,991004260679702656","Catalog Record")</f>
        <v/>
      </c>
      <c r="AT201">
        <f>HYPERLINK("http://www.worldcat.org/oclc/2843026","WorldCat Record")</f>
        <v/>
      </c>
      <c r="AU201" t="inlineStr">
        <is>
          <t>230502152:eng</t>
        </is>
      </c>
      <c r="AV201" t="inlineStr">
        <is>
          <t>2843026</t>
        </is>
      </c>
      <c r="AW201" t="inlineStr">
        <is>
          <t>991004260679702656</t>
        </is>
      </c>
      <c r="AX201" t="inlineStr">
        <is>
          <t>991004260679702656</t>
        </is>
      </c>
      <c r="AY201" t="inlineStr">
        <is>
          <t>2264126040002656</t>
        </is>
      </c>
      <c r="AZ201" t="inlineStr">
        <is>
          <t>BOOK</t>
        </is>
      </c>
      <c r="BC201" t="inlineStr">
        <is>
          <t>32285000693621</t>
        </is>
      </c>
      <c r="BD201" t="inlineStr">
        <is>
          <t>893624521</t>
        </is>
      </c>
    </row>
    <row r="202">
      <c r="A202" t="inlineStr">
        <is>
          <t>No</t>
        </is>
      </c>
      <c r="B202" t="inlineStr">
        <is>
          <t>BT123 .P4813 1983</t>
        </is>
      </c>
      <c r="C202" t="inlineStr">
        <is>
          <t>0                      BT 0123000P  4813        1983</t>
        </is>
      </c>
      <c r="D202" t="inlineStr">
        <is>
          <t>On the mystagogy of the Holy Spirit / by Saint Photios, Patriarch of Constantinople ; translation by Holy Transfiguration Monastery.</t>
        </is>
      </c>
      <c r="F202" t="inlineStr">
        <is>
          <t>No</t>
        </is>
      </c>
      <c r="G202" t="inlineStr">
        <is>
          <t>1</t>
        </is>
      </c>
      <c r="H202" t="inlineStr">
        <is>
          <t>No</t>
        </is>
      </c>
      <c r="I202" t="inlineStr">
        <is>
          <t>No</t>
        </is>
      </c>
      <c r="J202" t="inlineStr">
        <is>
          <t>0</t>
        </is>
      </c>
      <c r="K202" t="inlineStr">
        <is>
          <t>Photius I, Saint, Patriarch of Constantinople, approximately 820-approximately 891.</t>
        </is>
      </c>
      <c r="L202" t="inlineStr">
        <is>
          <t>[S.l.] : Studion Publishers, c1983.</t>
        </is>
      </c>
      <c r="M202" t="inlineStr">
        <is>
          <t>1983</t>
        </is>
      </c>
      <c r="O202" t="inlineStr">
        <is>
          <t>eng</t>
        </is>
      </c>
      <c r="P202" t="inlineStr">
        <is>
          <t xml:space="preserve">xx </t>
        </is>
      </c>
      <c r="R202" t="inlineStr">
        <is>
          <t xml:space="preserve">BT </t>
        </is>
      </c>
      <c r="S202" t="n">
        <v>5</v>
      </c>
      <c r="T202" t="n">
        <v>5</v>
      </c>
      <c r="U202" t="inlineStr">
        <is>
          <t>2001-11-09</t>
        </is>
      </c>
      <c r="V202" t="inlineStr">
        <is>
          <t>2001-11-09</t>
        </is>
      </c>
      <c r="W202" t="inlineStr">
        <is>
          <t>1991-08-01</t>
        </is>
      </c>
      <c r="X202" t="inlineStr">
        <is>
          <t>1991-08-01</t>
        </is>
      </c>
      <c r="Y202" t="n">
        <v>188</v>
      </c>
      <c r="Z202" t="n">
        <v>170</v>
      </c>
      <c r="AA202" t="n">
        <v>173</v>
      </c>
      <c r="AB202" t="n">
        <v>1</v>
      </c>
      <c r="AC202" t="n">
        <v>1</v>
      </c>
      <c r="AD202" t="n">
        <v>10</v>
      </c>
      <c r="AE202" t="n">
        <v>10</v>
      </c>
      <c r="AF202" t="n">
        <v>3</v>
      </c>
      <c r="AG202" t="n">
        <v>3</v>
      </c>
      <c r="AH202" t="n">
        <v>4</v>
      </c>
      <c r="AI202" t="n">
        <v>4</v>
      </c>
      <c r="AJ202" t="n">
        <v>8</v>
      </c>
      <c r="AK202" t="n">
        <v>8</v>
      </c>
      <c r="AL202" t="n">
        <v>0</v>
      </c>
      <c r="AM202" t="n">
        <v>0</v>
      </c>
      <c r="AN202" t="n">
        <v>0</v>
      </c>
      <c r="AO202" t="n">
        <v>0</v>
      </c>
      <c r="AP202" t="inlineStr">
        <is>
          <t>No</t>
        </is>
      </c>
      <c r="AQ202" t="inlineStr">
        <is>
          <t>Yes</t>
        </is>
      </c>
      <c r="AR202">
        <f>HYPERLINK("http://catalog.hathitrust.org/Record/000420112","HathiTrust Record")</f>
        <v/>
      </c>
      <c r="AS202">
        <f>HYPERLINK("https://creighton-primo.hosted.exlibrisgroup.com/primo-explore/search?tab=default_tab&amp;search_scope=EVERYTHING&amp;vid=01CRU&amp;lang=en_US&amp;offset=0&amp;query=any,contains,991000261269702656","Catalog Record")</f>
        <v/>
      </c>
      <c r="AT202">
        <f>HYPERLINK("http://www.worldcat.org/oclc/9819616","WorldCat Record")</f>
        <v/>
      </c>
      <c r="AU202" t="inlineStr">
        <is>
          <t>3859885988:eng</t>
        </is>
      </c>
      <c r="AV202" t="inlineStr">
        <is>
          <t>9819616</t>
        </is>
      </c>
      <c r="AW202" t="inlineStr">
        <is>
          <t>991000261269702656</t>
        </is>
      </c>
      <c r="AX202" t="inlineStr">
        <is>
          <t>991000261269702656</t>
        </is>
      </c>
      <c r="AY202" t="inlineStr">
        <is>
          <t>2266394980002656</t>
        </is>
      </c>
      <c r="AZ202" t="inlineStr">
        <is>
          <t>BOOK</t>
        </is>
      </c>
      <c r="BB202" t="inlineStr">
        <is>
          <t>9780943670003</t>
        </is>
      </c>
      <c r="BC202" t="inlineStr">
        <is>
          <t>32285000693647</t>
        </is>
      </c>
      <c r="BD202" t="inlineStr">
        <is>
          <t>893314805</t>
        </is>
      </c>
    </row>
    <row r="203">
      <c r="A203" t="inlineStr">
        <is>
          <t>No</t>
        </is>
      </c>
      <c r="B203" t="inlineStr">
        <is>
          <t>BT123.2 .M32 1991</t>
        </is>
      </c>
      <c r="C203" t="inlineStr">
        <is>
          <t>0                      BT 0123200M  32          1991</t>
        </is>
      </c>
      <c r="D203" t="inlineStr">
        <is>
          <t>Fanning the flame ; what does Baptism in the Holy Spirit have to do with Christian initiation? / Kilian McDonnell, George T. Montague, editors.</t>
        </is>
      </c>
      <c r="F203" t="inlineStr">
        <is>
          <t>No</t>
        </is>
      </c>
      <c r="G203" t="inlineStr">
        <is>
          <t>1</t>
        </is>
      </c>
      <c r="H203" t="inlineStr">
        <is>
          <t>No</t>
        </is>
      </c>
      <c r="I203" t="inlineStr">
        <is>
          <t>No</t>
        </is>
      </c>
      <c r="J203" t="inlineStr">
        <is>
          <t>0</t>
        </is>
      </c>
      <c r="K203" t="inlineStr">
        <is>
          <t>McDonnell, Kilian.</t>
        </is>
      </c>
      <c r="L203" t="inlineStr">
        <is>
          <t>Collegeville, MN : Liturgical Press, c1991.</t>
        </is>
      </c>
      <c r="M203" t="inlineStr">
        <is>
          <t>1991</t>
        </is>
      </c>
      <c r="O203" t="inlineStr">
        <is>
          <t>eng</t>
        </is>
      </c>
      <c r="P203" t="inlineStr">
        <is>
          <t>mnu</t>
        </is>
      </c>
      <c r="Q203" t="inlineStr">
        <is>
          <t>Heart of the Church Consultation</t>
        </is>
      </c>
      <c r="R203" t="inlineStr">
        <is>
          <t xml:space="preserve">BT </t>
        </is>
      </c>
      <c r="S203" t="n">
        <v>4</v>
      </c>
      <c r="T203" t="n">
        <v>4</v>
      </c>
      <c r="U203" t="inlineStr">
        <is>
          <t>2005-08-17</t>
        </is>
      </c>
      <c r="V203" t="inlineStr">
        <is>
          <t>2005-08-17</t>
        </is>
      </c>
      <c r="W203" t="inlineStr">
        <is>
          <t>2002-08-13</t>
        </is>
      </c>
      <c r="X203" t="inlineStr">
        <is>
          <t>2002-08-13</t>
        </is>
      </c>
      <c r="Y203" t="n">
        <v>97</v>
      </c>
      <c r="Z203" t="n">
        <v>84</v>
      </c>
      <c r="AA203" t="n">
        <v>107</v>
      </c>
      <c r="AB203" t="n">
        <v>1</v>
      </c>
      <c r="AC203" t="n">
        <v>2</v>
      </c>
      <c r="AD203" t="n">
        <v>11</v>
      </c>
      <c r="AE203" t="n">
        <v>13</v>
      </c>
      <c r="AF203" t="n">
        <v>3</v>
      </c>
      <c r="AG203" t="n">
        <v>4</v>
      </c>
      <c r="AH203" t="n">
        <v>2</v>
      </c>
      <c r="AI203" t="n">
        <v>3</v>
      </c>
      <c r="AJ203" t="n">
        <v>8</v>
      </c>
      <c r="AK203" t="n">
        <v>8</v>
      </c>
      <c r="AL203" t="n">
        <v>0</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HYPERLINK("https://creighton-primo.hosted.exlibrisgroup.com/primo-explore/search?tab=default_tab&amp;search_scope=EVERYTHING&amp;vid=01CRU&amp;lang=en_US&amp;offset=0&amp;query=any,contains,991003859069702656","Catalog Record")</f>
        <v/>
      </c>
      <c r="AT203">
        <f>HYPERLINK("http://www.worldcat.org/oclc/24867121","WorldCat Record")</f>
        <v/>
      </c>
      <c r="AU203" t="inlineStr">
        <is>
          <t>49498736:eng</t>
        </is>
      </c>
      <c r="AV203" t="inlineStr">
        <is>
          <t>24867121</t>
        </is>
      </c>
      <c r="AW203" t="inlineStr">
        <is>
          <t>991003859069702656</t>
        </is>
      </c>
      <c r="AX203" t="inlineStr">
        <is>
          <t>991003859069702656</t>
        </is>
      </c>
      <c r="AY203" t="inlineStr">
        <is>
          <t>2267338160002656</t>
        </is>
      </c>
      <c r="AZ203" t="inlineStr">
        <is>
          <t>BOOK</t>
        </is>
      </c>
      <c r="BB203" t="inlineStr">
        <is>
          <t>9780814650134</t>
        </is>
      </c>
      <c r="BC203" t="inlineStr">
        <is>
          <t>32285004643168</t>
        </is>
      </c>
      <c r="BD203" t="inlineStr">
        <is>
          <t>893900458</t>
        </is>
      </c>
    </row>
    <row r="204">
      <c r="A204" t="inlineStr">
        <is>
          <t>No</t>
        </is>
      </c>
      <c r="B204" t="inlineStr">
        <is>
          <t>BT124 .D83</t>
        </is>
      </c>
      <c r="C204" t="inlineStr">
        <is>
          <t>0                      BT 0124000D  83</t>
        </is>
      </c>
      <c r="D204" t="inlineStr">
        <is>
          <t>God dwells within us / Thomas Dubay.</t>
        </is>
      </c>
      <c r="F204" t="inlineStr">
        <is>
          <t>No</t>
        </is>
      </c>
      <c r="G204" t="inlineStr">
        <is>
          <t>1</t>
        </is>
      </c>
      <c r="H204" t="inlineStr">
        <is>
          <t>No</t>
        </is>
      </c>
      <c r="I204" t="inlineStr">
        <is>
          <t>No</t>
        </is>
      </c>
      <c r="J204" t="inlineStr">
        <is>
          <t>0</t>
        </is>
      </c>
      <c r="K204" t="inlineStr">
        <is>
          <t>Dubay, Thomas.</t>
        </is>
      </c>
      <c r="L204" t="inlineStr">
        <is>
          <t>Denville, N.J., Dimension Books [1971]</t>
        </is>
      </c>
      <c r="M204" t="inlineStr">
        <is>
          <t>1971</t>
        </is>
      </c>
      <c r="O204" t="inlineStr">
        <is>
          <t>eng</t>
        </is>
      </c>
      <c r="P204" t="inlineStr">
        <is>
          <t>___</t>
        </is>
      </c>
      <c r="R204" t="inlineStr">
        <is>
          <t xml:space="preserve">BT </t>
        </is>
      </c>
      <c r="S204" t="n">
        <v>4</v>
      </c>
      <c r="T204" t="n">
        <v>4</v>
      </c>
      <c r="U204" t="inlineStr">
        <is>
          <t>2004-01-27</t>
        </is>
      </c>
      <c r="V204" t="inlineStr">
        <is>
          <t>2004-01-27</t>
        </is>
      </c>
      <c r="W204" t="inlineStr">
        <is>
          <t>1991-08-01</t>
        </is>
      </c>
      <c r="X204" t="inlineStr">
        <is>
          <t>1991-08-01</t>
        </is>
      </c>
      <c r="Y204" t="n">
        <v>120</v>
      </c>
      <c r="Z204" t="n">
        <v>97</v>
      </c>
      <c r="AA204" t="n">
        <v>97</v>
      </c>
      <c r="AB204" t="n">
        <v>3</v>
      </c>
      <c r="AC204" t="n">
        <v>3</v>
      </c>
      <c r="AD204" t="n">
        <v>10</v>
      </c>
      <c r="AE204" t="n">
        <v>10</v>
      </c>
      <c r="AF204" t="n">
        <v>1</v>
      </c>
      <c r="AG204" t="n">
        <v>1</v>
      </c>
      <c r="AH204" t="n">
        <v>3</v>
      </c>
      <c r="AI204" t="n">
        <v>3</v>
      </c>
      <c r="AJ204" t="n">
        <v>7</v>
      </c>
      <c r="AK204" t="n">
        <v>7</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HYPERLINK("https://creighton-primo.hosted.exlibrisgroup.com/primo-explore/search?tab=default_tab&amp;search_scope=EVERYTHING&amp;vid=01CRU&amp;lang=en_US&amp;offset=0&amp;query=any,contains,991002068229702656","Catalog Record")</f>
        <v/>
      </c>
      <c r="AT204">
        <f>HYPERLINK("http://www.worldcat.org/oclc/263277","WorldCat Record")</f>
        <v/>
      </c>
      <c r="AU204" t="inlineStr">
        <is>
          <t>5218297879:eng</t>
        </is>
      </c>
      <c r="AV204" t="inlineStr">
        <is>
          <t>263277</t>
        </is>
      </c>
      <c r="AW204" t="inlineStr">
        <is>
          <t>991002068229702656</t>
        </is>
      </c>
      <c r="AX204" t="inlineStr">
        <is>
          <t>991002068229702656</t>
        </is>
      </c>
      <c r="AY204" t="inlineStr">
        <is>
          <t>2268647430002656</t>
        </is>
      </c>
      <c r="AZ204" t="inlineStr">
        <is>
          <t>BOOK</t>
        </is>
      </c>
      <c r="BC204" t="inlineStr">
        <is>
          <t>32285000693662</t>
        </is>
      </c>
      <c r="BD204" t="inlineStr">
        <is>
          <t>893609426</t>
        </is>
      </c>
    </row>
    <row r="205">
      <c r="A205" t="inlineStr">
        <is>
          <t>No</t>
        </is>
      </c>
      <c r="B205" t="inlineStr">
        <is>
          <t>BT126.5 .D84</t>
        </is>
      </c>
      <c r="C205" t="inlineStr">
        <is>
          <t>0                      BT 0126500D  84</t>
        </is>
      </c>
      <c r="D205" t="inlineStr">
        <is>
          <t>Revelation theology : a history / [by] Avery Dulles.</t>
        </is>
      </c>
      <c r="F205" t="inlineStr">
        <is>
          <t>No</t>
        </is>
      </c>
      <c r="G205" t="inlineStr">
        <is>
          <t>1</t>
        </is>
      </c>
      <c r="H205" t="inlineStr">
        <is>
          <t>No</t>
        </is>
      </c>
      <c r="I205" t="inlineStr">
        <is>
          <t>No</t>
        </is>
      </c>
      <c r="J205" t="inlineStr">
        <is>
          <t>0</t>
        </is>
      </c>
      <c r="K205" t="inlineStr">
        <is>
          <t>Dulles, Avery, 1918-2008.</t>
        </is>
      </c>
      <c r="L205" t="inlineStr">
        <is>
          <t>[New York] Herder and Herder [1969]</t>
        </is>
      </c>
      <c r="M205" t="inlineStr">
        <is>
          <t>1969</t>
        </is>
      </c>
      <c r="O205" t="inlineStr">
        <is>
          <t>eng</t>
        </is>
      </c>
      <c r="P205" t="inlineStr">
        <is>
          <t>nyu</t>
        </is>
      </c>
      <c r="R205" t="inlineStr">
        <is>
          <t xml:space="preserve">BT </t>
        </is>
      </c>
      <c r="S205" t="n">
        <v>6</v>
      </c>
      <c r="T205" t="n">
        <v>6</v>
      </c>
      <c r="U205" t="inlineStr">
        <is>
          <t>1996-09-25</t>
        </is>
      </c>
      <c r="V205" t="inlineStr">
        <is>
          <t>1996-09-25</t>
        </is>
      </c>
      <c r="W205" t="inlineStr">
        <is>
          <t>1991-08-01</t>
        </is>
      </c>
      <c r="X205" t="inlineStr">
        <is>
          <t>1991-08-01</t>
        </is>
      </c>
      <c r="Y205" t="n">
        <v>395</v>
      </c>
      <c r="Z205" t="n">
        <v>339</v>
      </c>
      <c r="AA205" t="n">
        <v>391</v>
      </c>
      <c r="AB205" t="n">
        <v>3</v>
      </c>
      <c r="AC205" t="n">
        <v>3</v>
      </c>
      <c r="AD205" t="n">
        <v>33</v>
      </c>
      <c r="AE205" t="n">
        <v>34</v>
      </c>
      <c r="AF205" t="n">
        <v>12</v>
      </c>
      <c r="AG205" t="n">
        <v>12</v>
      </c>
      <c r="AH205" t="n">
        <v>8</v>
      </c>
      <c r="AI205" t="n">
        <v>9</v>
      </c>
      <c r="AJ205" t="n">
        <v>22</v>
      </c>
      <c r="AK205" t="n">
        <v>23</v>
      </c>
      <c r="AL205" t="n">
        <v>1</v>
      </c>
      <c r="AM205" t="n">
        <v>1</v>
      </c>
      <c r="AN205" t="n">
        <v>0</v>
      </c>
      <c r="AO205" t="n">
        <v>0</v>
      </c>
      <c r="AP205" t="inlineStr">
        <is>
          <t>No</t>
        </is>
      </c>
      <c r="AQ205" t="inlineStr">
        <is>
          <t>Yes</t>
        </is>
      </c>
      <c r="AR205">
        <f>HYPERLINK("http://catalog.hathitrust.org/Record/001939386","HathiTrust Record")</f>
        <v/>
      </c>
      <c r="AS205">
        <f>HYPERLINK("https://creighton-primo.hosted.exlibrisgroup.com/primo-explore/search?tab=default_tab&amp;search_scope=EVERYTHING&amp;vid=01CRU&amp;lang=en_US&amp;offset=0&amp;query=any,contains,991000681219702656","Catalog Record")</f>
        <v/>
      </c>
      <c r="AT205">
        <f>HYPERLINK("http://www.worldcat.org/oclc/122005","WorldCat Record")</f>
        <v/>
      </c>
      <c r="AU205" t="inlineStr">
        <is>
          <t>197388219:eng</t>
        </is>
      </c>
      <c r="AV205" t="inlineStr">
        <is>
          <t>122005</t>
        </is>
      </c>
      <c r="AW205" t="inlineStr">
        <is>
          <t>991000681219702656</t>
        </is>
      </c>
      <c r="AX205" t="inlineStr">
        <is>
          <t>991000681219702656</t>
        </is>
      </c>
      <c r="AY205" t="inlineStr">
        <is>
          <t>2263031900002656</t>
        </is>
      </c>
      <c r="AZ205" t="inlineStr">
        <is>
          <t>BOOK</t>
        </is>
      </c>
      <c r="BC205" t="inlineStr">
        <is>
          <t>32285000693688</t>
        </is>
      </c>
      <c r="BD205" t="inlineStr">
        <is>
          <t>893413586</t>
        </is>
      </c>
    </row>
    <row r="206">
      <c r="A206" t="inlineStr">
        <is>
          <t>No</t>
        </is>
      </c>
      <c r="B206" t="inlineStr">
        <is>
          <t>BT126.5 .O76 2000</t>
        </is>
      </c>
      <c r="C206" t="inlineStr">
        <is>
          <t>0                      BT 0126500O  76          2000</t>
        </is>
      </c>
      <c r="D206" t="inlineStr">
        <is>
          <t>Method, meaning, and revelation : the meaning and function of revelation in Bernard Lonergan's Method in theology / Neil Ormerod.</t>
        </is>
      </c>
      <c r="F206" t="inlineStr">
        <is>
          <t>No</t>
        </is>
      </c>
      <c r="G206" t="inlineStr">
        <is>
          <t>1</t>
        </is>
      </c>
      <c r="H206" t="inlineStr">
        <is>
          <t>No</t>
        </is>
      </c>
      <c r="I206" t="inlineStr">
        <is>
          <t>No</t>
        </is>
      </c>
      <c r="J206" t="inlineStr">
        <is>
          <t>0</t>
        </is>
      </c>
      <c r="K206" t="inlineStr">
        <is>
          <t>Ormerod, Neil.</t>
        </is>
      </c>
      <c r="L206" t="inlineStr">
        <is>
          <t>Lanham, Md. : University Press of America, c2000.</t>
        </is>
      </c>
      <c r="M206" t="inlineStr">
        <is>
          <t>2000</t>
        </is>
      </c>
      <c r="O206" t="inlineStr">
        <is>
          <t>eng</t>
        </is>
      </c>
      <c r="P206" t="inlineStr">
        <is>
          <t>mdu</t>
        </is>
      </c>
      <c r="R206" t="inlineStr">
        <is>
          <t xml:space="preserve">BT </t>
        </is>
      </c>
      <c r="S206" t="n">
        <v>1</v>
      </c>
      <c r="T206" t="n">
        <v>1</v>
      </c>
      <c r="U206" t="inlineStr">
        <is>
          <t>2001-01-09</t>
        </is>
      </c>
      <c r="V206" t="inlineStr">
        <is>
          <t>2001-01-09</t>
        </is>
      </c>
      <c r="W206" t="inlineStr">
        <is>
          <t>2001-01-09</t>
        </is>
      </c>
      <c r="X206" t="inlineStr">
        <is>
          <t>2001-01-09</t>
        </is>
      </c>
      <c r="Y206" t="n">
        <v>116</v>
      </c>
      <c r="Z206" t="n">
        <v>86</v>
      </c>
      <c r="AA206" t="n">
        <v>91</v>
      </c>
      <c r="AB206" t="n">
        <v>2</v>
      </c>
      <c r="AC206" t="n">
        <v>2</v>
      </c>
      <c r="AD206" t="n">
        <v>13</v>
      </c>
      <c r="AE206" t="n">
        <v>13</v>
      </c>
      <c r="AF206" t="n">
        <v>3</v>
      </c>
      <c r="AG206" t="n">
        <v>3</v>
      </c>
      <c r="AH206" t="n">
        <v>4</v>
      </c>
      <c r="AI206" t="n">
        <v>4</v>
      </c>
      <c r="AJ206" t="n">
        <v>8</v>
      </c>
      <c r="AK206" t="n">
        <v>8</v>
      </c>
      <c r="AL206" t="n">
        <v>1</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HYPERLINK("https://creighton-primo.hosted.exlibrisgroup.com/primo-explore/search?tab=default_tab&amp;search_scope=EVERYTHING&amp;vid=01CRU&amp;lang=en_US&amp;offset=0&amp;query=any,contains,991003362629702656","Catalog Record")</f>
        <v/>
      </c>
      <c r="AT206">
        <f>HYPERLINK("http://www.worldcat.org/oclc/44131757","WorldCat Record")</f>
        <v/>
      </c>
      <c r="AU206" t="inlineStr">
        <is>
          <t>477857742:eng</t>
        </is>
      </c>
      <c r="AV206" t="inlineStr">
        <is>
          <t>44131757</t>
        </is>
      </c>
      <c r="AW206" t="inlineStr">
        <is>
          <t>991003362629702656</t>
        </is>
      </c>
      <c r="AX206" t="inlineStr">
        <is>
          <t>991003362629702656</t>
        </is>
      </c>
      <c r="AY206" t="inlineStr">
        <is>
          <t>2270712880002656</t>
        </is>
      </c>
      <c r="AZ206" t="inlineStr">
        <is>
          <t>BOOK</t>
        </is>
      </c>
      <c r="BB206" t="inlineStr">
        <is>
          <t>9780761817529</t>
        </is>
      </c>
      <c r="BC206" t="inlineStr">
        <is>
          <t>32285004281225</t>
        </is>
      </c>
      <c r="BD206" t="inlineStr">
        <is>
          <t>893524743</t>
        </is>
      </c>
    </row>
    <row r="207">
      <c r="A207" t="inlineStr">
        <is>
          <t>No</t>
        </is>
      </c>
      <c r="B207" t="inlineStr">
        <is>
          <t>BT126.5 .P313 1968</t>
        </is>
      </c>
      <c r="C207" t="inlineStr">
        <is>
          <t>0                      BT 0126500P  313         1968</t>
        </is>
      </c>
      <c r="D207" t="inlineStr">
        <is>
          <t>Revelation as history / edited by Wolfhart Pannenberg, in association with Rolf Rendtorff, Trutz Rendtorff, &amp; Ulrich Wilkens. Translated from the German by David Granskou.</t>
        </is>
      </c>
      <c r="F207" t="inlineStr">
        <is>
          <t>No</t>
        </is>
      </c>
      <c r="G207" t="inlineStr">
        <is>
          <t>1</t>
        </is>
      </c>
      <c r="H207" t="inlineStr">
        <is>
          <t>No</t>
        </is>
      </c>
      <c r="I207" t="inlineStr">
        <is>
          <t>No</t>
        </is>
      </c>
      <c r="J207" t="inlineStr">
        <is>
          <t>0</t>
        </is>
      </c>
      <c r="K207" t="inlineStr">
        <is>
          <t>Pannenberg, Wolfhart, 1928-2014.</t>
        </is>
      </c>
      <c r="L207" t="inlineStr">
        <is>
          <t>New York, Macmillan [1968]</t>
        </is>
      </c>
      <c r="M207" t="inlineStr">
        <is>
          <t>1968</t>
        </is>
      </c>
      <c r="O207" t="inlineStr">
        <is>
          <t>eng</t>
        </is>
      </c>
      <c r="P207" t="inlineStr">
        <is>
          <t>nyu</t>
        </is>
      </c>
      <c r="R207" t="inlineStr">
        <is>
          <t xml:space="preserve">BT </t>
        </is>
      </c>
      <c r="S207" t="n">
        <v>3</v>
      </c>
      <c r="T207" t="n">
        <v>3</v>
      </c>
      <c r="U207" t="inlineStr">
        <is>
          <t>1995-11-06</t>
        </is>
      </c>
      <c r="V207" t="inlineStr">
        <is>
          <t>1995-11-06</t>
        </is>
      </c>
      <c r="W207" t="inlineStr">
        <is>
          <t>1991-08-02</t>
        </is>
      </c>
      <c r="X207" t="inlineStr">
        <is>
          <t>1991-08-02</t>
        </is>
      </c>
      <c r="Y207" t="n">
        <v>718</v>
      </c>
      <c r="Z207" t="n">
        <v>627</v>
      </c>
      <c r="AA207" t="n">
        <v>679</v>
      </c>
      <c r="AB207" t="n">
        <v>7</v>
      </c>
      <c r="AC207" t="n">
        <v>7</v>
      </c>
      <c r="AD207" t="n">
        <v>46</v>
      </c>
      <c r="AE207" t="n">
        <v>46</v>
      </c>
      <c r="AF207" t="n">
        <v>18</v>
      </c>
      <c r="AG207" t="n">
        <v>18</v>
      </c>
      <c r="AH207" t="n">
        <v>10</v>
      </c>
      <c r="AI207" t="n">
        <v>10</v>
      </c>
      <c r="AJ207" t="n">
        <v>24</v>
      </c>
      <c r="AK207" t="n">
        <v>24</v>
      </c>
      <c r="AL207" t="n">
        <v>5</v>
      </c>
      <c r="AM207" t="n">
        <v>5</v>
      </c>
      <c r="AN207" t="n">
        <v>0</v>
      </c>
      <c r="AO207" t="n">
        <v>0</v>
      </c>
      <c r="AP207" t="inlineStr">
        <is>
          <t>No</t>
        </is>
      </c>
      <c r="AQ207" t="inlineStr">
        <is>
          <t>Yes</t>
        </is>
      </c>
      <c r="AR207">
        <f>HYPERLINK("http://catalog.hathitrust.org/Record/001411979","HathiTrust Record")</f>
        <v/>
      </c>
      <c r="AS207">
        <f>HYPERLINK("https://creighton-primo.hosted.exlibrisgroup.com/primo-explore/search?tab=default_tab&amp;search_scope=EVERYTHING&amp;vid=01CRU&amp;lang=en_US&amp;offset=0&amp;query=any,contains,991002284589702656","Catalog Record")</f>
        <v/>
      </c>
      <c r="AT207">
        <f>HYPERLINK("http://www.worldcat.org/oclc/311226","WorldCat Record")</f>
        <v/>
      </c>
      <c r="AU207" t="inlineStr">
        <is>
          <t>2863503484:eng</t>
        </is>
      </c>
      <c r="AV207" t="inlineStr">
        <is>
          <t>311226</t>
        </is>
      </c>
      <c r="AW207" t="inlineStr">
        <is>
          <t>991002284589702656</t>
        </is>
      </c>
      <c r="AX207" t="inlineStr">
        <is>
          <t>991002284589702656</t>
        </is>
      </c>
      <c r="AY207" t="inlineStr">
        <is>
          <t>2272494170002656</t>
        </is>
      </c>
      <c r="AZ207" t="inlineStr">
        <is>
          <t>BOOK</t>
        </is>
      </c>
      <c r="BC207" t="inlineStr">
        <is>
          <t>32285000693704</t>
        </is>
      </c>
      <c r="BD207" t="inlineStr">
        <is>
          <t>893622105</t>
        </is>
      </c>
    </row>
    <row r="208">
      <c r="A208" t="inlineStr">
        <is>
          <t>No</t>
        </is>
      </c>
      <c r="B208" t="inlineStr">
        <is>
          <t>BT127 .B435</t>
        </is>
      </c>
      <c r="C208" t="inlineStr">
        <is>
          <t>0                      BT 0127000B  435</t>
        </is>
      </c>
      <c r="D208" t="inlineStr">
        <is>
          <t>General revelation / G. C. Berkouwer.</t>
        </is>
      </c>
      <c r="F208" t="inlineStr">
        <is>
          <t>No</t>
        </is>
      </c>
      <c r="G208" t="inlineStr">
        <is>
          <t>1</t>
        </is>
      </c>
      <c r="H208" t="inlineStr">
        <is>
          <t>No</t>
        </is>
      </c>
      <c r="I208" t="inlineStr">
        <is>
          <t>No</t>
        </is>
      </c>
      <c r="J208" t="inlineStr">
        <is>
          <t>0</t>
        </is>
      </c>
      <c r="K208" t="inlineStr">
        <is>
          <t>Berkouwer, G. C. (Gerrit Cornelis), 1903-1996.</t>
        </is>
      </c>
      <c r="L208" t="inlineStr">
        <is>
          <t>Grand Rapids : W.B. Eerdmans Pub. Co., c1955, 1979 printing.</t>
        </is>
      </c>
      <c r="M208" t="inlineStr">
        <is>
          <t>1955</t>
        </is>
      </c>
      <c r="O208" t="inlineStr">
        <is>
          <t>eng</t>
        </is>
      </c>
      <c r="P208" t="inlineStr">
        <is>
          <t>___</t>
        </is>
      </c>
      <c r="Q208" t="inlineStr">
        <is>
          <t>His Studies in dogmatics</t>
        </is>
      </c>
      <c r="R208" t="inlineStr">
        <is>
          <t xml:space="preserve">BT </t>
        </is>
      </c>
      <c r="S208" t="n">
        <v>3</v>
      </c>
      <c r="T208" t="n">
        <v>3</v>
      </c>
      <c r="U208" t="inlineStr">
        <is>
          <t>2000-03-07</t>
        </is>
      </c>
      <c r="V208" t="inlineStr">
        <is>
          <t>2000-03-07</t>
        </is>
      </c>
      <c r="W208" t="inlineStr">
        <is>
          <t>1991-08-02</t>
        </is>
      </c>
      <c r="X208" t="inlineStr">
        <is>
          <t>1991-08-02</t>
        </is>
      </c>
      <c r="Y208" t="n">
        <v>426</v>
      </c>
      <c r="Z208" t="n">
        <v>340</v>
      </c>
      <c r="AA208" t="n">
        <v>351</v>
      </c>
      <c r="AB208" t="n">
        <v>3</v>
      </c>
      <c r="AC208" t="n">
        <v>3</v>
      </c>
      <c r="AD208" t="n">
        <v>15</v>
      </c>
      <c r="AE208" t="n">
        <v>15</v>
      </c>
      <c r="AF208" t="n">
        <v>7</v>
      </c>
      <c r="AG208" t="n">
        <v>7</v>
      </c>
      <c r="AH208" t="n">
        <v>4</v>
      </c>
      <c r="AI208" t="n">
        <v>4</v>
      </c>
      <c r="AJ208" t="n">
        <v>6</v>
      </c>
      <c r="AK208" t="n">
        <v>6</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HYPERLINK("https://creighton-primo.hosted.exlibrisgroup.com/primo-explore/search?tab=default_tab&amp;search_scope=EVERYTHING&amp;vid=01CRU&amp;lang=en_US&amp;offset=0&amp;query=any,contains,991002648269702656","Catalog Record")</f>
        <v/>
      </c>
      <c r="AT208">
        <f>HYPERLINK("http://www.worldcat.org/oclc/386384","WorldCat Record")</f>
        <v/>
      </c>
      <c r="AU208" t="inlineStr">
        <is>
          <t>1511302:eng</t>
        </is>
      </c>
      <c r="AV208" t="inlineStr">
        <is>
          <t>386384</t>
        </is>
      </c>
      <c r="AW208" t="inlineStr">
        <is>
          <t>991002648269702656</t>
        </is>
      </c>
      <c r="AX208" t="inlineStr">
        <is>
          <t>991002648269702656</t>
        </is>
      </c>
      <c r="AY208" t="inlineStr">
        <is>
          <t>2259420840002656</t>
        </is>
      </c>
      <c r="AZ208" t="inlineStr">
        <is>
          <t>BOOK</t>
        </is>
      </c>
      <c r="BC208" t="inlineStr">
        <is>
          <t>32285000693753</t>
        </is>
      </c>
      <c r="BD208" t="inlineStr">
        <is>
          <t>893262395</t>
        </is>
      </c>
    </row>
    <row r="209">
      <c r="A209" t="inlineStr">
        <is>
          <t>No</t>
        </is>
      </c>
      <c r="B209" t="inlineStr">
        <is>
          <t>BT127 .B76</t>
        </is>
      </c>
      <c r="C209" t="inlineStr">
        <is>
          <t>0                      BT 0127000B  76</t>
        </is>
      </c>
      <c r="D209" t="inlineStr">
        <is>
          <t>The fact divine : an historical study of the Christian revelation and of the Catholic Church / by Joseph Broeckaert; translated from the French by Edmund J. A. Young.</t>
        </is>
      </c>
      <c r="F209" t="inlineStr">
        <is>
          <t>No</t>
        </is>
      </c>
      <c r="G209" t="inlineStr">
        <is>
          <t>1</t>
        </is>
      </c>
      <c r="H209" t="inlineStr">
        <is>
          <t>No</t>
        </is>
      </c>
      <c r="I209" t="inlineStr">
        <is>
          <t>No</t>
        </is>
      </c>
      <c r="J209" t="inlineStr">
        <is>
          <t>0</t>
        </is>
      </c>
      <c r="K209" t="inlineStr">
        <is>
          <t>Broeckaert, Joseph, 1807-1880.</t>
        </is>
      </c>
      <c r="L209" t="inlineStr">
        <is>
          <t>Portland [Me.] : McGowan &amp; Young, 1885.</t>
        </is>
      </c>
      <c r="M209" t="inlineStr">
        <is>
          <t>1885</t>
        </is>
      </c>
      <c r="O209" t="inlineStr">
        <is>
          <t>eng</t>
        </is>
      </c>
      <c r="P209" t="inlineStr">
        <is>
          <t>meu</t>
        </is>
      </c>
      <c r="R209" t="inlineStr">
        <is>
          <t xml:space="preserve">BT </t>
        </is>
      </c>
      <c r="S209" t="n">
        <v>4</v>
      </c>
      <c r="T209" t="n">
        <v>4</v>
      </c>
      <c r="U209" t="inlineStr">
        <is>
          <t>1997-03-22</t>
        </is>
      </c>
      <c r="V209" t="inlineStr">
        <is>
          <t>1997-03-22</t>
        </is>
      </c>
      <c r="W209" t="inlineStr">
        <is>
          <t>1991-08-02</t>
        </is>
      </c>
      <c r="X209" t="inlineStr">
        <is>
          <t>1991-08-02</t>
        </is>
      </c>
      <c r="Y209" t="n">
        <v>23</v>
      </c>
      <c r="Z209" t="n">
        <v>20</v>
      </c>
      <c r="AA209" t="n">
        <v>85</v>
      </c>
      <c r="AB209" t="n">
        <v>1</v>
      </c>
      <c r="AC209" t="n">
        <v>2</v>
      </c>
      <c r="AD209" t="n">
        <v>7</v>
      </c>
      <c r="AE209" t="n">
        <v>11</v>
      </c>
      <c r="AF209" t="n">
        <v>1</v>
      </c>
      <c r="AG209" t="n">
        <v>2</v>
      </c>
      <c r="AH209" t="n">
        <v>0</v>
      </c>
      <c r="AI209" t="n">
        <v>2</v>
      </c>
      <c r="AJ209" t="n">
        <v>7</v>
      </c>
      <c r="AK209" t="n">
        <v>7</v>
      </c>
      <c r="AL209" t="n">
        <v>0</v>
      </c>
      <c r="AM209" t="n">
        <v>1</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HYPERLINK("https://creighton-primo.hosted.exlibrisgroup.com/primo-explore/search?tab=default_tab&amp;search_scope=EVERYTHING&amp;vid=01CRU&amp;lang=en_US&amp;offset=0&amp;query=any,contains,991000368149702656","Catalog Record")</f>
        <v/>
      </c>
      <c r="AT209">
        <f>HYPERLINK("http://www.worldcat.org/oclc/10405690","WorldCat Record")</f>
        <v/>
      </c>
      <c r="AU209" t="inlineStr">
        <is>
          <t>2934562:eng</t>
        </is>
      </c>
      <c r="AV209" t="inlineStr">
        <is>
          <t>10405690</t>
        </is>
      </c>
      <c r="AW209" t="inlineStr">
        <is>
          <t>991000368149702656</t>
        </is>
      </c>
      <c r="AX209" t="inlineStr">
        <is>
          <t>991000368149702656</t>
        </is>
      </c>
      <c r="AY209" t="inlineStr">
        <is>
          <t>2272494710002656</t>
        </is>
      </c>
      <c r="AZ209" t="inlineStr">
        <is>
          <t>BOOK</t>
        </is>
      </c>
      <c r="BC209" t="inlineStr">
        <is>
          <t>32285000693761</t>
        </is>
      </c>
      <c r="BD209" t="inlineStr">
        <is>
          <t>893771563</t>
        </is>
      </c>
    </row>
    <row r="210">
      <c r="A210" t="inlineStr">
        <is>
          <t>No</t>
        </is>
      </c>
      <c r="B210" t="inlineStr">
        <is>
          <t>BT127 .B842</t>
        </is>
      </c>
      <c r="C210" t="inlineStr">
        <is>
          <t>0                      BT 0127000B  842</t>
        </is>
      </c>
      <c r="D210" t="inlineStr">
        <is>
          <t>Revelation and reason : the Christian doctrine of faith and knowledge / by Emil Brunner, translated by Olive Wyon.</t>
        </is>
      </c>
      <c r="F210" t="inlineStr">
        <is>
          <t>No</t>
        </is>
      </c>
      <c r="G210" t="inlineStr">
        <is>
          <t>1</t>
        </is>
      </c>
      <c r="H210" t="inlineStr">
        <is>
          <t>No</t>
        </is>
      </c>
      <c r="I210" t="inlineStr">
        <is>
          <t>No</t>
        </is>
      </c>
      <c r="J210" t="inlineStr">
        <is>
          <t>0</t>
        </is>
      </c>
      <c r="K210" t="inlineStr">
        <is>
          <t>Brunner, Emil, 1889-1966.</t>
        </is>
      </c>
      <c r="L210" t="inlineStr">
        <is>
          <t>Philadelphia, The Westminster Press [1946]</t>
        </is>
      </c>
      <c r="M210" t="inlineStr">
        <is>
          <t>1946</t>
        </is>
      </c>
      <c r="O210" t="inlineStr">
        <is>
          <t>eng</t>
        </is>
      </c>
      <c r="P210" t="inlineStr">
        <is>
          <t>pau</t>
        </is>
      </c>
      <c r="R210" t="inlineStr">
        <is>
          <t xml:space="preserve">BT </t>
        </is>
      </c>
      <c r="S210" t="n">
        <v>6</v>
      </c>
      <c r="T210" t="n">
        <v>6</v>
      </c>
      <c r="U210" t="inlineStr">
        <is>
          <t>1995-10-19</t>
        </is>
      </c>
      <c r="V210" t="inlineStr">
        <is>
          <t>1995-10-19</t>
        </is>
      </c>
      <c r="W210" t="inlineStr">
        <is>
          <t>1991-08-02</t>
        </is>
      </c>
      <c r="X210" t="inlineStr">
        <is>
          <t>1991-08-02</t>
        </is>
      </c>
      <c r="Y210" t="n">
        <v>838</v>
      </c>
      <c r="Z210" t="n">
        <v>770</v>
      </c>
      <c r="AA210" t="n">
        <v>800</v>
      </c>
      <c r="AB210" t="n">
        <v>7</v>
      </c>
      <c r="AC210" t="n">
        <v>7</v>
      </c>
      <c r="AD210" t="n">
        <v>39</v>
      </c>
      <c r="AE210" t="n">
        <v>40</v>
      </c>
      <c r="AF210" t="n">
        <v>15</v>
      </c>
      <c r="AG210" t="n">
        <v>16</v>
      </c>
      <c r="AH210" t="n">
        <v>8</v>
      </c>
      <c r="AI210" t="n">
        <v>8</v>
      </c>
      <c r="AJ210" t="n">
        <v>20</v>
      </c>
      <c r="AK210" t="n">
        <v>21</v>
      </c>
      <c r="AL210" t="n">
        <v>5</v>
      </c>
      <c r="AM210" t="n">
        <v>5</v>
      </c>
      <c r="AN210" t="n">
        <v>0</v>
      </c>
      <c r="AO210" t="n">
        <v>0</v>
      </c>
      <c r="AP210" t="inlineStr">
        <is>
          <t>No</t>
        </is>
      </c>
      <c r="AQ210" t="inlineStr">
        <is>
          <t>Yes</t>
        </is>
      </c>
      <c r="AR210">
        <f>HYPERLINK("http://catalog.hathitrust.org/Record/001411985","HathiTrust Record")</f>
        <v/>
      </c>
      <c r="AS210">
        <f>HYPERLINK("https://creighton-primo.hosted.exlibrisgroup.com/primo-explore/search?tab=default_tab&amp;search_scope=EVERYTHING&amp;vid=01CRU&amp;lang=en_US&amp;offset=0&amp;query=any,contains,991002080849702656","Catalog Record")</f>
        <v/>
      </c>
      <c r="AT210">
        <f>HYPERLINK("http://www.worldcat.org/oclc/264602","WorldCat Record")</f>
        <v/>
      </c>
      <c r="AU210" t="inlineStr">
        <is>
          <t>2908467784:eng</t>
        </is>
      </c>
      <c r="AV210" t="inlineStr">
        <is>
          <t>264602</t>
        </is>
      </c>
      <c r="AW210" t="inlineStr">
        <is>
          <t>991002080849702656</t>
        </is>
      </c>
      <c r="AX210" t="inlineStr">
        <is>
          <t>991002080849702656</t>
        </is>
      </c>
      <c r="AY210" t="inlineStr">
        <is>
          <t>2268307210002656</t>
        </is>
      </c>
      <c r="AZ210" t="inlineStr">
        <is>
          <t>BOOK</t>
        </is>
      </c>
      <c r="BC210" t="inlineStr">
        <is>
          <t>32285000693787</t>
        </is>
      </c>
      <c r="BD210" t="inlineStr">
        <is>
          <t>893621885</t>
        </is>
      </c>
    </row>
    <row r="211">
      <c r="A211" t="inlineStr">
        <is>
          <t>No</t>
        </is>
      </c>
      <c r="B211" t="inlineStr">
        <is>
          <t>BT127 .N5 1960</t>
        </is>
      </c>
      <c r="C211" t="inlineStr">
        <is>
          <t>0                      BT 0127000N  5           1960</t>
        </is>
      </c>
      <c r="D211" t="inlineStr">
        <is>
          <t>The meaning of revelation / by H. Richard Niebuhr.</t>
        </is>
      </c>
      <c r="F211" t="inlineStr">
        <is>
          <t>No</t>
        </is>
      </c>
      <c r="G211" t="inlineStr">
        <is>
          <t>1</t>
        </is>
      </c>
      <c r="H211" t="inlineStr">
        <is>
          <t>No</t>
        </is>
      </c>
      <c r="I211" t="inlineStr">
        <is>
          <t>No</t>
        </is>
      </c>
      <c r="J211" t="inlineStr">
        <is>
          <t>0</t>
        </is>
      </c>
      <c r="K211" t="inlineStr">
        <is>
          <t>Niebuhr, H. Richard (Helmut Richard), 1894-1962.</t>
        </is>
      </c>
      <c r="L211" t="inlineStr">
        <is>
          <t>New York : Macmillan, 1960, c1941.</t>
        </is>
      </c>
      <c r="M211" t="inlineStr">
        <is>
          <t>1960</t>
        </is>
      </c>
      <c r="O211" t="inlineStr">
        <is>
          <t>eng</t>
        </is>
      </c>
      <c r="P211" t="inlineStr">
        <is>
          <t>nyu</t>
        </is>
      </c>
      <c r="Q211" t="inlineStr">
        <is>
          <t>Macmillan Press paperbacks</t>
        </is>
      </c>
      <c r="R211" t="inlineStr">
        <is>
          <t xml:space="preserve">BT </t>
        </is>
      </c>
      <c r="S211" t="n">
        <v>3</v>
      </c>
      <c r="T211" t="n">
        <v>3</v>
      </c>
      <c r="U211" t="inlineStr">
        <is>
          <t>1998-08-24</t>
        </is>
      </c>
      <c r="V211" t="inlineStr">
        <is>
          <t>1998-08-24</t>
        </is>
      </c>
      <c r="W211" t="inlineStr">
        <is>
          <t>1991-08-02</t>
        </is>
      </c>
      <c r="X211" t="inlineStr">
        <is>
          <t>1991-08-02</t>
        </is>
      </c>
      <c r="Y211" t="n">
        <v>232</v>
      </c>
      <c r="Z211" t="n">
        <v>185</v>
      </c>
      <c r="AA211" t="n">
        <v>1063</v>
      </c>
      <c r="AB211" t="n">
        <v>2</v>
      </c>
      <c r="AC211" t="n">
        <v>8</v>
      </c>
      <c r="AD211" t="n">
        <v>13</v>
      </c>
      <c r="AE211" t="n">
        <v>46</v>
      </c>
      <c r="AF211" t="n">
        <v>4</v>
      </c>
      <c r="AG211" t="n">
        <v>19</v>
      </c>
      <c r="AH211" t="n">
        <v>3</v>
      </c>
      <c r="AI211" t="n">
        <v>10</v>
      </c>
      <c r="AJ211" t="n">
        <v>10</v>
      </c>
      <c r="AK211" t="n">
        <v>23</v>
      </c>
      <c r="AL211" t="n">
        <v>0</v>
      </c>
      <c r="AM211" t="n">
        <v>6</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HYPERLINK("https://creighton-primo.hosted.exlibrisgroup.com/primo-explore/search?tab=default_tab&amp;search_scope=EVERYTHING&amp;vid=01CRU&amp;lang=en_US&amp;offset=0&amp;query=any,contains,991000151739702656","Catalog Record")</f>
        <v/>
      </c>
      <c r="AT211">
        <f>HYPERLINK("http://www.worldcat.org/oclc/9187285","WorldCat Record")</f>
        <v/>
      </c>
      <c r="AU211" t="inlineStr">
        <is>
          <t>398269:eng</t>
        </is>
      </c>
      <c r="AV211" t="inlineStr">
        <is>
          <t>9187285</t>
        </is>
      </c>
      <c r="AW211" t="inlineStr">
        <is>
          <t>991000151739702656</t>
        </is>
      </c>
      <c r="AX211" t="inlineStr">
        <is>
          <t>991000151739702656</t>
        </is>
      </c>
      <c r="AY211" t="inlineStr">
        <is>
          <t>2264537320002656</t>
        </is>
      </c>
      <c r="AZ211" t="inlineStr">
        <is>
          <t>BOOK</t>
        </is>
      </c>
      <c r="BC211" t="inlineStr">
        <is>
          <t>32285000693795</t>
        </is>
      </c>
      <c r="BD211" t="inlineStr">
        <is>
          <t>893601534</t>
        </is>
      </c>
    </row>
    <row r="212">
      <c r="A212" t="inlineStr">
        <is>
          <t>No</t>
        </is>
      </c>
      <c r="B212" t="inlineStr">
        <is>
          <t>BT127.2 .A27 1982</t>
        </is>
      </c>
      <c r="C212" t="inlineStr">
        <is>
          <t>0                      BT 0127200A  27          1982</t>
        </is>
      </c>
      <c r="D212" t="inlineStr">
        <is>
          <t>Divine revelation and the limits of historical criticism / William J. Abraham.</t>
        </is>
      </c>
      <c r="F212" t="inlineStr">
        <is>
          <t>No</t>
        </is>
      </c>
      <c r="G212" t="inlineStr">
        <is>
          <t>1</t>
        </is>
      </c>
      <c r="H212" t="inlineStr">
        <is>
          <t>No</t>
        </is>
      </c>
      <c r="I212" t="inlineStr">
        <is>
          <t>No</t>
        </is>
      </c>
      <c r="J212" t="inlineStr">
        <is>
          <t>0</t>
        </is>
      </c>
      <c r="K212" t="inlineStr">
        <is>
          <t>Abraham, William J. (William James), 1947-</t>
        </is>
      </c>
      <c r="L212" t="inlineStr">
        <is>
          <t>Oxford [Oxfordshire] ; New York : Oxford University Press, 1982.</t>
        </is>
      </c>
      <c r="M212" t="inlineStr">
        <is>
          <t>1982</t>
        </is>
      </c>
      <c r="O212" t="inlineStr">
        <is>
          <t>eng</t>
        </is>
      </c>
      <c r="P212" t="inlineStr">
        <is>
          <t>enk</t>
        </is>
      </c>
      <c r="R212" t="inlineStr">
        <is>
          <t xml:space="preserve">BT </t>
        </is>
      </c>
      <c r="S212" t="n">
        <v>7</v>
      </c>
      <c r="T212" t="n">
        <v>7</v>
      </c>
      <c r="U212" t="inlineStr">
        <is>
          <t>2010-02-24</t>
        </is>
      </c>
      <c r="V212" t="inlineStr">
        <is>
          <t>2010-02-24</t>
        </is>
      </c>
      <c r="W212" t="inlineStr">
        <is>
          <t>1991-08-02</t>
        </is>
      </c>
      <c r="X212" t="inlineStr">
        <is>
          <t>1991-08-02</t>
        </is>
      </c>
      <c r="Y212" t="n">
        <v>443</v>
      </c>
      <c r="Z212" t="n">
        <v>325</v>
      </c>
      <c r="AA212" t="n">
        <v>327</v>
      </c>
      <c r="AB212" t="n">
        <v>1</v>
      </c>
      <c r="AC212" t="n">
        <v>1</v>
      </c>
      <c r="AD212" t="n">
        <v>17</v>
      </c>
      <c r="AE212" t="n">
        <v>17</v>
      </c>
      <c r="AF212" t="n">
        <v>7</v>
      </c>
      <c r="AG212" t="n">
        <v>7</v>
      </c>
      <c r="AH212" t="n">
        <v>3</v>
      </c>
      <c r="AI212" t="n">
        <v>3</v>
      </c>
      <c r="AJ212" t="n">
        <v>12</v>
      </c>
      <c r="AK212" t="n">
        <v>12</v>
      </c>
      <c r="AL212" t="n">
        <v>0</v>
      </c>
      <c r="AM212" t="n">
        <v>0</v>
      </c>
      <c r="AN212" t="n">
        <v>0</v>
      </c>
      <c r="AO212" t="n">
        <v>0</v>
      </c>
      <c r="AP212" t="inlineStr">
        <is>
          <t>No</t>
        </is>
      </c>
      <c r="AQ212" t="inlineStr">
        <is>
          <t>Yes</t>
        </is>
      </c>
      <c r="AR212">
        <f>HYPERLINK("http://catalog.hathitrust.org/Record/000101109","HathiTrust Record")</f>
        <v/>
      </c>
      <c r="AS212">
        <f>HYPERLINK("https://creighton-primo.hosted.exlibrisgroup.com/primo-explore/search?tab=default_tab&amp;search_scope=EVERYTHING&amp;vid=01CRU&amp;lang=en_US&amp;offset=0&amp;query=any,contains,991005205579702656","Catalog Record")</f>
        <v/>
      </c>
      <c r="AT212">
        <f>HYPERLINK("http://www.worldcat.org/oclc/8114309","WorldCat Record")</f>
        <v/>
      </c>
      <c r="AU212" t="inlineStr">
        <is>
          <t>416188:eng</t>
        </is>
      </c>
      <c r="AV212" t="inlineStr">
        <is>
          <t>8114309</t>
        </is>
      </c>
      <c r="AW212" t="inlineStr">
        <is>
          <t>991005205579702656</t>
        </is>
      </c>
      <c r="AX212" t="inlineStr">
        <is>
          <t>991005205579702656</t>
        </is>
      </c>
      <c r="AY212" t="inlineStr">
        <is>
          <t>2255118410002656</t>
        </is>
      </c>
      <c r="AZ212" t="inlineStr">
        <is>
          <t>BOOK</t>
        </is>
      </c>
      <c r="BB212" t="inlineStr">
        <is>
          <t>9780198266655</t>
        </is>
      </c>
      <c r="BC212" t="inlineStr">
        <is>
          <t>32285000693803</t>
        </is>
      </c>
      <c r="BD212" t="inlineStr">
        <is>
          <t>893613303</t>
        </is>
      </c>
    </row>
    <row r="213">
      <c r="A213" t="inlineStr">
        <is>
          <t>No</t>
        </is>
      </c>
      <c r="B213" t="inlineStr">
        <is>
          <t>BT127.2 .B813</t>
        </is>
      </c>
      <c r="C213" t="inlineStr">
        <is>
          <t>0                      BT 0127200B  813</t>
        </is>
      </c>
      <c r="D213" t="inlineStr">
        <is>
          <t>Revelation / Werner Bulst. Translated by Bruce Vawter.</t>
        </is>
      </c>
      <c r="F213" t="inlineStr">
        <is>
          <t>No</t>
        </is>
      </c>
      <c r="G213" t="inlineStr">
        <is>
          <t>1</t>
        </is>
      </c>
      <c r="H213" t="inlineStr">
        <is>
          <t>No</t>
        </is>
      </c>
      <c r="I213" t="inlineStr">
        <is>
          <t>No</t>
        </is>
      </c>
      <c r="J213" t="inlineStr">
        <is>
          <t>0</t>
        </is>
      </c>
      <c r="K213" t="inlineStr">
        <is>
          <t>Bulst, Werner.</t>
        </is>
      </c>
      <c r="L213" t="inlineStr">
        <is>
          <t>New York, Sheed and Ward [1965]</t>
        </is>
      </c>
      <c r="M213" t="inlineStr">
        <is>
          <t>1965</t>
        </is>
      </c>
      <c r="O213" t="inlineStr">
        <is>
          <t>eng</t>
        </is>
      </c>
      <c r="P213" t="inlineStr">
        <is>
          <t>nyu</t>
        </is>
      </c>
      <c r="R213" t="inlineStr">
        <is>
          <t xml:space="preserve">BT </t>
        </is>
      </c>
      <c r="S213" t="n">
        <v>1</v>
      </c>
      <c r="T213" t="n">
        <v>1</v>
      </c>
      <c r="U213" t="inlineStr">
        <is>
          <t>2000-11-29</t>
        </is>
      </c>
      <c r="V213" t="inlineStr">
        <is>
          <t>2000-11-29</t>
        </is>
      </c>
      <c r="W213" t="inlineStr">
        <is>
          <t>1991-08-02</t>
        </is>
      </c>
      <c r="X213" t="inlineStr">
        <is>
          <t>1991-08-02</t>
        </is>
      </c>
      <c r="Y213" t="n">
        <v>324</v>
      </c>
      <c r="Z213" t="n">
        <v>275</v>
      </c>
      <c r="AA213" t="n">
        <v>282</v>
      </c>
      <c r="AB213" t="n">
        <v>2</v>
      </c>
      <c r="AC213" t="n">
        <v>2</v>
      </c>
      <c r="AD213" t="n">
        <v>32</v>
      </c>
      <c r="AE213" t="n">
        <v>32</v>
      </c>
      <c r="AF213" t="n">
        <v>11</v>
      </c>
      <c r="AG213" t="n">
        <v>11</v>
      </c>
      <c r="AH213" t="n">
        <v>8</v>
      </c>
      <c r="AI213" t="n">
        <v>8</v>
      </c>
      <c r="AJ213" t="n">
        <v>25</v>
      </c>
      <c r="AK213" t="n">
        <v>25</v>
      </c>
      <c r="AL213" t="n">
        <v>0</v>
      </c>
      <c r="AM213" t="n">
        <v>0</v>
      </c>
      <c r="AN213" t="n">
        <v>0</v>
      </c>
      <c r="AO213" t="n">
        <v>0</v>
      </c>
      <c r="AP213" t="inlineStr">
        <is>
          <t>No</t>
        </is>
      </c>
      <c r="AQ213" t="inlineStr">
        <is>
          <t>Yes</t>
        </is>
      </c>
      <c r="AR213">
        <f>HYPERLINK("http://catalog.hathitrust.org/Record/002478344","HathiTrust Record")</f>
        <v/>
      </c>
      <c r="AS213">
        <f>HYPERLINK("https://creighton-primo.hosted.exlibrisgroup.com/primo-explore/search?tab=default_tab&amp;search_scope=EVERYTHING&amp;vid=01CRU&amp;lang=en_US&amp;offset=0&amp;query=any,contains,991003106069702656","Catalog Record")</f>
        <v/>
      </c>
      <c r="AT213">
        <f>HYPERLINK("http://www.worldcat.org/oclc/654204","WorldCat Record")</f>
        <v/>
      </c>
      <c r="AU213" t="inlineStr">
        <is>
          <t>1613194:eng</t>
        </is>
      </c>
      <c r="AV213" t="inlineStr">
        <is>
          <t>654204</t>
        </is>
      </c>
      <c r="AW213" t="inlineStr">
        <is>
          <t>991003106069702656</t>
        </is>
      </c>
      <c r="AX213" t="inlineStr">
        <is>
          <t>991003106069702656</t>
        </is>
      </c>
      <c r="AY213" t="inlineStr">
        <is>
          <t>2262074850002656</t>
        </is>
      </c>
      <c r="AZ213" t="inlineStr">
        <is>
          <t>BOOK</t>
        </is>
      </c>
      <c r="BC213" t="inlineStr">
        <is>
          <t>32285000693811</t>
        </is>
      </c>
      <c r="BD213" t="inlineStr">
        <is>
          <t>893428453</t>
        </is>
      </c>
    </row>
    <row r="214">
      <c r="A214" t="inlineStr">
        <is>
          <t>No</t>
        </is>
      </c>
      <c r="B214" t="inlineStr">
        <is>
          <t>BT127.2 .D4 1982</t>
        </is>
      </c>
      <c r="C214" t="inlineStr">
        <is>
          <t>0                      BT 0127200D  4           1982</t>
        </is>
      </c>
      <c r="D214" t="inlineStr">
        <is>
          <t>General revelation : historical views and contemporary issues / Bruce A. Demarest ; foreword by Vernon C. Grounds.</t>
        </is>
      </c>
      <c r="F214" t="inlineStr">
        <is>
          <t>No</t>
        </is>
      </c>
      <c r="G214" t="inlineStr">
        <is>
          <t>1</t>
        </is>
      </c>
      <c r="H214" t="inlineStr">
        <is>
          <t>No</t>
        </is>
      </c>
      <c r="I214" t="inlineStr">
        <is>
          <t>No</t>
        </is>
      </c>
      <c r="J214" t="inlineStr">
        <is>
          <t>0</t>
        </is>
      </c>
      <c r="K214" t="inlineStr">
        <is>
          <t>Demarest, Bruce A.</t>
        </is>
      </c>
      <c r="L214" t="inlineStr">
        <is>
          <t>Grand Rapids, Mich. : Zondervan Pub. House, 1982.</t>
        </is>
      </c>
      <c r="M214" t="inlineStr">
        <is>
          <t>1982</t>
        </is>
      </c>
      <c r="O214" t="inlineStr">
        <is>
          <t>eng</t>
        </is>
      </c>
      <c r="P214" t="inlineStr">
        <is>
          <t>miu</t>
        </is>
      </c>
      <c r="R214" t="inlineStr">
        <is>
          <t xml:space="preserve">BT </t>
        </is>
      </c>
      <c r="S214" t="n">
        <v>1</v>
      </c>
      <c r="T214" t="n">
        <v>1</v>
      </c>
      <c r="U214" t="inlineStr">
        <is>
          <t>2009-01-12</t>
        </is>
      </c>
      <c r="V214" t="inlineStr">
        <is>
          <t>2009-01-12</t>
        </is>
      </c>
      <c r="W214" t="inlineStr">
        <is>
          <t>2009-01-12</t>
        </is>
      </c>
      <c r="X214" t="inlineStr">
        <is>
          <t>2009-01-12</t>
        </is>
      </c>
      <c r="Y214" t="n">
        <v>305</v>
      </c>
      <c r="Z214" t="n">
        <v>262</v>
      </c>
      <c r="AA214" t="n">
        <v>263</v>
      </c>
      <c r="AB214" t="n">
        <v>3</v>
      </c>
      <c r="AC214" t="n">
        <v>3</v>
      </c>
      <c r="AD214" t="n">
        <v>9</v>
      </c>
      <c r="AE214" t="n">
        <v>9</v>
      </c>
      <c r="AF214" t="n">
        <v>2</v>
      </c>
      <c r="AG214" t="n">
        <v>2</v>
      </c>
      <c r="AH214" t="n">
        <v>1</v>
      </c>
      <c r="AI214" t="n">
        <v>1</v>
      </c>
      <c r="AJ214" t="n">
        <v>6</v>
      </c>
      <c r="AK214" t="n">
        <v>6</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HYPERLINK("https://creighton-primo.hosted.exlibrisgroup.com/primo-explore/search?tab=default_tab&amp;search_scope=EVERYTHING&amp;vid=01CRU&amp;lang=en_US&amp;offset=0&amp;query=any,contains,991005289179702656","Catalog Record")</f>
        <v/>
      </c>
      <c r="AT214">
        <f>HYPERLINK("http://www.worldcat.org/oclc/7946853","WorldCat Record")</f>
        <v/>
      </c>
      <c r="AU214" t="inlineStr">
        <is>
          <t>441441:eng</t>
        </is>
      </c>
      <c r="AV214" t="inlineStr">
        <is>
          <t>7946853</t>
        </is>
      </c>
      <c r="AW214" t="inlineStr">
        <is>
          <t>991005289179702656</t>
        </is>
      </c>
      <c r="AX214" t="inlineStr">
        <is>
          <t>991005289179702656</t>
        </is>
      </c>
      <c r="AY214" t="inlineStr">
        <is>
          <t>2272461950002656</t>
        </is>
      </c>
      <c r="AZ214" t="inlineStr">
        <is>
          <t>BOOK</t>
        </is>
      </c>
      <c r="BB214" t="inlineStr">
        <is>
          <t>9780310445500</t>
        </is>
      </c>
      <c r="BC214" t="inlineStr">
        <is>
          <t>32285005476485</t>
        </is>
      </c>
      <c r="BD214" t="inlineStr">
        <is>
          <t>893889977</t>
        </is>
      </c>
    </row>
    <row r="215">
      <c r="A215" t="inlineStr">
        <is>
          <t>No</t>
        </is>
      </c>
      <c r="B215" t="inlineStr">
        <is>
          <t>BT127.2 .D78 1983</t>
        </is>
      </c>
      <c r="C215" t="inlineStr">
        <is>
          <t>0                      BT 0127200D  78          1983</t>
        </is>
      </c>
      <c r="D215" t="inlineStr">
        <is>
          <t>Models of revelation / Avery Dulles.</t>
        </is>
      </c>
      <c r="F215" t="inlineStr">
        <is>
          <t>No</t>
        </is>
      </c>
      <c r="G215" t="inlineStr">
        <is>
          <t>1</t>
        </is>
      </c>
      <c r="H215" t="inlineStr">
        <is>
          <t>No</t>
        </is>
      </c>
      <c r="I215" t="inlineStr">
        <is>
          <t>No</t>
        </is>
      </c>
      <c r="J215" t="inlineStr">
        <is>
          <t>0</t>
        </is>
      </c>
      <c r="K215" t="inlineStr">
        <is>
          <t>Dulles, Avery, 1918-2008.</t>
        </is>
      </c>
      <c r="L215" t="inlineStr">
        <is>
          <t>Garden City, N.Y. : Doubleday, 1983.</t>
        </is>
      </c>
      <c r="M215" t="inlineStr">
        <is>
          <t>1983</t>
        </is>
      </c>
      <c r="N215" t="inlineStr">
        <is>
          <t>1st ed.</t>
        </is>
      </c>
      <c r="O215" t="inlineStr">
        <is>
          <t>eng</t>
        </is>
      </c>
      <c r="P215" t="inlineStr">
        <is>
          <t>nyu</t>
        </is>
      </c>
      <c r="R215" t="inlineStr">
        <is>
          <t xml:space="preserve">BT </t>
        </is>
      </c>
      <c r="S215" t="n">
        <v>7</v>
      </c>
      <c r="T215" t="n">
        <v>7</v>
      </c>
      <c r="U215" t="inlineStr">
        <is>
          <t>2009-07-17</t>
        </is>
      </c>
      <c r="V215" t="inlineStr">
        <is>
          <t>2009-07-17</t>
        </is>
      </c>
      <c r="W215" t="inlineStr">
        <is>
          <t>1990-05-24</t>
        </is>
      </c>
      <c r="X215" t="inlineStr">
        <is>
          <t>1990-05-24</t>
        </is>
      </c>
      <c r="Y215" t="n">
        <v>586</v>
      </c>
      <c r="Z215" t="n">
        <v>497</v>
      </c>
      <c r="AA215" t="n">
        <v>626</v>
      </c>
      <c r="AB215" t="n">
        <v>7</v>
      </c>
      <c r="AC215" t="n">
        <v>9</v>
      </c>
      <c r="AD215" t="n">
        <v>41</v>
      </c>
      <c r="AE215" t="n">
        <v>46</v>
      </c>
      <c r="AF215" t="n">
        <v>15</v>
      </c>
      <c r="AG215" t="n">
        <v>17</v>
      </c>
      <c r="AH215" t="n">
        <v>9</v>
      </c>
      <c r="AI215" t="n">
        <v>9</v>
      </c>
      <c r="AJ215" t="n">
        <v>25</v>
      </c>
      <c r="AK215" t="n">
        <v>27</v>
      </c>
      <c r="AL215" t="n">
        <v>4</v>
      </c>
      <c r="AM215" t="n">
        <v>6</v>
      </c>
      <c r="AN215" t="n">
        <v>0</v>
      </c>
      <c r="AO215" t="n">
        <v>0</v>
      </c>
      <c r="AP215" t="inlineStr">
        <is>
          <t>No</t>
        </is>
      </c>
      <c r="AQ215" t="inlineStr">
        <is>
          <t>Yes</t>
        </is>
      </c>
      <c r="AR215">
        <f>HYPERLINK("http://catalog.hathitrust.org/Record/000234676","HathiTrust Record")</f>
        <v/>
      </c>
      <c r="AS215">
        <f>HYPERLINK("https://creighton-primo.hosted.exlibrisgroup.com/primo-explore/search?tab=default_tab&amp;search_scope=EVERYTHING&amp;vid=01CRU&amp;lang=en_US&amp;offset=0&amp;query=any,contains,991000066629702656","Catalog Record")</f>
        <v/>
      </c>
      <c r="AT215">
        <f>HYPERLINK("http://www.worldcat.org/oclc/8763894","WorldCat Record")</f>
        <v/>
      </c>
      <c r="AU215" t="inlineStr">
        <is>
          <t>164782628:eng</t>
        </is>
      </c>
      <c r="AV215" t="inlineStr">
        <is>
          <t>8763894</t>
        </is>
      </c>
      <c r="AW215" t="inlineStr">
        <is>
          <t>991000066629702656</t>
        </is>
      </c>
      <c r="AX215" t="inlineStr">
        <is>
          <t>991000066629702656</t>
        </is>
      </c>
      <c r="AY215" t="inlineStr">
        <is>
          <t>2267608160002656</t>
        </is>
      </c>
      <c r="AZ215" t="inlineStr">
        <is>
          <t>BOOK</t>
        </is>
      </c>
      <c r="BB215" t="inlineStr">
        <is>
          <t>9780385179751</t>
        </is>
      </c>
      <c r="BC215" t="inlineStr">
        <is>
          <t>32285000166347</t>
        </is>
      </c>
      <c r="BD215" t="inlineStr">
        <is>
          <t>893589094</t>
        </is>
      </c>
    </row>
    <row r="216">
      <c r="A216" t="inlineStr">
        <is>
          <t>No</t>
        </is>
      </c>
      <c r="B216" t="inlineStr">
        <is>
          <t>BT127.2 .F73</t>
        </is>
      </c>
      <c r="C216" t="inlineStr">
        <is>
          <t>0                      BT 0127200F  73</t>
        </is>
      </c>
      <c r="D216" t="inlineStr">
        <is>
          <t>Revelation / Heinrich Fries.</t>
        </is>
      </c>
      <c r="F216" t="inlineStr">
        <is>
          <t>No</t>
        </is>
      </c>
      <c r="G216" t="inlineStr">
        <is>
          <t>1</t>
        </is>
      </c>
      <c r="H216" t="inlineStr">
        <is>
          <t>No</t>
        </is>
      </c>
      <c r="I216" t="inlineStr">
        <is>
          <t>No</t>
        </is>
      </c>
      <c r="J216" t="inlineStr">
        <is>
          <t>0</t>
        </is>
      </c>
      <c r="K216" t="inlineStr">
        <is>
          <t>Fries, Heinrich.</t>
        </is>
      </c>
      <c r="L216" t="inlineStr">
        <is>
          <t>[New York] Herder and Herder [1969]</t>
        </is>
      </c>
      <c r="M216" t="inlineStr">
        <is>
          <t>1969</t>
        </is>
      </c>
      <c r="O216" t="inlineStr">
        <is>
          <t>eng</t>
        </is>
      </c>
      <c r="P216" t="inlineStr">
        <is>
          <t>nyu</t>
        </is>
      </c>
      <c r="Q216" t="inlineStr">
        <is>
          <t>Mysterium salutis</t>
        </is>
      </c>
      <c r="R216" t="inlineStr">
        <is>
          <t xml:space="preserve">BT </t>
        </is>
      </c>
      <c r="S216" t="n">
        <v>3</v>
      </c>
      <c r="T216" t="n">
        <v>3</v>
      </c>
      <c r="U216" t="inlineStr">
        <is>
          <t>2000-03-15</t>
        </is>
      </c>
      <c r="V216" t="inlineStr">
        <is>
          <t>2000-03-15</t>
        </is>
      </c>
      <c r="W216" t="inlineStr">
        <is>
          <t>1991-08-02</t>
        </is>
      </c>
      <c r="X216" t="inlineStr">
        <is>
          <t>1991-08-02</t>
        </is>
      </c>
      <c r="Y216" t="n">
        <v>196</v>
      </c>
      <c r="Z216" t="n">
        <v>168</v>
      </c>
      <c r="AA216" t="n">
        <v>178</v>
      </c>
      <c r="AB216" t="n">
        <v>2</v>
      </c>
      <c r="AC216" t="n">
        <v>2</v>
      </c>
      <c r="AD216" t="n">
        <v>22</v>
      </c>
      <c r="AE216" t="n">
        <v>22</v>
      </c>
      <c r="AF216" t="n">
        <v>8</v>
      </c>
      <c r="AG216" t="n">
        <v>8</v>
      </c>
      <c r="AH216" t="n">
        <v>6</v>
      </c>
      <c r="AI216" t="n">
        <v>6</v>
      </c>
      <c r="AJ216" t="n">
        <v>17</v>
      </c>
      <c r="AK216" t="n">
        <v>17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HYPERLINK("https://creighton-primo.hosted.exlibrisgroup.com/primo-explore/search?tab=default_tab&amp;search_scope=EVERYTHING&amp;vid=01CRU&amp;lang=en_US&amp;offset=0&amp;query=any,contains,991000188659702656","Catalog Record")</f>
        <v/>
      </c>
      <c r="AT216">
        <f>HYPERLINK("http://www.worldcat.org/oclc/63315","WorldCat Record")</f>
        <v/>
      </c>
      <c r="AU216" t="inlineStr">
        <is>
          <t>1226482:eng</t>
        </is>
      </c>
      <c r="AV216" t="inlineStr">
        <is>
          <t>63315</t>
        </is>
      </c>
      <c r="AW216" t="inlineStr">
        <is>
          <t>991000188659702656</t>
        </is>
      </c>
      <c r="AX216" t="inlineStr">
        <is>
          <t>991000188659702656</t>
        </is>
      </c>
      <c r="AY216" t="inlineStr">
        <is>
          <t>2256042660002656</t>
        </is>
      </c>
      <c r="AZ216" t="inlineStr">
        <is>
          <t>BOOK</t>
        </is>
      </c>
      <c r="BC216" t="inlineStr">
        <is>
          <t>32285000693837</t>
        </is>
      </c>
      <c r="BD216" t="inlineStr">
        <is>
          <t>893790326</t>
        </is>
      </c>
    </row>
    <row r="217">
      <c r="A217" t="inlineStr">
        <is>
          <t>No</t>
        </is>
      </c>
      <c r="B217" t="inlineStr">
        <is>
          <t>BT127.2 .G8413</t>
        </is>
      </c>
      <c r="C217" t="inlineStr">
        <is>
          <t>0                      BT 0127200G  8413</t>
        </is>
      </c>
      <c r="D217" t="inlineStr">
        <is>
          <t>A God who speaks / Jacques Guillet ; translated by Edmond Bonin.</t>
        </is>
      </c>
      <c r="F217" t="inlineStr">
        <is>
          <t>No</t>
        </is>
      </c>
      <c r="G217" t="inlineStr">
        <is>
          <t>1</t>
        </is>
      </c>
      <c r="H217" t="inlineStr">
        <is>
          <t>No</t>
        </is>
      </c>
      <c r="I217" t="inlineStr">
        <is>
          <t>No</t>
        </is>
      </c>
      <c r="J217" t="inlineStr">
        <is>
          <t>0</t>
        </is>
      </c>
      <c r="K217" t="inlineStr">
        <is>
          <t>Guillet, Jacques.</t>
        </is>
      </c>
      <c r="L217" t="inlineStr">
        <is>
          <t>New York : Paulist Press, c1979.</t>
        </is>
      </c>
      <c r="M217" t="inlineStr">
        <is>
          <t>1979</t>
        </is>
      </c>
      <c r="O217" t="inlineStr">
        <is>
          <t>eng</t>
        </is>
      </c>
      <c r="P217" t="inlineStr">
        <is>
          <t>nyu</t>
        </is>
      </c>
      <c r="R217" t="inlineStr">
        <is>
          <t xml:space="preserve">BT </t>
        </is>
      </c>
      <c r="S217" t="n">
        <v>2</v>
      </c>
      <c r="T217" t="n">
        <v>2</v>
      </c>
      <c r="U217" t="inlineStr">
        <is>
          <t>1997-03-22</t>
        </is>
      </c>
      <c r="V217" t="inlineStr">
        <is>
          <t>1997-03-22</t>
        </is>
      </c>
      <c r="W217" t="inlineStr">
        <is>
          <t>1991-08-02</t>
        </is>
      </c>
      <c r="X217" t="inlineStr">
        <is>
          <t>1991-08-02</t>
        </is>
      </c>
      <c r="Y217" t="n">
        <v>134</v>
      </c>
      <c r="Z217" t="n">
        <v>121</v>
      </c>
      <c r="AA217" t="n">
        <v>123</v>
      </c>
      <c r="AB217" t="n">
        <v>2</v>
      </c>
      <c r="AC217" t="n">
        <v>2</v>
      </c>
      <c r="AD217" t="n">
        <v>19</v>
      </c>
      <c r="AE217" t="n">
        <v>19</v>
      </c>
      <c r="AF217" t="n">
        <v>5</v>
      </c>
      <c r="AG217" t="n">
        <v>5</v>
      </c>
      <c r="AH217" t="n">
        <v>3</v>
      </c>
      <c r="AI217" t="n">
        <v>3</v>
      </c>
      <c r="AJ217" t="n">
        <v>14</v>
      </c>
      <c r="AK217" t="n">
        <v>14</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HYPERLINK("https://creighton-primo.hosted.exlibrisgroup.com/primo-explore/search?tab=default_tab&amp;search_scope=EVERYTHING&amp;vid=01CRU&amp;lang=en_US&amp;offset=0&amp;query=any,contains,991004788169702656","Catalog Record")</f>
        <v/>
      </c>
      <c r="AT217">
        <f>HYPERLINK("http://www.worldcat.org/oclc/5159583","WorldCat Record")</f>
        <v/>
      </c>
      <c r="AU217" t="inlineStr">
        <is>
          <t>16157702:eng</t>
        </is>
      </c>
      <c r="AV217" t="inlineStr">
        <is>
          <t>5159583</t>
        </is>
      </c>
      <c r="AW217" t="inlineStr">
        <is>
          <t>991004788169702656</t>
        </is>
      </c>
      <c r="AX217" t="inlineStr">
        <is>
          <t>991004788169702656</t>
        </is>
      </c>
      <c r="AY217" t="inlineStr">
        <is>
          <t>2269980300002656</t>
        </is>
      </c>
      <c r="AZ217" t="inlineStr">
        <is>
          <t>BOOK</t>
        </is>
      </c>
      <c r="BB217" t="inlineStr">
        <is>
          <t>9780809121953</t>
        </is>
      </c>
      <c r="BC217" t="inlineStr">
        <is>
          <t>32285000693845</t>
        </is>
      </c>
      <c r="BD217" t="inlineStr">
        <is>
          <t>893889284</t>
        </is>
      </c>
    </row>
    <row r="218">
      <c r="A218" t="inlineStr">
        <is>
          <t>No</t>
        </is>
      </c>
      <c r="B218" t="inlineStr">
        <is>
          <t>BT127.2 .H35 1993</t>
        </is>
      </c>
      <c r="C218" t="inlineStr">
        <is>
          <t>0                      BT 0127200H  35          1993</t>
        </is>
      </c>
      <c r="D218" t="inlineStr">
        <is>
          <t>Mystery and promise : a theology of revelation / John F. Haught.</t>
        </is>
      </c>
      <c r="F218" t="inlineStr">
        <is>
          <t>No</t>
        </is>
      </c>
      <c r="G218" t="inlineStr">
        <is>
          <t>1</t>
        </is>
      </c>
      <c r="H218" t="inlineStr">
        <is>
          <t>No</t>
        </is>
      </c>
      <c r="I218" t="inlineStr">
        <is>
          <t>No</t>
        </is>
      </c>
      <c r="J218" t="inlineStr">
        <is>
          <t>0</t>
        </is>
      </c>
      <c r="K218" t="inlineStr">
        <is>
          <t>Haught, John F.</t>
        </is>
      </c>
      <c r="L218" t="inlineStr">
        <is>
          <t>Collegeville, Minn. : Liturgical Press, c1993.</t>
        </is>
      </c>
      <c r="M218" t="inlineStr">
        <is>
          <t>1993</t>
        </is>
      </c>
      <c r="O218" t="inlineStr">
        <is>
          <t>eng</t>
        </is>
      </c>
      <c r="P218" t="inlineStr">
        <is>
          <t>mnu</t>
        </is>
      </c>
      <c r="Q218" t="inlineStr">
        <is>
          <t>New theology studies ; v. 2</t>
        </is>
      </c>
      <c r="R218" t="inlineStr">
        <is>
          <t xml:space="preserve">BT </t>
        </is>
      </c>
      <c r="S218" t="n">
        <v>4</v>
      </c>
      <c r="T218" t="n">
        <v>4</v>
      </c>
      <c r="U218" t="inlineStr">
        <is>
          <t>2006-11-03</t>
        </is>
      </c>
      <c r="V218" t="inlineStr">
        <is>
          <t>2006-11-03</t>
        </is>
      </c>
      <c r="W218" t="inlineStr">
        <is>
          <t>1995-12-11</t>
        </is>
      </c>
      <c r="X218" t="inlineStr">
        <is>
          <t>1995-12-11</t>
        </is>
      </c>
      <c r="Y218" t="n">
        <v>196</v>
      </c>
      <c r="Z218" t="n">
        <v>154</v>
      </c>
      <c r="AA218" t="n">
        <v>154</v>
      </c>
      <c r="AB218" t="n">
        <v>2</v>
      </c>
      <c r="AC218" t="n">
        <v>2</v>
      </c>
      <c r="AD218" t="n">
        <v>21</v>
      </c>
      <c r="AE218" t="n">
        <v>21</v>
      </c>
      <c r="AF218" t="n">
        <v>7</v>
      </c>
      <c r="AG218" t="n">
        <v>7</v>
      </c>
      <c r="AH218" t="n">
        <v>3</v>
      </c>
      <c r="AI218" t="n">
        <v>3</v>
      </c>
      <c r="AJ218" t="n">
        <v>15</v>
      </c>
      <c r="AK218" t="n">
        <v>15</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HYPERLINK("https://creighton-primo.hosted.exlibrisgroup.com/primo-explore/search?tab=default_tab&amp;search_scope=EVERYTHING&amp;vid=01CRU&amp;lang=en_US&amp;offset=0&amp;query=any,contains,991002126049702656","Catalog Record")</f>
        <v/>
      </c>
      <c r="AT218">
        <f>HYPERLINK("http://www.worldcat.org/oclc/27226639","WorldCat Record")</f>
        <v/>
      </c>
      <c r="AU218" t="inlineStr">
        <is>
          <t>328466769:eng</t>
        </is>
      </c>
      <c r="AV218" t="inlineStr">
        <is>
          <t>27226639</t>
        </is>
      </c>
      <c r="AW218" t="inlineStr">
        <is>
          <t>991002126049702656</t>
        </is>
      </c>
      <c r="AX218" t="inlineStr">
        <is>
          <t>991002126049702656</t>
        </is>
      </c>
      <c r="AY218" t="inlineStr">
        <is>
          <t>2268495900002656</t>
        </is>
      </c>
      <c r="AZ218" t="inlineStr">
        <is>
          <t>BOOK</t>
        </is>
      </c>
      <c r="BB218" t="inlineStr">
        <is>
          <t>9780814657928</t>
        </is>
      </c>
      <c r="BC218" t="inlineStr">
        <is>
          <t>32285002110020</t>
        </is>
      </c>
      <c r="BD218" t="inlineStr">
        <is>
          <t>893779453</t>
        </is>
      </c>
    </row>
    <row r="219">
      <c r="A219" t="inlineStr">
        <is>
          <t>No</t>
        </is>
      </c>
      <c r="B219" t="inlineStr">
        <is>
          <t>BT127.2 .M59</t>
        </is>
      </c>
      <c r="C219" t="inlineStr">
        <is>
          <t>0                      BT 0127200M  59</t>
        </is>
      </c>
      <c r="D219" t="inlineStr">
        <is>
          <t>Catechesis of revelation / Gabriel Moran.</t>
        </is>
      </c>
      <c r="F219" t="inlineStr">
        <is>
          <t>No</t>
        </is>
      </c>
      <c r="G219" t="inlineStr">
        <is>
          <t>1</t>
        </is>
      </c>
      <c r="H219" t="inlineStr">
        <is>
          <t>No</t>
        </is>
      </c>
      <c r="I219" t="inlineStr">
        <is>
          <t>No</t>
        </is>
      </c>
      <c r="J219" t="inlineStr">
        <is>
          <t>0</t>
        </is>
      </c>
      <c r="K219" t="inlineStr">
        <is>
          <t>Moran, Gabriel.</t>
        </is>
      </c>
      <c r="L219" t="inlineStr">
        <is>
          <t>[New York] Herder and Herder [1966]</t>
        </is>
      </c>
      <c r="M219" t="inlineStr">
        <is>
          <t>1966</t>
        </is>
      </c>
      <c r="O219" t="inlineStr">
        <is>
          <t>eng</t>
        </is>
      </c>
      <c r="P219" t="inlineStr">
        <is>
          <t>___</t>
        </is>
      </c>
      <c r="Q219" t="inlineStr">
        <is>
          <t>Studies in religious education</t>
        </is>
      </c>
      <c r="R219" t="inlineStr">
        <is>
          <t xml:space="preserve">BT </t>
        </is>
      </c>
      <c r="S219" t="n">
        <v>7</v>
      </c>
      <c r="T219" t="n">
        <v>7</v>
      </c>
      <c r="U219" t="inlineStr">
        <is>
          <t>1996-04-14</t>
        </is>
      </c>
      <c r="V219" t="inlineStr">
        <is>
          <t>1996-04-14</t>
        </is>
      </c>
      <c r="W219" t="inlineStr">
        <is>
          <t>1991-08-02</t>
        </is>
      </c>
      <c r="X219" t="inlineStr">
        <is>
          <t>1991-08-02</t>
        </is>
      </c>
      <c r="Y219" t="n">
        <v>340</v>
      </c>
      <c r="Z219" t="n">
        <v>291</v>
      </c>
      <c r="AA219" t="n">
        <v>313</v>
      </c>
      <c r="AB219" t="n">
        <v>4</v>
      </c>
      <c r="AC219" t="n">
        <v>4</v>
      </c>
      <c r="AD219" t="n">
        <v>31</v>
      </c>
      <c r="AE219" t="n">
        <v>31</v>
      </c>
      <c r="AF219" t="n">
        <v>9</v>
      </c>
      <c r="AG219" t="n">
        <v>9</v>
      </c>
      <c r="AH219" t="n">
        <v>8</v>
      </c>
      <c r="AI219" t="n">
        <v>8</v>
      </c>
      <c r="AJ219" t="n">
        <v>24</v>
      </c>
      <c r="AK219" t="n">
        <v>24</v>
      </c>
      <c r="AL219" t="n">
        <v>1</v>
      </c>
      <c r="AM219" t="n">
        <v>1</v>
      </c>
      <c r="AN219" t="n">
        <v>0</v>
      </c>
      <c r="AO219" t="n">
        <v>0</v>
      </c>
      <c r="AP219" t="inlineStr">
        <is>
          <t>No</t>
        </is>
      </c>
      <c r="AQ219" t="inlineStr">
        <is>
          <t>Yes</t>
        </is>
      </c>
      <c r="AR219">
        <f>HYPERLINK("http://catalog.hathitrust.org/Record/009801515","HathiTrust Record")</f>
        <v/>
      </c>
      <c r="AS219">
        <f>HYPERLINK("https://creighton-primo.hosted.exlibrisgroup.com/primo-explore/search?tab=default_tab&amp;search_scope=EVERYTHING&amp;vid=01CRU&amp;lang=en_US&amp;offset=0&amp;query=any,contains,991003106349702656","Catalog Record")</f>
        <v/>
      </c>
      <c r="AT219">
        <f>HYPERLINK("http://www.worldcat.org/oclc/654345","WorldCat Record")</f>
        <v/>
      </c>
      <c r="AU219" t="inlineStr">
        <is>
          <t>1483925:eng</t>
        </is>
      </c>
      <c r="AV219" t="inlineStr">
        <is>
          <t>654345</t>
        </is>
      </c>
      <c r="AW219" t="inlineStr">
        <is>
          <t>991003106349702656</t>
        </is>
      </c>
      <c r="AX219" t="inlineStr">
        <is>
          <t>991003106349702656</t>
        </is>
      </c>
      <c r="AY219" t="inlineStr">
        <is>
          <t>2261961930002656</t>
        </is>
      </c>
      <c r="AZ219" t="inlineStr">
        <is>
          <t>BOOK</t>
        </is>
      </c>
      <c r="BC219" t="inlineStr">
        <is>
          <t>32285000693860</t>
        </is>
      </c>
      <c r="BD219" t="inlineStr">
        <is>
          <t>893627461</t>
        </is>
      </c>
    </row>
    <row r="220">
      <c r="A220" t="inlineStr">
        <is>
          <t>No</t>
        </is>
      </c>
      <c r="B220" t="inlineStr">
        <is>
          <t>BT127.2 .O3</t>
        </is>
      </c>
      <c r="C220" t="inlineStr">
        <is>
          <t>0                      BT 0127200O  3</t>
        </is>
      </c>
      <c r="D220" t="inlineStr">
        <is>
          <t>Theology and revelation / by Gerald O'Collins.</t>
        </is>
      </c>
      <c r="F220" t="inlineStr">
        <is>
          <t>No</t>
        </is>
      </c>
      <c r="G220" t="inlineStr">
        <is>
          <t>1</t>
        </is>
      </c>
      <c r="H220" t="inlineStr">
        <is>
          <t>No</t>
        </is>
      </c>
      <c r="I220" t="inlineStr">
        <is>
          <t>No</t>
        </is>
      </c>
      <c r="J220" t="inlineStr">
        <is>
          <t>0</t>
        </is>
      </c>
      <c r="K220" t="inlineStr">
        <is>
          <t>O'Collins, Gerald.</t>
        </is>
      </c>
      <c r="L220" t="inlineStr">
        <is>
          <t>Notre Dame, Ind., Fides Publishers [1968]</t>
        </is>
      </c>
      <c r="M220" t="inlineStr">
        <is>
          <t>1968</t>
        </is>
      </c>
      <c r="O220" t="inlineStr">
        <is>
          <t>eng</t>
        </is>
      </c>
      <c r="P220" t="inlineStr">
        <is>
          <t>inu</t>
        </is>
      </c>
      <c r="Q220" t="inlineStr">
        <is>
          <t>Theology today ; no. 2</t>
        </is>
      </c>
      <c r="R220" t="inlineStr">
        <is>
          <t xml:space="preserve">BT </t>
        </is>
      </c>
      <c r="S220" t="n">
        <v>8</v>
      </c>
      <c r="T220" t="n">
        <v>8</v>
      </c>
      <c r="U220" t="inlineStr">
        <is>
          <t>1997-03-22</t>
        </is>
      </c>
      <c r="V220" t="inlineStr">
        <is>
          <t>1997-03-22</t>
        </is>
      </c>
      <c r="W220" t="inlineStr">
        <is>
          <t>1991-08-02</t>
        </is>
      </c>
      <c r="X220" t="inlineStr">
        <is>
          <t>1991-08-02</t>
        </is>
      </c>
      <c r="Y220" t="n">
        <v>171</v>
      </c>
      <c r="Z220" t="n">
        <v>145</v>
      </c>
      <c r="AA220" t="n">
        <v>171</v>
      </c>
      <c r="AB220" t="n">
        <v>3</v>
      </c>
      <c r="AC220" t="n">
        <v>3</v>
      </c>
      <c r="AD220" t="n">
        <v>25</v>
      </c>
      <c r="AE220" t="n">
        <v>26</v>
      </c>
      <c r="AF220" t="n">
        <v>6</v>
      </c>
      <c r="AG220" t="n">
        <v>7</v>
      </c>
      <c r="AH220" t="n">
        <v>4</v>
      </c>
      <c r="AI220" t="n">
        <v>4</v>
      </c>
      <c r="AJ220" t="n">
        <v>22</v>
      </c>
      <c r="AK220" t="n">
        <v>22</v>
      </c>
      <c r="AL220" t="n">
        <v>1</v>
      </c>
      <c r="AM220" t="n">
        <v>1</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HYPERLINK("https://creighton-primo.hosted.exlibrisgroup.com/primo-explore/search?tab=default_tab&amp;search_scope=EVERYTHING&amp;vid=01CRU&amp;lang=en_US&amp;offset=0&amp;query=any,contains,991001298639702656","Catalog Record")</f>
        <v/>
      </c>
      <c r="AT220">
        <f>HYPERLINK("http://www.worldcat.org/oclc/220356","WorldCat Record")</f>
        <v/>
      </c>
      <c r="AU220" t="inlineStr">
        <is>
          <t>1321697:eng</t>
        </is>
      </c>
      <c r="AV220" t="inlineStr">
        <is>
          <t>220356</t>
        </is>
      </c>
      <c r="AW220" t="inlineStr">
        <is>
          <t>991001298639702656</t>
        </is>
      </c>
      <c r="AX220" t="inlineStr">
        <is>
          <t>991001298639702656</t>
        </is>
      </c>
      <c r="AY220" t="inlineStr">
        <is>
          <t>2261507900002656</t>
        </is>
      </c>
      <c r="AZ220" t="inlineStr">
        <is>
          <t>BOOK</t>
        </is>
      </c>
      <c r="BC220" t="inlineStr">
        <is>
          <t>32285000693910</t>
        </is>
      </c>
      <c r="BD220" t="inlineStr">
        <is>
          <t>893797470</t>
        </is>
      </c>
    </row>
    <row r="221">
      <c r="A221" t="inlineStr">
        <is>
          <t>No</t>
        </is>
      </c>
      <c r="B221" t="inlineStr">
        <is>
          <t>BT127.2 .R2813</t>
        </is>
      </c>
      <c r="C221" t="inlineStr">
        <is>
          <t>0                      BT 0127200R  2813</t>
        </is>
      </c>
      <c r="D221" t="inlineStr">
        <is>
          <t>Revelation and tradition / [by] Karl Rahner [and] Joseph Ratzinger. [Translated by W. J. O'Hara.</t>
        </is>
      </c>
      <c r="F221" t="inlineStr">
        <is>
          <t>No</t>
        </is>
      </c>
      <c r="G221" t="inlineStr">
        <is>
          <t>1</t>
        </is>
      </c>
      <c r="H221" t="inlineStr">
        <is>
          <t>No</t>
        </is>
      </c>
      <c r="I221" t="inlineStr">
        <is>
          <t>No</t>
        </is>
      </c>
      <c r="J221" t="inlineStr">
        <is>
          <t>0</t>
        </is>
      </c>
      <c r="K221" t="inlineStr">
        <is>
          <t>Rahner, Karl, 1904-1984.</t>
        </is>
      </c>
      <c r="L221" t="inlineStr">
        <is>
          <t>New York] Herder and Herder [1966]</t>
        </is>
      </c>
      <c r="M221" t="inlineStr">
        <is>
          <t>1966</t>
        </is>
      </c>
      <c r="O221" t="inlineStr">
        <is>
          <t>eng</t>
        </is>
      </c>
      <c r="P221" t="inlineStr">
        <is>
          <t>nyu</t>
        </is>
      </c>
      <c r="Q221" t="inlineStr">
        <is>
          <t>Quaestiones disputatae ; 17</t>
        </is>
      </c>
      <c r="R221" t="inlineStr">
        <is>
          <t xml:space="preserve">BT </t>
        </is>
      </c>
      <c r="S221" t="n">
        <v>5</v>
      </c>
      <c r="T221" t="n">
        <v>5</v>
      </c>
      <c r="U221" t="inlineStr">
        <is>
          <t>2001-06-28</t>
        </is>
      </c>
      <c r="V221" t="inlineStr">
        <is>
          <t>2001-06-28</t>
        </is>
      </c>
      <c r="W221" t="inlineStr">
        <is>
          <t>1991-08-02</t>
        </is>
      </c>
      <c r="X221" t="inlineStr">
        <is>
          <t>1991-08-02</t>
        </is>
      </c>
      <c r="Y221" t="n">
        <v>265</v>
      </c>
      <c r="Z221" t="n">
        <v>221</v>
      </c>
      <c r="AA221" t="n">
        <v>278</v>
      </c>
      <c r="AB221" t="n">
        <v>4</v>
      </c>
      <c r="AC221" t="n">
        <v>4</v>
      </c>
      <c r="AD221" t="n">
        <v>30</v>
      </c>
      <c r="AE221" t="n">
        <v>35</v>
      </c>
      <c r="AF221" t="n">
        <v>14</v>
      </c>
      <c r="AG221" t="n">
        <v>14</v>
      </c>
      <c r="AH221" t="n">
        <v>4</v>
      </c>
      <c r="AI221" t="n">
        <v>7</v>
      </c>
      <c r="AJ221" t="n">
        <v>19</v>
      </c>
      <c r="AK221" t="n">
        <v>23</v>
      </c>
      <c r="AL221" t="n">
        <v>2</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HYPERLINK("https://creighton-primo.hosted.exlibrisgroup.com/primo-explore/search?tab=default_tab&amp;search_scope=EVERYTHING&amp;vid=01CRU&amp;lang=en_US&amp;offset=0&amp;query=any,contains,991003106009702656","Catalog Record")</f>
        <v/>
      </c>
      <c r="AT221">
        <f>HYPERLINK("http://www.worldcat.org/oclc/654189","WorldCat Record")</f>
        <v/>
      </c>
      <c r="AU221" t="inlineStr">
        <is>
          <t>4495025063:eng</t>
        </is>
      </c>
      <c r="AV221" t="inlineStr">
        <is>
          <t>654189</t>
        </is>
      </c>
      <c r="AW221" t="inlineStr">
        <is>
          <t>991003106009702656</t>
        </is>
      </c>
      <c r="AX221" t="inlineStr">
        <is>
          <t>991003106009702656</t>
        </is>
      </c>
      <c r="AY221" t="inlineStr">
        <is>
          <t>2262009790002656</t>
        </is>
      </c>
      <c r="AZ221" t="inlineStr">
        <is>
          <t>BOOK</t>
        </is>
      </c>
      <c r="BC221" t="inlineStr">
        <is>
          <t>32285000693936</t>
        </is>
      </c>
      <c r="BD221" t="inlineStr">
        <is>
          <t>893252041</t>
        </is>
      </c>
    </row>
    <row r="222">
      <c r="A222" t="inlineStr">
        <is>
          <t>No</t>
        </is>
      </c>
      <c r="B222" t="inlineStr">
        <is>
          <t>BT127.2 .S3313</t>
        </is>
      </c>
      <c r="C222" t="inlineStr">
        <is>
          <t>0                      BT 0127200S  3313</t>
        </is>
      </c>
      <c r="D222" t="inlineStr">
        <is>
          <t>Revelation and theology / by E. Schillebeeckx. Translated by N. D. Smith.</t>
        </is>
      </c>
      <c r="E222" t="inlineStr">
        <is>
          <t>V.1</t>
        </is>
      </c>
      <c r="F222" t="inlineStr">
        <is>
          <t>Yes</t>
        </is>
      </c>
      <c r="G222" t="inlineStr">
        <is>
          <t>1</t>
        </is>
      </c>
      <c r="H222" t="inlineStr">
        <is>
          <t>No</t>
        </is>
      </c>
      <c r="I222" t="inlineStr">
        <is>
          <t>No</t>
        </is>
      </c>
      <c r="J222" t="inlineStr">
        <is>
          <t>0</t>
        </is>
      </c>
      <c r="K222" t="inlineStr">
        <is>
          <t>Schillebeeckx, Edward, 1914-2009.</t>
        </is>
      </c>
      <c r="L222" t="inlineStr">
        <is>
          <t>New York, Sheed and Ward [1967-</t>
        </is>
      </c>
      <c r="M222" t="inlineStr">
        <is>
          <t>1967</t>
        </is>
      </c>
      <c r="O222" t="inlineStr">
        <is>
          <t>eng</t>
        </is>
      </c>
      <c r="P222" t="inlineStr">
        <is>
          <t>nyu</t>
        </is>
      </c>
      <c r="Q222" t="inlineStr">
        <is>
          <t>His Theological soundings</t>
        </is>
      </c>
      <c r="R222" t="inlineStr">
        <is>
          <t xml:space="preserve">BT </t>
        </is>
      </c>
      <c r="S222" t="n">
        <v>7</v>
      </c>
      <c r="T222" t="n">
        <v>7</v>
      </c>
      <c r="U222" t="inlineStr">
        <is>
          <t>2000-11-29</t>
        </is>
      </c>
      <c r="V222" t="inlineStr">
        <is>
          <t>2000-11-29</t>
        </is>
      </c>
      <c r="W222" t="inlineStr">
        <is>
          <t>1991-08-02</t>
        </is>
      </c>
      <c r="X222" t="inlineStr">
        <is>
          <t>1991-08-02</t>
        </is>
      </c>
      <c r="Y222" t="n">
        <v>710</v>
      </c>
      <c r="Z222" t="n">
        <v>650</v>
      </c>
      <c r="AA222" t="n">
        <v>656</v>
      </c>
      <c r="AB222" t="n">
        <v>9</v>
      </c>
      <c r="AC222" t="n">
        <v>9</v>
      </c>
      <c r="AD222" t="n">
        <v>49</v>
      </c>
      <c r="AE222" t="n">
        <v>49</v>
      </c>
      <c r="AF222" t="n">
        <v>20</v>
      </c>
      <c r="AG222" t="n">
        <v>20</v>
      </c>
      <c r="AH222" t="n">
        <v>9</v>
      </c>
      <c r="AI222" t="n">
        <v>9</v>
      </c>
      <c r="AJ222" t="n">
        <v>25</v>
      </c>
      <c r="AK222" t="n">
        <v>25</v>
      </c>
      <c r="AL222" t="n">
        <v>7</v>
      </c>
      <c r="AM222" t="n">
        <v>7</v>
      </c>
      <c r="AN222" t="n">
        <v>0</v>
      </c>
      <c r="AO222" t="n">
        <v>0</v>
      </c>
      <c r="AP222" t="inlineStr">
        <is>
          <t>No</t>
        </is>
      </c>
      <c r="AQ222" t="inlineStr">
        <is>
          <t>Yes</t>
        </is>
      </c>
      <c r="AR222">
        <f>HYPERLINK("http://catalog.hathitrust.org/Record/001400505","HathiTrust Record")</f>
        <v/>
      </c>
      <c r="AS222">
        <f>HYPERLINK("https://creighton-primo.hosted.exlibrisgroup.com/primo-explore/search?tab=default_tab&amp;search_scope=EVERYTHING&amp;vid=01CRU&amp;lang=en_US&amp;offset=0&amp;query=any,contains,991002529049702656","Catalog Record")</f>
        <v/>
      </c>
      <c r="AT222">
        <f>HYPERLINK("http://www.worldcat.org/oclc/366856","WorldCat Record")</f>
        <v/>
      </c>
      <c r="AU222" t="inlineStr">
        <is>
          <t>8908947371:eng</t>
        </is>
      </c>
      <c r="AV222" t="inlineStr">
        <is>
          <t>366856</t>
        </is>
      </c>
      <c r="AW222" t="inlineStr">
        <is>
          <t>991002529049702656</t>
        </is>
      </c>
      <c r="AX222" t="inlineStr">
        <is>
          <t>991002529049702656</t>
        </is>
      </c>
      <c r="AY222" t="inlineStr">
        <is>
          <t>2264546470002656</t>
        </is>
      </c>
      <c r="AZ222" t="inlineStr">
        <is>
          <t>BOOK</t>
        </is>
      </c>
      <c r="BC222" t="inlineStr">
        <is>
          <t>32285000693944</t>
        </is>
      </c>
      <c r="BD222" t="inlineStr">
        <is>
          <t>893773733</t>
        </is>
      </c>
    </row>
    <row r="223">
      <c r="A223" t="inlineStr">
        <is>
          <t>No</t>
        </is>
      </c>
      <c r="B223" t="inlineStr">
        <is>
          <t>BT127.2 .S3313</t>
        </is>
      </c>
      <c r="C223" t="inlineStr">
        <is>
          <t>0                      BT 0127200S  3313</t>
        </is>
      </c>
      <c r="D223" t="inlineStr">
        <is>
          <t>Revelation and theology / by E. Schillebeeckx. Translated by N. D. Smith.</t>
        </is>
      </c>
      <c r="E223" t="inlineStr">
        <is>
          <t>V.2</t>
        </is>
      </c>
      <c r="F223" t="inlineStr">
        <is>
          <t>Yes</t>
        </is>
      </c>
      <c r="G223" t="inlineStr">
        <is>
          <t>1</t>
        </is>
      </c>
      <c r="H223" t="inlineStr">
        <is>
          <t>No</t>
        </is>
      </c>
      <c r="I223" t="inlineStr">
        <is>
          <t>No</t>
        </is>
      </c>
      <c r="J223" t="inlineStr">
        <is>
          <t>0</t>
        </is>
      </c>
      <c r="K223" t="inlineStr">
        <is>
          <t>Schillebeeckx, Edward, 1914-2009.</t>
        </is>
      </c>
      <c r="L223" t="inlineStr">
        <is>
          <t>New York, Sheed and Ward [1967-</t>
        </is>
      </c>
      <c r="M223" t="inlineStr">
        <is>
          <t>1967</t>
        </is>
      </c>
      <c r="O223" t="inlineStr">
        <is>
          <t>eng</t>
        </is>
      </c>
      <c r="P223" t="inlineStr">
        <is>
          <t>nyu</t>
        </is>
      </c>
      <c r="Q223" t="inlineStr">
        <is>
          <t>His Theological soundings</t>
        </is>
      </c>
      <c r="R223" t="inlineStr">
        <is>
          <t xml:space="preserve">BT </t>
        </is>
      </c>
      <c r="S223" t="n">
        <v>0</v>
      </c>
      <c r="T223" t="n">
        <v>7</v>
      </c>
      <c r="V223" t="inlineStr">
        <is>
          <t>2000-11-29</t>
        </is>
      </c>
      <c r="W223" t="inlineStr">
        <is>
          <t>1991-08-02</t>
        </is>
      </c>
      <c r="X223" t="inlineStr">
        <is>
          <t>1991-08-02</t>
        </is>
      </c>
      <c r="Y223" t="n">
        <v>710</v>
      </c>
      <c r="Z223" t="n">
        <v>650</v>
      </c>
      <c r="AA223" t="n">
        <v>656</v>
      </c>
      <c r="AB223" t="n">
        <v>9</v>
      </c>
      <c r="AC223" t="n">
        <v>9</v>
      </c>
      <c r="AD223" t="n">
        <v>49</v>
      </c>
      <c r="AE223" t="n">
        <v>49</v>
      </c>
      <c r="AF223" t="n">
        <v>20</v>
      </c>
      <c r="AG223" t="n">
        <v>20</v>
      </c>
      <c r="AH223" t="n">
        <v>9</v>
      </c>
      <c r="AI223" t="n">
        <v>9</v>
      </c>
      <c r="AJ223" t="n">
        <v>25</v>
      </c>
      <c r="AK223" t="n">
        <v>25</v>
      </c>
      <c r="AL223" t="n">
        <v>7</v>
      </c>
      <c r="AM223" t="n">
        <v>7</v>
      </c>
      <c r="AN223" t="n">
        <v>0</v>
      </c>
      <c r="AO223" t="n">
        <v>0</v>
      </c>
      <c r="AP223" t="inlineStr">
        <is>
          <t>No</t>
        </is>
      </c>
      <c r="AQ223" t="inlineStr">
        <is>
          <t>Yes</t>
        </is>
      </c>
      <c r="AR223">
        <f>HYPERLINK("http://catalog.hathitrust.org/Record/001400505","HathiTrust Record")</f>
        <v/>
      </c>
      <c r="AS223">
        <f>HYPERLINK("https://creighton-primo.hosted.exlibrisgroup.com/primo-explore/search?tab=default_tab&amp;search_scope=EVERYTHING&amp;vid=01CRU&amp;lang=en_US&amp;offset=0&amp;query=any,contains,991002529049702656","Catalog Record")</f>
        <v/>
      </c>
      <c r="AT223">
        <f>HYPERLINK("http://www.worldcat.org/oclc/366856","WorldCat Record")</f>
        <v/>
      </c>
      <c r="AU223" t="inlineStr">
        <is>
          <t>8908947371:eng</t>
        </is>
      </c>
      <c r="AV223" t="inlineStr">
        <is>
          <t>366856</t>
        </is>
      </c>
      <c r="AW223" t="inlineStr">
        <is>
          <t>991002529049702656</t>
        </is>
      </c>
      <c r="AX223" t="inlineStr">
        <is>
          <t>991002529049702656</t>
        </is>
      </c>
      <c r="AY223" t="inlineStr">
        <is>
          <t>2264546470002656</t>
        </is>
      </c>
      <c r="AZ223" t="inlineStr">
        <is>
          <t>BOOK</t>
        </is>
      </c>
      <c r="BC223" t="inlineStr">
        <is>
          <t>32285000693951</t>
        </is>
      </c>
      <c r="BD223" t="inlineStr">
        <is>
          <t>893779919</t>
        </is>
      </c>
    </row>
    <row r="224">
      <c r="A224" t="inlineStr">
        <is>
          <t>No</t>
        </is>
      </c>
      <c r="B224" t="inlineStr">
        <is>
          <t>BT127.2 .S36 1983</t>
        </is>
      </c>
      <c r="C224" t="inlineStr">
        <is>
          <t>0                      BT 0127200S  36          1983</t>
        </is>
      </c>
      <c r="D224" t="inlineStr">
        <is>
          <t>Revelation and its interpretation / Aylward Shorter.</t>
        </is>
      </c>
      <c r="F224" t="inlineStr">
        <is>
          <t>No</t>
        </is>
      </c>
      <c r="G224" t="inlineStr">
        <is>
          <t>1</t>
        </is>
      </c>
      <c r="H224" t="inlineStr">
        <is>
          <t>No</t>
        </is>
      </c>
      <c r="I224" t="inlineStr">
        <is>
          <t>No</t>
        </is>
      </c>
      <c r="J224" t="inlineStr">
        <is>
          <t>0</t>
        </is>
      </c>
      <c r="K224" t="inlineStr">
        <is>
          <t>Shorter, Aylward.</t>
        </is>
      </c>
      <c r="L224" t="inlineStr">
        <is>
          <t>London : Geoffrey Chapman, 1983.</t>
        </is>
      </c>
      <c r="M224" t="inlineStr">
        <is>
          <t>1983</t>
        </is>
      </c>
      <c r="O224" t="inlineStr">
        <is>
          <t>eng</t>
        </is>
      </c>
      <c r="P224" t="inlineStr">
        <is>
          <t>enk</t>
        </is>
      </c>
      <c r="Q224" t="inlineStr">
        <is>
          <t>Introducing Catholic theology ; 1</t>
        </is>
      </c>
      <c r="R224" t="inlineStr">
        <is>
          <t xml:space="preserve">BT </t>
        </is>
      </c>
      <c r="S224" t="n">
        <v>9</v>
      </c>
      <c r="T224" t="n">
        <v>9</v>
      </c>
      <c r="U224" t="inlineStr">
        <is>
          <t>1995-11-03</t>
        </is>
      </c>
      <c r="V224" t="inlineStr">
        <is>
          <t>1995-11-03</t>
        </is>
      </c>
      <c r="W224" t="inlineStr">
        <is>
          <t>1991-08-02</t>
        </is>
      </c>
      <c r="X224" t="inlineStr">
        <is>
          <t>1991-08-02</t>
        </is>
      </c>
      <c r="Y224" t="n">
        <v>235</v>
      </c>
      <c r="Z224" t="n">
        <v>141</v>
      </c>
      <c r="AA224" t="n">
        <v>142</v>
      </c>
      <c r="AB224" t="n">
        <v>2</v>
      </c>
      <c r="AC224" t="n">
        <v>2</v>
      </c>
      <c r="AD224" t="n">
        <v>18</v>
      </c>
      <c r="AE224" t="n">
        <v>18</v>
      </c>
      <c r="AF224" t="n">
        <v>5</v>
      </c>
      <c r="AG224" t="n">
        <v>5</v>
      </c>
      <c r="AH224" t="n">
        <v>5</v>
      </c>
      <c r="AI224" t="n">
        <v>5</v>
      </c>
      <c r="AJ224" t="n">
        <v>14</v>
      </c>
      <c r="AK224" t="n">
        <v>14</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HYPERLINK("https://creighton-primo.hosted.exlibrisgroup.com/primo-explore/search?tab=default_tab&amp;search_scope=EVERYTHING&amp;vid=01CRU&amp;lang=en_US&amp;offset=0&amp;query=any,contains,991000289999702656","Catalog Record")</f>
        <v/>
      </c>
      <c r="AT224">
        <f>HYPERLINK("http://www.worldcat.org/oclc/9954863","WorldCat Record")</f>
        <v/>
      </c>
      <c r="AU224" t="inlineStr">
        <is>
          <t>16121469:eng</t>
        </is>
      </c>
      <c r="AV224" t="inlineStr">
        <is>
          <t>9954863</t>
        </is>
      </c>
      <c r="AW224" t="inlineStr">
        <is>
          <t>991000289999702656</t>
        </is>
      </c>
      <c r="AX224" t="inlineStr">
        <is>
          <t>991000289999702656</t>
        </is>
      </c>
      <c r="AY224" t="inlineStr">
        <is>
          <t>2264547790002656</t>
        </is>
      </c>
      <c r="AZ224" t="inlineStr">
        <is>
          <t>BOOK</t>
        </is>
      </c>
      <c r="BB224" t="inlineStr">
        <is>
          <t>9780225663563</t>
        </is>
      </c>
      <c r="BC224" t="inlineStr">
        <is>
          <t>32285000693977</t>
        </is>
      </c>
      <c r="BD224" t="inlineStr">
        <is>
          <t>893790390</t>
        </is>
      </c>
    </row>
    <row r="225">
      <c r="A225" t="inlineStr">
        <is>
          <t>No</t>
        </is>
      </c>
      <c r="B225" t="inlineStr">
        <is>
          <t>BT127.2 .S85 1992</t>
        </is>
      </c>
      <c r="C225" t="inlineStr">
        <is>
          <t>0                      BT 0127200S  85          1992</t>
        </is>
      </c>
      <c r="D225" t="inlineStr">
        <is>
          <t>Revelation : from metaphor to analogy / Richard Swinburne.</t>
        </is>
      </c>
      <c r="F225" t="inlineStr">
        <is>
          <t>No</t>
        </is>
      </c>
      <c r="G225" t="inlineStr">
        <is>
          <t>1</t>
        </is>
      </c>
      <c r="H225" t="inlineStr">
        <is>
          <t>No</t>
        </is>
      </c>
      <c r="I225" t="inlineStr">
        <is>
          <t>No</t>
        </is>
      </c>
      <c r="J225" t="inlineStr">
        <is>
          <t>0</t>
        </is>
      </c>
      <c r="K225" t="inlineStr">
        <is>
          <t>Swinburne, Richard.</t>
        </is>
      </c>
      <c r="L225" t="inlineStr">
        <is>
          <t>Oxford : Clarendon Press ; New York : Oxford University Press, 1992.</t>
        </is>
      </c>
      <c r="M225" t="inlineStr">
        <is>
          <t>1992</t>
        </is>
      </c>
      <c r="O225" t="inlineStr">
        <is>
          <t>eng</t>
        </is>
      </c>
      <c r="P225" t="inlineStr">
        <is>
          <t>enk</t>
        </is>
      </c>
      <c r="R225" t="inlineStr">
        <is>
          <t xml:space="preserve">BT </t>
        </is>
      </c>
      <c r="S225" t="n">
        <v>6</v>
      </c>
      <c r="T225" t="n">
        <v>6</v>
      </c>
      <c r="U225" t="inlineStr">
        <is>
          <t>1996-04-14</t>
        </is>
      </c>
      <c r="V225" t="inlineStr">
        <is>
          <t>1996-04-14</t>
        </is>
      </c>
      <c r="W225" t="inlineStr">
        <is>
          <t>1992-04-09</t>
        </is>
      </c>
      <c r="X225" t="inlineStr">
        <is>
          <t>1992-04-09</t>
        </is>
      </c>
      <c r="Y225" t="n">
        <v>520</v>
      </c>
      <c r="Z225" t="n">
        <v>372</v>
      </c>
      <c r="AA225" t="n">
        <v>904</v>
      </c>
      <c r="AB225" t="n">
        <v>3</v>
      </c>
      <c r="AC225" t="n">
        <v>5</v>
      </c>
      <c r="AD225" t="n">
        <v>24</v>
      </c>
      <c r="AE225" t="n">
        <v>38</v>
      </c>
      <c r="AF225" t="n">
        <v>11</v>
      </c>
      <c r="AG225" t="n">
        <v>18</v>
      </c>
      <c r="AH225" t="n">
        <v>6</v>
      </c>
      <c r="AI225" t="n">
        <v>9</v>
      </c>
      <c r="AJ225" t="n">
        <v>13</v>
      </c>
      <c r="AK225" t="n">
        <v>18</v>
      </c>
      <c r="AL225" t="n">
        <v>2</v>
      </c>
      <c r="AM225" t="n">
        <v>4</v>
      </c>
      <c r="AN225" t="n">
        <v>0</v>
      </c>
      <c r="AO225" t="n">
        <v>0</v>
      </c>
      <c r="AP225" t="inlineStr">
        <is>
          <t>No</t>
        </is>
      </c>
      <c r="AQ225" t="inlineStr">
        <is>
          <t>Yes</t>
        </is>
      </c>
      <c r="AR225">
        <f>HYPERLINK("http://catalog.hathitrust.org/Record/002518514","HathiTrust Record")</f>
        <v/>
      </c>
      <c r="AS225">
        <f>HYPERLINK("https://creighton-primo.hosted.exlibrisgroup.com/primo-explore/search?tab=default_tab&amp;search_scope=EVERYTHING&amp;vid=01CRU&amp;lang=en_US&amp;offset=0&amp;query=any,contains,991001891539702656","Catalog Record")</f>
        <v/>
      </c>
      <c r="AT225">
        <f>HYPERLINK("http://www.worldcat.org/oclc/23870290","WorldCat Record")</f>
        <v/>
      </c>
      <c r="AU225" t="inlineStr">
        <is>
          <t>25135175:eng</t>
        </is>
      </c>
      <c r="AV225" t="inlineStr">
        <is>
          <t>23870290</t>
        </is>
      </c>
      <c r="AW225" t="inlineStr">
        <is>
          <t>991001891539702656</t>
        </is>
      </c>
      <c r="AX225" t="inlineStr">
        <is>
          <t>991001891539702656</t>
        </is>
      </c>
      <c r="AY225" t="inlineStr">
        <is>
          <t>2265418860002656</t>
        </is>
      </c>
      <c r="AZ225" t="inlineStr">
        <is>
          <t>BOOK</t>
        </is>
      </c>
      <c r="BB225" t="inlineStr">
        <is>
          <t>9780198239680</t>
        </is>
      </c>
      <c r="BC225" t="inlineStr">
        <is>
          <t>32285001009140</t>
        </is>
      </c>
      <c r="BD225" t="inlineStr">
        <is>
          <t>893408437</t>
        </is>
      </c>
    </row>
    <row r="226">
      <c r="A226" t="inlineStr">
        <is>
          <t>No</t>
        </is>
      </c>
      <c r="B226" t="inlineStr">
        <is>
          <t>BT127.2 .T74 1991</t>
        </is>
      </c>
      <c r="C226" t="inlineStr">
        <is>
          <t>0                      BT 0127200T  74          1991</t>
        </is>
      </c>
      <c r="D226" t="inlineStr">
        <is>
          <t>Divine revelation : our moral relation with God / Kern Robert Trembath.</t>
        </is>
      </c>
      <c r="F226" t="inlineStr">
        <is>
          <t>No</t>
        </is>
      </c>
      <c r="G226" t="inlineStr">
        <is>
          <t>1</t>
        </is>
      </c>
      <c r="H226" t="inlineStr">
        <is>
          <t>No</t>
        </is>
      </c>
      <c r="I226" t="inlineStr">
        <is>
          <t>No</t>
        </is>
      </c>
      <c r="J226" t="inlineStr">
        <is>
          <t>0</t>
        </is>
      </c>
      <c r="K226" t="inlineStr">
        <is>
          <t>Trembath, Kern Robert.</t>
        </is>
      </c>
      <c r="L226" t="inlineStr">
        <is>
          <t>New York : Oxford University Press, 1991.</t>
        </is>
      </c>
      <c r="M226" t="inlineStr">
        <is>
          <t>1991</t>
        </is>
      </c>
      <c r="O226" t="inlineStr">
        <is>
          <t>eng</t>
        </is>
      </c>
      <c r="P226" t="inlineStr">
        <is>
          <t>nyu</t>
        </is>
      </c>
      <c r="R226" t="inlineStr">
        <is>
          <t xml:space="preserve">BT </t>
        </is>
      </c>
      <c r="S226" t="n">
        <v>5</v>
      </c>
      <c r="T226" t="n">
        <v>5</v>
      </c>
      <c r="U226" t="inlineStr">
        <is>
          <t>1999-11-11</t>
        </is>
      </c>
      <c r="V226" t="inlineStr">
        <is>
          <t>1999-11-11</t>
        </is>
      </c>
      <c r="W226" t="inlineStr">
        <is>
          <t>1992-04-09</t>
        </is>
      </c>
      <c r="X226" t="inlineStr">
        <is>
          <t>1992-04-09</t>
        </is>
      </c>
      <c r="Y226" t="n">
        <v>258</v>
      </c>
      <c r="Z226" t="n">
        <v>209</v>
      </c>
      <c r="AA226" t="n">
        <v>217</v>
      </c>
      <c r="AB226" t="n">
        <v>2</v>
      </c>
      <c r="AC226" t="n">
        <v>2</v>
      </c>
      <c r="AD226" t="n">
        <v>16</v>
      </c>
      <c r="AE226" t="n">
        <v>16</v>
      </c>
      <c r="AF226" t="n">
        <v>3</v>
      </c>
      <c r="AG226" t="n">
        <v>3</v>
      </c>
      <c r="AH226" t="n">
        <v>4</v>
      </c>
      <c r="AI226" t="n">
        <v>4</v>
      </c>
      <c r="AJ226" t="n">
        <v>11</v>
      </c>
      <c r="AK226" t="n">
        <v>11</v>
      </c>
      <c r="AL226" t="n">
        <v>1</v>
      </c>
      <c r="AM226" t="n">
        <v>1</v>
      </c>
      <c r="AN226" t="n">
        <v>0</v>
      </c>
      <c r="AO226" t="n">
        <v>0</v>
      </c>
      <c r="AP226" t="inlineStr">
        <is>
          <t>No</t>
        </is>
      </c>
      <c r="AQ226" t="inlineStr">
        <is>
          <t>Yes</t>
        </is>
      </c>
      <c r="AR226">
        <f>HYPERLINK("http://catalog.hathitrust.org/Record/002490636","HathiTrust Record")</f>
        <v/>
      </c>
      <c r="AS226">
        <f>HYPERLINK("https://creighton-primo.hosted.exlibrisgroup.com/primo-explore/search?tab=default_tab&amp;search_scope=EVERYTHING&amp;vid=01CRU&amp;lang=en_US&amp;offset=0&amp;query=any,contains,991001809129702656","Catalog Record")</f>
        <v/>
      </c>
      <c r="AT226">
        <f>HYPERLINK("http://www.worldcat.org/oclc/22731931","WorldCat Record")</f>
        <v/>
      </c>
      <c r="AU226" t="inlineStr">
        <is>
          <t>422944522:eng</t>
        </is>
      </c>
      <c r="AV226" t="inlineStr">
        <is>
          <t>22731931</t>
        </is>
      </c>
      <c r="AW226" t="inlineStr">
        <is>
          <t>991001809129702656</t>
        </is>
      </c>
      <c r="AX226" t="inlineStr">
        <is>
          <t>991001809129702656</t>
        </is>
      </c>
      <c r="AY226" t="inlineStr">
        <is>
          <t>2268805320002656</t>
        </is>
      </c>
      <c r="AZ226" t="inlineStr">
        <is>
          <t>BOOK</t>
        </is>
      </c>
      <c r="BB226" t="inlineStr">
        <is>
          <t>9780195069372</t>
        </is>
      </c>
      <c r="BC226" t="inlineStr">
        <is>
          <t>32285001009264</t>
        </is>
      </c>
      <c r="BD226" t="inlineStr">
        <is>
          <t>893791729</t>
        </is>
      </c>
    </row>
    <row r="227">
      <c r="A227" t="inlineStr">
        <is>
          <t>No</t>
        </is>
      </c>
      <c r="B227" t="inlineStr">
        <is>
          <t>BT127.A3 G37</t>
        </is>
      </c>
      <c r="C227" t="inlineStr">
        <is>
          <t>0                      BT 0127000A  3                  G  37</t>
        </is>
      </c>
      <c r="D227" t="inlineStr">
        <is>
          <t>De revelatione per Ecclesiam catholicam proposita / auctore Reg. Garrigou-Lagrange.</t>
        </is>
      </c>
      <c r="E227" t="inlineStr">
        <is>
          <t>V.1</t>
        </is>
      </c>
      <c r="F227" t="inlineStr">
        <is>
          <t>Yes</t>
        </is>
      </c>
      <c r="G227" t="inlineStr">
        <is>
          <t>1</t>
        </is>
      </c>
      <c r="H227" t="inlineStr">
        <is>
          <t>No</t>
        </is>
      </c>
      <c r="I227" t="inlineStr">
        <is>
          <t>No</t>
        </is>
      </c>
      <c r="J227" t="inlineStr">
        <is>
          <t>0</t>
        </is>
      </c>
      <c r="K227" t="inlineStr">
        <is>
          <t>Garrigou-Lagrange, Réginald, 1877-1964.</t>
        </is>
      </c>
      <c r="L227" t="inlineStr">
        <is>
          <t>Romae, Desclée, 1950.</t>
        </is>
      </c>
      <c r="M227" t="inlineStr">
        <is>
          <t>1950</t>
        </is>
      </c>
      <c r="N227" t="inlineStr">
        <is>
          <t>5. ed. emendata operis integri.</t>
        </is>
      </c>
      <c r="O227" t="inlineStr">
        <is>
          <t>lat</t>
        </is>
      </c>
      <c r="P227" t="inlineStr">
        <is>
          <t xml:space="preserve">it </t>
        </is>
      </c>
      <c r="R227" t="inlineStr">
        <is>
          <t xml:space="preserve">BT </t>
        </is>
      </c>
      <c r="S227" t="n">
        <v>1</v>
      </c>
      <c r="T227" t="n">
        <v>2</v>
      </c>
      <c r="U227" t="inlineStr">
        <is>
          <t>2003-04-09</t>
        </is>
      </c>
      <c r="V227" t="inlineStr">
        <is>
          <t>2003-04-09</t>
        </is>
      </c>
      <c r="W227" t="inlineStr">
        <is>
          <t>1997-09-26</t>
        </is>
      </c>
      <c r="X227" t="inlineStr">
        <is>
          <t>1997-09-26</t>
        </is>
      </c>
      <c r="Y227" t="n">
        <v>21</v>
      </c>
      <c r="Z227" t="n">
        <v>20</v>
      </c>
      <c r="AA227" t="n">
        <v>83</v>
      </c>
      <c r="AB227" t="n">
        <v>1</v>
      </c>
      <c r="AC227" t="n">
        <v>3</v>
      </c>
      <c r="AD227" t="n">
        <v>3</v>
      </c>
      <c r="AE227" t="n">
        <v>14</v>
      </c>
      <c r="AF227" t="n">
        <v>0</v>
      </c>
      <c r="AG227" t="n">
        <v>2</v>
      </c>
      <c r="AH227" t="n">
        <v>2</v>
      </c>
      <c r="AI227" t="n">
        <v>6</v>
      </c>
      <c r="AJ227" t="n">
        <v>2</v>
      </c>
      <c r="AK227" t="n">
        <v>10</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HYPERLINK("https://creighton-primo.hosted.exlibrisgroup.com/primo-explore/search?tab=default_tab&amp;search_scope=EVERYTHING&amp;vid=01CRU&amp;lang=en_US&amp;offset=0&amp;query=any,contains,991000523599702656","Catalog Record")</f>
        <v/>
      </c>
      <c r="AT227">
        <f>HYPERLINK("http://www.worldcat.org/oclc/11349762","WorldCat Record")</f>
        <v/>
      </c>
      <c r="AU227" t="inlineStr">
        <is>
          <t>4066051293:lat</t>
        </is>
      </c>
      <c r="AV227" t="inlineStr">
        <is>
          <t>11349762</t>
        </is>
      </c>
      <c r="AW227" t="inlineStr">
        <is>
          <t>991000523599702656</t>
        </is>
      </c>
      <c r="AX227" t="inlineStr">
        <is>
          <t>991000523599702656</t>
        </is>
      </c>
      <c r="AY227" t="inlineStr">
        <is>
          <t>2264786550002656</t>
        </is>
      </c>
      <c r="AZ227" t="inlineStr">
        <is>
          <t>BOOK</t>
        </is>
      </c>
      <c r="BC227" t="inlineStr">
        <is>
          <t>32285000693720</t>
        </is>
      </c>
      <c r="BD227" t="inlineStr">
        <is>
          <t>893695905</t>
        </is>
      </c>
    </row>
    <row r="228">
      <c r="A228" t="inlineStr">
        <is>
          <t>No</t>
        </is>
      </c>
      <c r="B228" t="inlineStr">
        <is>
          <t>BT127.A3 G37</t>
        </is>
      </c>
      <c r="C228" t="inlineStr">
        <is>
          <t>0                      BT 0127000A  3                  G  37</t>
        </is>
      </c>
      <c r="D228" t="inlineStr">
        <is>
          <t>De revelatione per Ecclesiam catholicam proposita / auctore Reg. Garrigou-Lagrange.</t>
        </is>
      </c>
      <c r="E228" t="inlineStr">
        <is>
          <t>V.2</t>
        </is>
      </c>
      <c r="F228" t="inlineStr">
        <is>
          <t>Yes</t>
        </is>
      </c>
      <c r="G228" t="inlineStr">
        <is>
          <t>1</t>
        </is>
      </c>
      <c r="H228" t="inlineStr">
        <is>
          <t>No</t>
        </is>
      </c>
      <c r="I228" t="inlineStr">
        <is>
          <t>No</t>
        </is>
      </c>
      <c r="J228" t="inlineStr">
        <is>
          <t>0</t>
        </is>
      </c>
      <c r="K228" t="inlineStr">
        <is>
          <t>Garrigou-Lagrange, Réginald, 1877-1964.</t>
        </is>
      </c>
      <c r="L228" t="inlineStr">
        <is>
          <t>Romae, Desclée, 1950.</t>
        </is>
      </c>
      <c r="M228" t="inlineStr">
        <is>
          <t>1950</t>
        </is>
      </c>
      <c r="N228" t="inlineStr">
        <is>
          <t>5. ed. emendata operis integri.</t>
        </is>
      </c>
      <c r="O228" t="inlineStr">
        <is>
          <t>lat</t>
        </is>
      </c>
      <c r="P228" t="inlineStr">
        <is>
          <t xml:space="preserve">it </t>
        </is>
      </c>
      <c r="R228" t="inlineStr">
        <is>
          <t xml:space="preserve">BT </t>
        </is>
      </c>
      <c r="S228" t="n">
        <v>1</v>
      </c>
      <c r="T228" t="n">
        <v>2</v>
      </c>
      <c r="U228" t="inlineStr">
        <is>
          <t>2003-04-09</t>
        </is>
      </c>
      <c r="V228" t="inlineStr">
        <is>
          <t>2003-04-09</t>
        </is>
      </c>
      <c r="W228" t="inlineStr">
        <is>
          <t>1997-09-26</t>
        </is>
      </c>
      <c r="X228" t="inlineStr">
        <is>
          <t>1997-09-26</t>
        </is>
      </c>
      <c r="Y228" t="n">
        <v>21</v>
      </c>
      <c r="Z228" t="n">
        <v>20</v>
      </c>
      <c r="AA228" t="n">
        <v>83</v>
      </c>
      <c r="AB228" t="n">
        <v>1</v>
      </c>
      <c r="AC228" t="n">
        <v>3</v>
      </c>
      <c r="AD228" t="n">
        <v>3</v>
      </c>
      <c r="AE228" t="n">
        <v>14</v>
      </c>
      <c r="AF228" t="n">
        <v>0</v>
      </c>
      <c r="AG228" t="n">
        <v>2</v>
      </c>
      <c r="AH228" t="n">
        <v>2</v>
      </c>
      <c r="AI228" t="n">
        <v>6</v>
      </c>
      <c r="AJ228" t="n">
        <v>2</v>
      </c>
      <c r="AK228" t="n">
        <v>10</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HYPERLINK("https://creighton-primo.hosted.exlibrisgroup.com/primo-explore/search?tab=default_tab&amp;search_scope=EVERYTHING&amp;vid=01CRU&amp;lang=en_US&amp;offset=0&amp;query=any,contains,991000523599702656","Catalog Record")</f>
        <v/>
      </c>
      <c r="AT228">
        <f>HYPERLINK("http://www.worldcat.org/oclc/11349762","WorldCat Record")</f>
        <v/>
      </c>
      <c r="AU228" t="inlineStr">
        <is>
          <t>4066051293:lat</t>
        </is>
      </c>
      <c r="AV228" t="inlineStr">
        <is>
          <t>11349762</t>
        </is>
      </c>
      <c r="AW228" t="inlineStr">
        <is>
          <t>991000523599702656</t>
        </is>
      </c>
      <c r="AX228" t="inlineStr">
        <is>
          <t>991000523599702656</t>
        </is>
      </c>
      <c r="AY228" t="inlineStr">
        <is>
          <t>2264786550002656</t>
        </is>
      </c>
      <c r="AZ228" t="inlineStr">
        <is>
          <t>BOOK</t>
        </is>
      </c>
      <c r="BC228" t="inlineStr">
        <is>
          <t>32285000693738</t>
        </is>
      </c>
      <c r="BD228" t="inlineStr">
        <is>
          <t>893714661</t>
        </is>
      </c>
    </row>
    <row r="229">
      <c r="A229" t="inlineStr">
        <is>
          <t>No</t>
        </is>
      </c>
      <c r="B229" t="inlineStr">
        <is>
          <t>BT128 .K8</t>
        </is>
      </c>
      <c r="C229" t="inlineStr">
        <is>
          <t>0                      BT 0128000K  8</t>
        </is>
      </c>
      <c r="D229" t="inlineStr">
        <is>
          <t>The self-revelation of God / by J. Kenneth Kuntz.</t>
        </is>
      </c>
      <c r="F229" t="inlineStr">
        <is>
          <t>No</t>
        </is>
      </c>
      <c r="G229" t="inlineStr">
        <is>
          <t>1</t>
        </is>
      </c>
      <c r="H229" t="inlineStr">
        <is>
          <t>No</t>
        </is>
      </c>
      <c r="I229" t="inlineStr">
        <is>
          <t>No</t>
        </is>
      </c>
      <c r="J229" t="inlineStr">
        <is>
          <t>0</t>
        </is>
      </c>
      <c r="K229" t="inlineStr">
        <is>
          <t>Kuntz, J. Kenneth (John Kenneth)</t>
        </is>
      </c>
      <c r="L229" t="inlineStr">
        <is>
          <t>Philadelphia, Westminster Press [1967]</t>
        </is>
      </c>
      <c r="M229" t="inlineStr">
        <is>
          <t>1967</t>
        </is>
      </c>
      <c r="O229" t="inlineStr">
        <is>
          <t>eng</t>
        </is>
      </c>
      <c r="P229" t="inlineStr">
        <is>
          <t>pau</t>
        </is>
      </c>
      <c r="R229" t="inlineStr">
        <is>
          <t xml:space="preserve">BT </t>
        </is>
      </c>
      <c r="S229" t="n">
        <v>4</v>
      </c>
      <c r="T229" t="n">
        <v>4</v>
      </c>
      <c r="U229" t="inlineStr">
        <is>
          <t>2005-09-08</t>
        </is>
      </c>
      <c r="V229" t="inlineStr">
        <is>
          <t>2005-09-08</t>
        </is>
      </c>
      <c r="W229" t="inlineStr">
        <is>
          <t>1991-08-02</t>
        </is>
      </c>
      <c r="X229" t="inlineStr">
        <is>
          <t>1991-08-02</t>
        </is>
      </c>
      <c r="Y229" t="n">
        <v>387</v>
      </c>
      <c r="Z229" t="n">
        <v>334</v>
      </c>
      <c r="AA229" t="n">
        <v>334</v>
      </c>
      <c r="AB229" t="n">
        <v>6</v>
      </c>
      <c r="AC229" t="n">
        <v>6</v>
      </c>
      <c r="AD229" t="n">
        <v>20</v>
      </c>
      <c r="AE229" t="n">
        <v>20</v>
      </c>
      <c r="AF229" t="n">
        <v>4</v>
      </c>
      <c r="AG229" t="n">
        <v>4</v>
      </c>
      <c r="AH229" t="n">
        <v>5</v>
      </c>
      <c r="AI229" t="n">
        <v>5</v>
      </c>
      <c r="AJ229" t="n">
        <v>11</v>
      </c>
      <c r="AK229" t="n">
        <v>11</v>
      </c>
      <c r="AL229" t="n">
        <v>5</v>
      </c>
      <c r="AM229" t="n">
        <v>5</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HYPERLINK("https://creighton-primo.hosted.exlibrisgroup.com/primo-explore/search?tab=default_tab&amp;search_scope=EVERYTHING&amp;vid=01CRU&amp;lang=en_US&amp;offset=0&amp;query=any,contains,991003559449702656","Catalog Record")</f>
        <v/>
      </c>
      <c r="AT229">
        <f>HYPERLINK("http://www.worldcat.org/oclc/1129655","WorldCat Record")</f>
        <v/>
      </c>
      <c r="AU229" t="inlineStr">
        <is>
          <t>422819689:eng</t>
        </is>
      </c>
      <c r="AV229" t="inlineStr">
        <is>
          <t>1129655</t>
        </is>
      </c>
      <c r="AW229" t="inlineStr">
        <is>
          <t>991003559449702656</t>
        </is>
      </c>
      <c r="AX229" t="inlineStr">
        <is>
          <t>991003559449702656</t>
        </is>
      </c>
      <c r="AY229" t="inlineStr">
        <is>
          <t>2272406640002656</t>
        </is>
      </c>
      <c r="AZ229" t="inlineStr">
        <is>
          <t>BOOK</t>
        </is>
      </c>
      <c r="BC229" t="inlineStr">
        <is>
          <t>32285000694009</t>
        </is>
      </c>
      <c r="BD229" t="inlineStr">
        <is>
          <t>893531297</t>
        </is>
      </c>
    </row>
    <row r="230">
      <c r="A230" t="inlineStr">
        <is>
          <t>No</t>
        </is>
      </c>
      <c r="B230" t="inlineStr">
        <is>
          <t>BT1315 .C62 1945</t>
        </is>
      </c>
      <c r="C230" t="inlineStr">
        <is>
          <t>0                      BT 1315000C  62          1945</t>
        </is>
      </c>
      <c r="D230" t="inlineStr">
        <is>
          <t>A handbook of heresies / M.L. Cozens.</t>
        </is>
      </c>
      <c r="F230" t="inlineStr">
        <is>
          <t>No</t>
        </is>
      </c>
      <c r="G230" t="inlineStr">
        <is>
          <t>1</t>
        </is>
      </c>
      <c r="H230" t="inlineStr">
        <is>
          <t>No</t>
        </is>
      </c>
      <c r="I230" t="inlineStr">
        <is>
          <t>No</t>
        </is>
      </c>
      <c r="J230" t="inlineStr">
        <is>
          <t>0</t>
        </is>
      </c>
      <c r="K230" t="inlineStr">
        <is>
          <t>Cozens, M. L.</t>
        </is>
      </c>
      <c r="L230" t="inlineStr">
        <is>
          <t>London : Sheed and Ward, 1945.</t>
        </is>
      </c>
      <c r="M230" t="inlineStr">
        <is>
          <t>1945</t>
        </is>
      </c>
      <c r="O230" t="inlineStr">
        <is>
          <t>eng</t>
        </is>
      </c>
      <c r="P230" t="inlineStr">
        <is>
          <t>enk</t>
        </is>
      </c>
      <c r="R230" t="inlineStr">
        <is>
          <t xml:space="preserve">BT </t>
        </is>
      </c>
      <c r="S230" t="n">
        <v>4</v>
      </c>
      <c r="T230" t="n">
        <v>4</v>
      </c>
      <c r="U230" t="inlineStr">
        <is>
          <t>2003-10-15</t>
        </is>
      </c>
      <c r="V230" t="inlineStr">
        <is>
          <t>2003-10-15</t>
        </is>
      </c>
      <c r="W230" t="inlineStr">
        <is>
          <t>1991-11-05</t>
        </is>
      </c>
      <c r="X230" t="inlineStr">
        <is>
          <t>1991-11-05</t>
        </is>
      </c>
      <c r="Y230" t="n">
        <v>20</v>
      </c>
      <c r="Z230" t="n">
        <v>18</v>
      </c>
      <c r="AA230" t="n">
        <v>260</v>
      </c>
      <c r="AB230" t="n">
        <v>1</v>
      </c>
      <c r="AC230" t="n">
        <v>2</v>
      </c>
      <c r="AD230" t="n">
        <v>0</v>
      </c>
      <c r="AE230" t="n">
        <v>28</v>
      </c>
      <c r="AF230" t="n">
        <v>0</v>
      </c>
      <c r="AG230" t="n">
        <v>8</v>
      </c>
      <c r="AH230" t="n">
        <v>0</v>
      </c>
      <c r="AI230" t="n">
        <v>9</v>
      </c>
      <c r="AJ230" t="n">
        <v>0</v>
      </c>
      <c r="AK230" t="n">
        <v>21</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HYPERLINK("https://creighton-primo.hosted.exlibrisgroup.com/primo-explore/search?tab=default_tab&amp;search_scope=EVERYTHING&amp;vid=01CRU&amp;lang=en_US&amp;offset=0&amp;query=any,contains,991005062099702656","Catalog Record")</f>
        <v/>
      </c>
      <c r="AT230">
        <f>HYPERLINK("http://www.worldcat.org/oclc/6927205","WorldCat Record")</f>
        <v/>
      </c>
      <c r="AU230" t="inlineStr">
        <is>
          <t>2080816:eng</t>
        </is>
      </c>
      <c r="AV230" t="inlineStr">
        <is>
          <t>6927205</t>
        </is>
      </c>
      <c r="AW230" t="inlineStr">
        <is>
          <t>991005062099702656</t>
        </is>
      </c>
      <c r="AX230" t="inlineStr">
        <is>
          <t>991005062099702656</t>
        </is>
      </c>
      <c r="AY230" t="inlineStr">
        <is>
          <t>2272178640002656</t>
        </is>
      </c>
      <c r="AZ230" t="inlineStr">
        <is>
          <t>BOOK</t>
        </is>
      </c>
      <c r="BC230" t="inlineStr">
        <is>
          <t>32285000808955</t>
        </is>
      </c>
      <c r="BD230" t="inlineStr">
        <is>
          <t>893353666</t>
        </is>
      </c>
    </row>
    <row r="231">
      <c r="A231" t="inlineStr">
        <is>
          <t>No</t>
        </is>
      </c>
      <c r="B231" t="inlineStr">
        <is>
          <t>BT1315 .M37</t>
        </is>
      </c>
      <c r="C231" t="inlineStr">
        <is>
          <t>0                      BT 1315000M  37</t>
        </is>
      </c>
      <c r="D231" t="inlineStr">
        <is>
          <t>The triumph of the church : accompanied by an historical chart / compiled by Rev. John P. Markoe.</t>
        </is>
      </c>
      <c r="F231" t="inlineStr">
        <is>
          <t>No</t>
        </is>
      </c>
      <c r="G231" t="inlineStr">
        <is>
          <t>1</t>
        </is>
      </c>
      <c r="H231" t="inlineStr">
        <is>
          <t>No</t>
        </is>
      </c>
      <c r="I231" t="inlineStr">
        <is>
          <t>No</t>
        </is>
      </c>
      <c r="J231" t="inlineStr">
        <is>
          <t>0</t>
        </is>
      </c>
      <c r="K231" t="inlineStr">
        <is>
          <t>Markoe, John P.</t>
        </is>
      </c>
      <c r="L231" t="inlineStr">
        <is>
          <t>New York : Catholic Information Society, 1926.</t>
        </is>
      </c>
      <c r="M231" t="inlineStr">
        <is>
          <t>1926</t>
        </is>
      </c>
      <c r="O231" t="inlineStr">
        <is>
          <t>eng</t>
        </is>
      </c>
      <c r="P231" t="inlineStr">
        <is>
          <t>nyu</t>
        </is>
      </c>
      <c r="R231" t="inlineStr">
        <is>
          <t xml:space="preserve">BT </t>
        </is>
      </c>
      <c r="S231" t="n">
        <v>3</v>
      </c>
      <c r="T231" t="n">
        <v>3</v>
      </c>
      <c r="U231" t="inlineStr">
        <is>
          <t>2007-03-12</t>
        </is>
      </c>
      <c r="V231" t="inlineStr">
        <is>
          <t>2007-03-12</t>
        </is>
      </c>
      <c r="W231" t="inlineStr">
        <is>
          <t>1991-11-05</t>
        </is>
      </c>
      <c r="X231" t="inlineStr">
        <is>
          <t>1991-11-05</t>
        </is>
      </c>
      <c r="Y231" t="n">
        <v>10</v>
      </c>
      <c r="Z231" t="n">
        <v>10</v>
      </c>
      <c r="AA231" t="n">
        <v>42</v>
      </c>
      <c r="AB231" t="n">
        <v>1</v>
      </c>
      <c r="AC231" t="n">
        <v>1</v>
      </c>
      <c r="AD231" t="n">
        <v>0</v>
      </c>
      <c r="AE231" t="n">
        <v>8</v>
      </c>
      <c r="AF231" t="n">
        <v>0</v>
      </c>
      <c r="AG231" t="n">
        <v>1</v>
      </c>
      <c r="AH231" t="n">
        <v>0</v>
      </c>
      <c r="AI231" t="n">
        <v>3</v>
      </c>
      <c r="AJ231" t="n">
        <v>0</v>
      </c>
      <c r="AK231" t="n">
        <v>5</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HYPERLINK("https://creighton-primo.hosted.exlibrisgroup.com/primo-explore/search?tab=default_tab&amp;search_scope=EVERYTHING&amp;vid=01CRU&amp;lang=en_US&amp;offset=0&amp;query=any,contains,991000296229702656","Catalog Record")</f>
        <v/>
      </c>
      <c r="AT231">
        <f>HYPERLINK("http://www.worldcat.org/oclc/10009474","WorldCat Record")</f>
        <v/>
      </c>
      <c r="AU231" t="inlineStr">
        <is>
          <t>866629379:eng</t>
        </is>
      </c>
      <c r="AV231" t="inlineStr">
        <is>
          <t>10009474</t>
        </is>
      </c>
      <c r="AW231" t="inlineStr">
        <is>
          <t>991000296229702656</t>
        </is>
      </c>
      <c r="AX231" t="inlineStr">
        <is>
          <t>991000296229702656</t>
        </is>
      </c>
      <c r="AY231" t="inlineStr">
        <is>
          <t>2256464630002656</t>
        </is>
      </c>
      <c r="AZ231" t="inlineStr">
        <is>
          <t>BOOK</t>
        </is>
      </c>
      <c r="BC231" t="inlineStr">
        <is>
          <t>32285000808963</t>
        </is>
      </c>
      <c r="BD231" t="inlineStr">
        <is>
          <t>893314820</t>
        </is>
      </c>
    </row>
    <row r="232">
      <c r="A232" t="inlineStr">
        <is>
          <t>No</t>
        </is>
      </c>
      <c r="B232" t="inlineStr">
        <is>
          <t>BT1315.2 .B76 1984</t>
        </is>
      </c>
      <c r="C232" t="inlineStr">
        <is>
          <t>0                      BT 1315200B  76          1984</t>
        </is>
      </c>
      <c r="D232" t="inlineStr">
        <is>
          <t>Heresies : the image of Christ in the mirror of heresy and orthodoxy from the apostles to the present / Harold O.J. Brown.</t>
        </is>
      </c>
      <c r="F232" t="inlineStr">
        <is>
          <t>No</t>
        </is>
      </c>
      <c r="G232" t="inlineStr">
        <is>
          <t>1</t>
        </is>
      </c>
      <c r="H232" t="inlineStr">
        <is>
          <t>No</t>
        </is>
      </c>
      <c r="I232" t="inlineStr">
        <is>
          <t>No</t>
        </is>
      </c>
      <c r="J232" t="inlineStr">
        <is>
          <t>0</t>
        </is>
      </c>
      <c r="K232" t="inlineStr">
        <is>
          <t>Brown, Harold O. J., 1933-</t>
        </is>
      </c>
      <c r="L232" t="inlineStr">
        <is>
          <t>Garden City, N.Y. : Doubleday, 1984.</t>
        </is>
      </c>
      <c r="M232" t="inlineStr">
        <is>
          <t>1984</t>
        </is>
      </c>
      <c r="N232" t="inlineStr">
        <is>
          <t>1st ed.</t>
        </is>
      </c>
      <c r="O232" t="inlineStr">
        <is>
          <t>eng</t>
        </is>
      </c>
      <c r="P232" t="inlineStr">
        <is>
          <t>nyu</t>
        </is>
      </c>
      <c r="R232" t="inlineStr">
        <is>
          <t xml:space="preserve">BT </t>
        </is>
      </c>
      <c r="S232" t="n">
        <v>9</v>
      </c>
      <c r="T232" t="n">
        <v>9</v>
      </c>
      <c r="U232" t="inlineStr">
        <is>
          <t>2009-12-16</t>
        </is>
      </c>
      <c r="V232" t="inlineStr">
        <is>
          <t>2009-12-16</t>
        </is>
      </c>
      <c r="W232" t="inlineStr">
        <is>
          <t>1990-08-08</t>
        </is>
      </c>
      <c r="X232" t="inlineStr">
        <is>
          <t>1990-08-08</t>
        </is>
      </c>
      <c r="Y232" t="n">
        <v>521</v>
      </c>
      <c r="Z232" t="n">
        <v>452</v>
      </c>
      <c r="AA232" t="n">
        <v>506</v>
      </c>
      <c r="AB232" t="n">
        <v>4</v>
      </c>
      <c r="AC232" t="n">
        <v>4</v>
      </c>
      <c r="AD232" t="n">
        <v>17</v>
      </c>
      <c r="AE232" t="n">
        <v>19</v>
      </c>
      <c r="AF232" t="n">
        <v>4</v>
      </c>
      <c r="AG232" t="n">
        <v>5</v>
      </c>
      <c r="AH232" t="n">
        <v>2</v>
      </c>
      <c r="AI232" t="n">
        <v>2</v>
      </c>
      <c r="AJ232" t="n">
        <v>11</v>
      </c>
      <c r="AK232" t="n">
        <v>12</v>
      </c>
      <c r="AL232" t="n">
        <v>3</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HYPERLINK("https://creighton-primo.hosted.exlibrisgroup.com/primo-explore/search?tab=default_tab&amp;search_scope=EVERYTHING&amp;vid=01CRU&amp;lang=en_US&amp;offset=0&amp;query=any,contains,991000158219702656","Catalog Record")</f>
        <v/>
      </c>
      <c r="AT232">
        <f>HYPERLINK("http://www.worldcat.org/oclc/9254884","WorldCat Record")</f>
        <v/>
      </c>
      <c r="AU232" t="inlineStr">
        <is>
          <t>3856151750:eng</t>
        </is>
      </c>
      <c r="AV232" t="inlineStr">
        <is>
          <t>9254884</t>
        </is>
      </c>
      <c r="AW232" t="inlineStr">
        <is>
          <t>991000158219702656</t>
        </is>
      </c>
      <c r="AX232" t="inlineStr">
        <is>
          <t>991000158219702656</t>
        </is>
      </c>
      <c r="AY232" t="inlineStr">
        <is>
          <t>2258835620002656</t>
        </is>
      </c>
      <c r="AZ232" t="inlineStr">
        <is>
          <t>BOOK</t>
        </is>
      </c>
      <c r="BB232" t="inlineStr">
        <is>
          <t>9780385153386</t>
        </is>
      </c>
      <c r="BC232" t="inlineStr">
        <is>
          <t>32285000269703</t>
        </is>
      </c>
      <c r="BD232" t="inlineStr">
        <is>
          <t>893444228</t>
        </is>
      </c>
    </row>
    <row r="233">
      <c r="A233" t="inlineStr">
        <is>
          <t>No</t>
        </is>
      </c>
      <c r="B233" t="inlineStr">
        <is>
          <t>BT1315.2 .R313</t>
        </is>
      </c>
      <c r="C233" t="inlineStr">
        <is>
          <t>0                      BT 1315200R  313</t>
        </is>
      </c>
      <c r="D233" t="inlineStr">
        <is>
          <t>On heresy / Karl Rahner ; [translated by W. J. O'Hara].</t>
        </is>
      </c>
      <c r="F233" t="inlineStr">
        <is>
          <t>No</t>
        </is>
      </c>
      <c r="G233" t="inlineStr">
        <is>
          <t>1</t>
        </is>
      </c>
      <c r="H233" t="inlineStr">
        <is>
          <t>No</t>
        </is>
      </c>
      <c r="I233" t="inlineStr">
        <is>
          <t>No</t>
        </is>
      </c>
      <c r="J233" t="inlineStr">
        <is>
          <t>0</t>
        </is>
      </c>
      <c r="K233" t="inlineStr">
        <is>
          <t>Rahner, Karl, 1904-1984.</t>
        </is>
      </c>
      <c r="L233" t="inlineStr">
        <is>
          <t>New York : Herder and Herder, 1964.</t>
        </is>
      </c>
      <c r="M233" t="inlineStr">
        <is>
          <t>1964</t>
        </is>
      </c>
      <c r="O233" t="inlineStr">
        <is>
          <t>eng</t>
        </is>
      </c>
      <c r="P233" t="inlineStr">
        <is>
          <t>nyu</t>
        </is>
      </c>
      <c r="Q233" t="inlineStr">
        <is>
          <t>Quaestiones disputatae ; 11</t>
        </is>
      </c>
      <c r="R233" t="inlineStr">
        <is>
          <t xml:space="preserve">BT </t>
        </is>
      </c>
      <c r="S233" t="n">
        <v>9</v>
      </c>
      <c r="T233" t="n">
        <v>9</v>
      </c>
      <c r="U233" t="inlineStr">
        <is>
          <t>2002-09-15</t>
        </is>
      </c>
      <c r="V233" t="inlineStr">
        <is>
          <t>2002-09-15</t>
        </is>
      </c>
      <c r="W233" t="inlineStr">
        <is>
          <t>1990-08-08</t>
        </is>
      </c>
      <c r="X233" t="inlineStr">
        <is>
          <t>1990-08-08</t>
        </is>
      </c>
      <c r="Y233" t="n">
        <v>154</v>
      </c>
      <c r="Z233" t="n">
        <v>143</v>
      </c>
      <c r="AA233" t="n">
        <v>360</v>
      </c>
      <c r="AB233" t="n">
        <v>2</v>
      </c>
      <c r="AC233" t="n">
        <v>4</v>
      </c>
      <c r="AD233" t="n">
        <v>12</v>
      </c>
      <c r="AE233" t="n">
        <v>36</v>
      </c>
      <c r="AF233" t="n">
        <v>4</v>
      </c>
      <c r="AG233" t="n">
        <v>12</v>
      </c>
      <c r="AH233" t="n">
        <v>4</v>
      </c>
      <c r="AI233" t="n">
        <v>9</v>
      </c>
      <c r="AJ233" t="n">
        <v>9</v>
      </c>
      <c r="AK233" t="n">
        <v>26</v>
      </c>
      <c r="AL233" t="n">
        <v>0</v>
      </c>
      <c r="AM233" t="n">
        <v>1</v>
      </c>
      <c r="AN233" t="n">
        <v>0</v>
      </c>
      <c r="AO233" t="n">
        <v>0</v>
      </c>
      <c r="AP233" t="inlineStr">
        <is>
          <t>No</t>
        </is>
      </c>
      <c r="AQ233" t="inlineStr">
        <is>
          <t>Yes</t>
        </is>
      </c>
      <c r="AR233">
        <f>HYPERLINK("http://catalog.hathitrust.org/Record/102622509","HathiTrust Record")</f>
        <v/>
      </c>
      <c r="AS233">
        <f>HYPERLINK("https://creighton-primo.hosted.exlibrisgroup.com/primo-explore/search?tab=default_tab&amp;search_scope=EVERYTHING&amp;vid=01CRU&amp;lang=en_US&amp;offset=0&amp;query=any,contains,991005071239702656","Catalog Record")</f>
        <v/>
      </c>
      <c r="AT233">
        <f>HYPERLINK("http://www.worldcat.org/oclc/7026079","WorldCat Record")</f>
        <v/>
      </c>
      <c r="AU233" t="inlineStr">
        <is>
          <t>148405499:eng</t>
        </is>
      </c>
      <c r="AV233" t="inlineStr">
        <is>
          <t>7026079</t>
        </is>
      </c>
      <c r="AW233" t="inlineStr">
        <is>
          <t>991005071239702656</t>
        </is>
      </c>
      <c r="AX233" t="inlineStr">
        <is>
          <t>991005071239702656</t>
        </is>
      </c>
      <c r="AY233" t="inlineStr">
        <is>
          <t>2264170570002656</t>
        </is>
      </c>
      <c r="AZ233" t="inlineStr">
        <is>
          <t>BOOK</t>
        </is>
      </c>
      <c r="BC233" t="inlineStr">
        <is>
          <t>32285000269711</t>
        </is>
      </c>
      <c r="BD233" t="inlineStr">
        <is>
          <t>893795558</t>
        </is>
      </c>
    </row>
    <row r="234">
      <c r="A234" t="inlineStr">
        <is>
          <t>No</t>
        </is>
      </c>
      <c r="B234" t="inlineStr">
        <is>
          <t>BT1315.2 .R8 1965</t>
        </is>
      </c>
      <c r="C234" t="inlineStr">
        <is>
          <t>0                      BT 1315200R  8           1965</t>
        </is>
      </c>
      <c r="D234" t="inlineStr">
        <is>
          <t>Dissent and reform in the early Middle Ages / Jeffrey Burton Russell.</t>
        </is>
      </c>
      <c r="F234" t="inlineStr">
        <is>
          <t>No</t>
        </is>
      </c>
      <c r="G234" t="inlineStr">
        <is>
          <t>1</t>
        </is>
      </c>
      <c r="H234" t="inlineStr">
        <is>
          <t>No</t>
        </is>
      </c>
      <c r="I234" t="inlineStr">
        <is>
          <t>No</t>
        </is>
      </c>
      <c r="J234" t="inlineStr">
        <is>
          <t>0</t>
        </is>
      </c>
      <c r="K234" t="inlineStr">
        <is>
          <t>Russell, Jeffrey Burton.</t>
        </is>
      </c>
      <c r="L234" t="inlineStr">
        <is>
          <t>Berkeley : University of California Press, 1965.</t>
        </is>
      </c>
      <c r="M234" t="inlineStr">
        <is>
          <t>1965</t>
        </is>
      </c>
      <c r="O234" t="inlineStr">
        <is>
          <t>eng</t>
        </is>
      </c>
      <c r="P234" t="inlineStr">
        <is>
          <t>cau</t>
        </is>
      </c>
      <c r="Q234" t="inlineStr">
        <is>
          <t>Publications of the Center for Medieval and Renaissance Studies ; 1</t>
        </is>
      </c>
      <c r="R234" t="inlineStr">
        <is>
          <t xml:space="preserve">BT </t>
        </is>
      </c>
      <c r="S234" t="n">
        <v>3</v>
      </c>
      <c r="T234" t="n">
        <v>3</v>
      </c>
      <c r="U234" t="inlineStr">
        <is>
          <t>1999-06-23</t>
        </is>
      </c>
      <c r="V234" t="inlineStr">
        <is>
          <t>1999-06-23</t>
        </is>
      </c>
      <c r="W234" t="inlineStr">
        <is>
          <t>1994-09-13</t>
        </is>
      </c>
      <c r="X234" t="inlineStr">
        <is>
          <t>1994-09-13</t>
        </is>
      </c>
      <c r="Y234" t="n">
        <v>881</v>
      </c>
      <c r="Z234" t="n">
        <v>744</v>
      </c>
      <c r="AA234" t="n">
        <v>798</v>
      </c>
      <c r="AB234" t="n">
        <v>5</v>
      </c>
      <c r="AC234" t="n">
        <v>5</v>
      </c>
      <c r="AD234" t="n">
        <v>42</v>
      </c>
      <c r="AE234" t="n">
        <v>44</v>
      </c>
      <c r="AF234" t="n">
        <v>15</v>
      </c>
      <c r="AG234" t="n">
        <v>17</v>
      </c>
      <c r="AH234" t="n">
        <v>10</v>
      </c>
      <c r="AI234" t="n">
        <v>10</v>
      </c>
      <c r="AJ234" t="n">
        <v>25</v>
      </c>
      <c r="AK234" t="n">
        <v>26</v>
      </c>
      <c r="AL234" t="n">
        <v>4</v>
      </c>
      <c r="AM234" t="n">
        <v>4</v>
      </c>
      <c r="AN234" t="n">
        <v>0</v>
      </c>
      <c r="AO234" t="n">
        <v>0</v>
      </c>
      <c r="AP234" t="inlineStr">
        <is>
          <t>No</t>
        </is>
      </c>
      <c r="AQ234" t="inlineStr">
        <is>
          <t>Yes</t>
        </is>
      </c>
      <c r="AR234">
        <f>HYPERLINK("http://catalog.hathitrust.org/Record/001412940","HathiTrust Record")</f>
        <v/>
      </c>
      <c r="AS234">
        <f>HYPERLINK("https://creighton-primo.hosted.exlibrisgroup.com/primo-explore/search?tab=default_tab&amp;search_scope=EVERYTHING&amp;vid=01CRU&amp;lang=en_US&amp;offset=0&amp;query=any,contains,991001994589702656","Catalog Record")</f>
        <v/>
      </c>
      <c r="AT234">
        <f>HYPERLINK("http://www.worldcat.org/oclc/255915","WorldCat Record")</f>
        <v/>
      </c>
      <c r="AU234" t="inlineStr">
        <is>
          <t>1353515:eng</t>
        </is>
      </c>
      <c r="AV234" t="inlineStr">
        <is>
          <t>255915</t>
        </is>
      </c>
      <c r="AW234" t="inlineStr">
        <is>
          <t>991001994589702656</t>
        </is>
      </c>
      <c r="AX234" t="inlineStr">
        <is>
          <t>991001994589702656</t>
        </is>
      </c>
      <c r="AY234" t="inlineStr">
        <is>
          <t>2270696210002656</t>
        </is>
      </c>
      <c r="AZ234" t="inlineStr">
        <is>
          <t>BOOK</t>
        </is>
      </c>
      <c r="BC234" t="inlineStr">
        <is>
          <t>32285001867455</t>
        </is>
      </c>
      <c r="BD234" t="inlineStr">
        <is>
          <t>893626895</t>
        </is>
      </c>
    </row>
    <row r="235">
      <c r="A235" t="inlineStr">
        <is>
          <t>No</t>
        </is>
      </c>
      <c r="B235" t="inlineStr">
        <is>
          <t>BT1315.2 .R83</t>
        </is>
      </c>
      <c r="C235" t="inlineStr">
        <is>
          <t>0                      BT 1315200R  83</t>
        </is>
      </c>
      <c r="D235" t="inlineStr">
        <is>
          <t>Religious dissent in the Middle Ages / edited by Jeffrey B. Russell.</t>
        </is>
      </c>
      <c r="F235" t="inlineStr">
        <is>
          <t>No</t>
        </is>
      </c>
      <c r="G235" t="inlineStr">
        <is>
          <t>1</t>
        </is>
      </c>
      <c r="H235" t="inlineStr">
        <is>
          <t>No</t>
        </is>
      </c>
      <c r="I235" t="inlineStr">
        <is>
          <t>No</t>
        </is>
      </c>
      <c r="J235" t="inlineStr">
        <is>
          <t>0</t>
        </is>
      </c>
      <c r="K235" t="inlineStr">
        <is>
          <t>Russell, Jeffrey Burton compiler.</t>
        </is>
      </c>
      <c r="L235" t="inlineStr">
        <is>
          <t>New York, Wiley [1971]</t>
        </is>
      </c>
      <c r="M235" t="inlineStr">
        <is>
          <t>1971</t>
        </is>
      </c>
      <c r="O235" t="inlineStr">
        <is>
          <t>eng</t>
        </is>
      </c>
      <c r="P235" t="inlineStr">
        <is>
          <t>nyu</t>
        </is>
      </c>
      <c r="Q235" t="inlineStr">
        <is>
          <t>Major issues in history</t>
        </is>
      </c>
      <c r="R235" t="inlineStr">
        <is>
          <t xml:space="preserve">BT </t>
        </is>
      </c>
      <c r="S235" t="n">
        <v>4</v>
      </c>
      <c r="T235" t="n">
        <v>4</v>
      </c>
      <c r="U235" t="inlineStr">
        <is>
          <t>2002-09-15</t>
        </is>
      </c>
      <c r="V235" t="inlineStr">
        <is>
          <t>2002-09-15</t>
        </is>
      </c>
      <c r="W235" t="inlineStr">
        <is>
          <t>1991-11-05</t>
        </is>
      </c>
      <c r="X235" t="inlineStr">
        <is>
          <t>1991-11-05</t>
        </is>
      </c>
      <c r="Y235" t="n">
        <v>633</v>
      </c>
      <c r="Z235" t="n">
        <v>510</v>
      </c>
      <c r="AA235" t="n">
        <v>514</v>
      </c>
      <c r="AB235" t="n">
        <v>4</v>
      </c>
      <c r="AC235" t="n">
        <v>4</v>
      </c>
      <c r="AD235" t="n">
        <v>20</v>
      </c>
      <c r="AE235" t="n">
        <v>20</v>
      </c>
      <c r="AF235" t="n">
        <v>6</v>
      </c>
      <c r="AG235" t="n">
        <v>6</v>
      </c>
      <c r="AH235" t="n">
        <v>6</v>
      </c>
      <c r="AI235" t="n">
        <v>6</v>
      </c>
      <c r="AJ235" t="n">
        <v>12</v>
      </c>
      <c r="AK235" t="n">
        <v>12</v>
      </c>
      <c r="AL235" t="n">
        <v>3</v>
      </c>
      <c r="AM235" t="n">
        <v>3</v>
      </c>
      <c r="AN235" t="n">
        <v>0</v>
      </c>
      <c r="AO235" t="n">
        <v>0</v>
      </c>
      <c r="AP235" t="inlineStr">
        <is>
          <t>No</t>
        </is>
      </c>
      <c r="AQ235" t="inlineStr">
        <is>
          <t>Yes</t>
        </is>
      </c>
      <c r="AR235">
        <f>HYPERLINK("http://catalog.hathitrust.org/Record/001412941","HathiTrust Record")</f>
        <v/>
      </c>
      <c r="AS235">
        <f>HYPERLINK("https://creighton-primo.hosted.exlibrisgroup.com/primo-explore/search?tab=default_tab&amp;search_scope=EVERYTHING&amp;vid=01CRU&amp;lang=en_US&amp;offset=0&amp;query=any,contains,991000725649702656","Catalog Record")</f>
        <v/>
      </c>
      <c r="AT235">
        <f>HYPERLINK("http://www.worldcat.org/oclc/127640","WorldCat Record")</f>
        <v/>
      </c>
      <c r="AU235" t="inlineStr">
        <is>
          <t>1255871:eng</t>
        </is>
      </c>
      <c r="AV235" t="inlineStr">
        <is>
          <t>127640</t>
        </is>
      </c>
      <c r="AW235" t="inlineStr">
        <is>
          <t>991000725649702656</t>
        </is>
      </c>
      <c r="AX235" t="inlineStr">
        <is>
          <t>991000725649702656</t>
        </is>
      </c>
      <c r="AY235" t="inlineStr">
        <is>
          <t>2261420760002656</t>
        </is>
      </c>
      <c r="AZ235" t="inlineStr">
        <is>
          <t>BOOK</t>
        </is>
      </c>
      <c r="BB235" t="inlineStr">
        <is>
          <t>9780471745556</t>
        </is>
      </c>
      <c r="BC235" t="inlineStr">
        <is>
          <t>32285000808971</t>
        </is>
      </c>
      <c r="BD235" t="inlineStr">
        <is>
          <t>893903139</t>
        </is>
      </c>
    </row>
    <row r="236">
      <c r="A236" t="inlineStr">
        <is>
          <t>No</t>
        </is>
      </c>
      <c r="B236" t="inlineStr">
        <is>
          <t>BT1315.2 .S76 1994</t>
        </is>
      </c>
      <c r="C236" t="inlineStr">
        <is>
          <t>0                      BT 1315200S  76          1994</t>
        </is>
      </c>
      <c r="D236" t="inlineStr">
        <is>
          <t>The hidden tradition in Europe / Yuri Stoyanov.</t>
        </is>
      </c>
      <c r="F236" t="inlineStr">
        <is>
          <t>No</t>
        </is>
      </c>
      <c r="G236" t="inlineStr">
        <is>
          <t>1</t>
        </is>
      </c>
      <c r="H236" t="inlineStr">
        <is>
          <t>No</t>
        </is>
      </c>
      <c r="I236" t="inlineStr">
        <is>
          <t>No</t>
        </is>
      </c>
      <c r="J236" t="inlineStr">
        <is>
          <t>0</t>
        </is>
      </c>
      <c r="K236" t="inlineStr">
        <is>
          <t>Stoyanov, Yuri, 1961-</t>
        </is>
      </c>
      <c r="L236" t="inlineStr">
        <is>
          <t>London ; New York : Arkana, 1994.</t>
        </is>
      </c>
      <c r="M236" t="inlineStr">
        <is>
          <t>1994</t>
        </is>
      </c>
      <c r="O236" t="inlineStr">
        <is>
          <t>eng</t>
        </is>
      </c>
      <c r="P236" t="inlineStr">
        <is>
          <t>enk</t>
        </is>
      </c>
      <c r="R236" t="inlineStr">
        <is>
          <t xml:space="preserve">BT </t>
        </is>
      </c>
      <c r="S236" t="n">
        <v>3</v>
      </c>
      <c r="T236" t="n">
        <v>3</v>
      </c>
      <c r="U236" t="inlineStr">
        <is>
          <t>2002-09-15</t>
        </is>
      </c>
      <c r="V236" t="inlineStr">
        <is>
          <t>2002-09-15</t>
        </is>
      </c>
      <c r="W236" t="inlineStr">
        <is>
          <t>1997-10-07</t>
        </is>
      </c>
      <c r="X236" t="inlineStr">
        <is>
          <t>1997-10-07</t>
        </is>
      </c>
      <c r="Y236" t="n">
        <v>398</v>
      </c>
      <c r="Z236" t="n">
        <v>287</v>
      </c>
      <c r="AA236" t="n">
        <v>287</v>
      </c>
      <c r="AB236" t="n">
        <v>3</v>
      </c>
      <c r="AC236" t="n">
        <v>3</v>
      </c>
      <c r="AD236" t="n">
        <v>19</v>
      </c>
      <c r="AE236" t="n">
        <v>19</v>
      </c>
      <c r="AF236" t="n">
        <v>6</v>
      </c>
      <c r="AG236" t="n">
        <v>6</v>
      </c>
      <c r="AH236" t="n">
        <v>6</v>
      </c>
      <c r="AI236" t="n">
        <v>6</v>
      </c>
      <c r="AJ236" t="n">
        <v>11</v>
      </c>
      <c r="AK236" t="n">
        <v>11</v>
      </c>
      <c r="AL236" t="n">
        <v>2</v>
      </c>
      <c r="AM236" t="n">
        <v>2</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HYPERLINK("https://creighton-primo.hosted.exlibrisgroup.com/primo-explore/search?tab=default_tab&amp;search_scope=EVERYTHING&amp;vid=01CRU&amp;lang=en_US&amp;offset=0&amp;query=any,contains,991002410199702656","Catalog Record")</f>
        <v/>
      </c>
      <c r="AT236">
        <f>HYPERLINK("http://www.worldcat.org/oclc/31374846","WorldCat Record")</f>
        <v/>
      </c>
      <c r="AU236" t="inlineStr">
        <is>
          <t>33369958:eng</t>
        </is>
      </c>
      <c r="AV236" t="inlineStr">
        <is>
          <t>31374846</t>
        </is>
      </c>
      <c r="AW236" t="inlineStr">
        <is>
          <t>991002410199702656</t>
        </is>
      </c>
      <c r="AX236" t="inlineStr">
        <is>
          <t>991002410199702656</t>
        </is>
      </c>
      <c r="AY236" t="inlineStr">
        <is>
          <t>2256432850002656</t>
        </is>
      </c>
      <c r="AZ236" t="inlineStr">
        <is>
          <t>BOOK</t>
        </is>
      </c>
      <c r="BB236" t="inlineStr">
        <is>
          <t>9780140193190</t>
        </is>
      </c>
      <c r="BC236" t="inlineStr">
        <is>
          <t>32285003253217</t>
        </is>
      </c>
      <c r="BD236" t="inlineStr">
        <is>
          <t>893226809</t>
        </is>
      </c>
    </row>
    <row r="237">
      <c r="A237" t="inlineStr">
        <is>
          <t>No</t>
        </is>
      </c>
      <c r="B237" t="inlineStr">
        <is>
          <t>BT1315.2 .W32 1991</t>
        </is>
      </c>
      <c r="C237" t="inlineStr">
        <is>
          <t>0                      BT 1315200W  32          1991</t>
        </is>
      </c>
      <c r="D237" t="inlineStr">
        <is>
          <t>Heresies of the high middle ages : selected sources, translated and annotated / by Walter L. Wakefield and Austin P. Evans.</t>
        </is>
      </c>
      <c r="F237" t="inlineStr">
        <is>
          <t>No</t>
        </is>
      </c>
      <c r="G237" t="inlineStr">
        <is>
          <t>1</t>
        </is>
      </c>
      <c r="H237" t="inlineStr">
        <is>
          <t>No</t>
        </is>
      </c>
      <c r="I237" t="inlineStr">
        <is>
          <t>No</t>
        </is>
      </c>
      <c r="J237" t="inlineStr">
        <is>
          <t>0</t>
        </is>
      </c>
      <c r="K237" t="inlineStr">
        <is>
          <t>Wakefield, Walter L. (Walter Leggett)</t>
        </is>
      </c>
      <c r="L237" t="inlineStr">
        <is>
          <t>New York : Columbia University Press, c1991.</t>
        </is>
      </c>
      <c r="M237" t="inlineStr">
        <is>
          <t>1991</t>
        </is>
      </c>
      <c r="O237" t="inlineStr">
        <is>
          <t>eng</t>
        </is>
      </c>
      <c r="P237" t="inlineStr">
        <is>
          <t>nyu</t>
        </is>
      </c>
      <c r="Q237" t="inlineStr">
        <is>
          <t>Records of Western civilization</t>
        </is>
      </c>
      <c r="R237" t="inlineStr">
        <is>
          <t xml:space="preserve">BT </t>
        </is>
      </c>
      <c r="S237" t="n">
        <v>4</v>
      </c>
      <c r="T237" t="n">
        <v>4</v>
      </c>
      <c r="U237" t="inlineStr">
        <is>
          <t>2002-09-15</t>
        </is>
      </c>
      <c r="V237" t="inlineStr">
        <is>
          <t>2002-09-15</t>
        </is>
      </c>
      <c r="W237" t="inlineStr">
        <is>
          <t>1991-08-06</t>
        </is>
      </c>
      <c r="X237" t="inlineStr">
        <is>
          <t>1991-08-06</t>
        </is>
      </c>
      <c r="Y237" t="n">
        <v>290</v>
      </c>
      <c r="Z237" t="n">
        <v>207</v>
      </c>
      <c r="AA237" t="n">
        <v>887</v>
      </c>
      <c r="AB237" t="n">
        <v>3</v>
      </c>
      <c r="AC237" t="n">
        <v>9</v>
      </c>
      <c r="AD237" t="n">
        <v>14</v>
      </c>
      <c r="AE237" t="n">
        <v>49</v>
      </c>
      <c r="AF237" t="n">
        <v>8</v>
      </c>
      <c r="AG237" t="n">
        <v>21</v>
      </c>
      <c r="AH237" t="n">
        <v>1</v>
      </c>
      <c r="AI237" t="n">
        <v>11</v>
      </c>
      <c r="AJ237" t="n">
        <v>6</v>
      </c>
      <c r="AK237" t="n">
        <v>24</v>
      </c>
      <c r="AL237" t="n">
        <v>1</v>
      </c>
      <c r="AM237" t="n">
        <v>6</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HYPERLINK("https://creighton-primo.hosted.exlibrisgroup.com/primo-explore/search?tab=default_tab&amp;search_scope=EVERYTHING&amp;vid=01CRU&amp;lang=en_US&amp;offset=0&amp;query=any,contains,991001841529702656","Catalog Record")</f>
        <v/>
      </c>
      <c r="AT237">
        <f>HYPERLINK("http://www.worldcat.org/oclc/23141055","WorldCat Record")</f>
        <v/>
      </c>
      <c r="AU237" t="inlineStr">
        <is>
          <t>5610053866:eng</t>
        </is>
      </c>
      <c r="AV237" t="inlineStr">
        <is>
          <t>23141055</t>
        </is>
      </c>
      <c r="AW237" t="inlineStr">
        <is>
          <t>991001841529702656</t>
        </is>
      </c>
      <c r="AX237" t="inlineStr">
        <is>
          <t>991001841529702656</t>
        </is>
      </c>
      <c r="AY237" t="inlineStr">
        <is>
          <t>2266725860002656</t>
        </is>
      </c>
      <c r="AZ237" t="inlineStr">
        <is>
          <t>BOOK</t>
        </is>
      </c>
      <c r="BB237" t="inlineStr">
        <is>
          <t>9780231096324</t>
        </is>
      </c>
      <c r="BC237" t="inlineStr">
        <is>
          <t>32285000664507</t>
        </is>
      </c>
      <c r="BD237" t="inlineStr">
        <is>
          <t>893621665</t>
        </is>
      </c>
    </row>
    <row r="238">
      <c r="A238" t="inlineStr">
        <is>
          <t>No</t>
        </is>
      </c>
      <c r="B238" t="inlineStr">
        <is>
          <t>BT1317 .T46 1991</t>
        </is>
      </c>
      <c r="C238" t="inlineStr">
        <is>
          <t>0                      BT 1317000T  46          1991</t>
        </is>
      </c>
      <c r="D238" t="inlineStr">
        <is>
          <t>Newman and heresy : the Anglican years / Stephen Thomas.</t>
        </is>
      </c>
      <c r="F238" t="inlineStr">
        <is>
          <t>No</t>
        </is>
      </c>
      <c r="G238" t="inlineStr">
        <is>
          <t>1</t>
        </is>
      </c>
      <c r="H238" t="inlineStr">
        <is>
          <t>No</t>
        </is>
      </c>
      <c r="I238" t="inlineStr">
        <is>
          <t>No</t>
        </is>
      </c>
      <c r="J238" t="inlineStr">
        <is>
          <t>0</t>
        </is>
      </c>
      <c r="K238" t="inlineStr">
        <is>
          <t>Thomas, Stephen, 1951-</t>
        </is>
      </c>
      <c r="L238" t="inlineStr">
        <is>
          <t>Cambridge ; New York : Cambridge University Press, 1991.</t>
        </is>
      </c>
      <c r="M238" t="inlineStr">
        <is>
          <t>1991</t>
        </is>
      </c>
      <c r="O238" t="inlineStr">
        <is>
          <t>eng</t>
        </is>
      </c>
      <c r="P238" t="inlineStr">
        <is>
          <t>enk</t>
        </is>
      </c>
      <c r="R238" t="inlineStr">
        <is>
          <t xml:space="preserve">BT </t>
        </is>
      </c>
      <c r="S238" t="n">
        <v>1</v>
      </c>
      <c r="T238" t="n">
        <v>1</v>
      </c>
      <c r="U238" t="inlineStr">
        <is>
          <t>1992-09-23</t>
        </is>
      </c>
      <c r="V238" t="inlineStr">
        <is>
          <t>1992-09-23</t>
        </is>
      </c>
      <c r="W238" t="inlineStr">
        <is>
          <t>1992-07-09</t>
        </is>
      </c>
      <c r="X238" t="inlineStr">
        <is>
          <t>1992-07-09</t>
        </is>
      </c>
      <c r="Y238" t="n">
        <v>318</v>
      </c>
      <c r="Z238" t="n">
        <v>230</v>
      </c>
      <c r="AA238" t="n">
        <v>248</v>
      </c>
      <c r="AB238" t="n">
        <v>3</v>
      </c>
      <c r="AC238" t="n">
        <v>3</v>
      </c>
      <c r="AD238" t="n">
        <v>21</v>
      </c>
      <c r="AE238" t="n">
        <v>22</v>
      </c>
      <c r="AF238" t="n">
        <v>5</v>
      </c>
      <c r="AG238" t="n">
        <v>6</v>
      </c>
      <c r="AH238" t="n">
        <v>5</v>
      </c>
      <c r="AI238" t="n">
        <v>5</v>
      </c>
      <c r="AJ238" t="n">
        <v>14</v>
      </c>
      <c r="AK238" t="n">
        <v>14</v>
      </c>
      <c r="AL238" t="n">
        <v>2</v>
      </c>
      <c r="AM238" t="n">
        <v>2</v>
      </c>
      <c r="AN238" t="n">
        <v>0</v>
      </c>
      <c r="AO238" t="n">
        <v>0</v>
      </c>
      <c r="AP238" t="inlineStr">
        <is>
          <t>No</t>
        </is>
      </c>
      <c r="AQ238" t="inlineStr">
        <is>
          <t>Yes</t>
        </is>
      </c>
      <c r="AR238">
        <f>HYPERLINK("http://catalog.hathitrust.org/Record/002498977","HathiTrust Record")</f>
        <v/>
      </c>
      <c r="AS238">
        <f>HYPERLINK("https://creighton-primo.hosted.exlibrisgroup.com/primo-explore/search?tab=default_tab&amp;search_scope=EVERYTHING&amp;vid=01CRU&amp;lang=en_US&amp;offset=0&amp;query=any,contains,991001796349702656","Catalog Record")</f>
        <v/>
      </c>
      <c r="AT238">
        <f>HYPERLINK("http://www.worldcat.org/oclc/22597484","WorldCat Record")</f>
        <v/>
      </c>
      <c r="AU238" t="inlineStr">
        <is>
          <t>1080192198:eng</t>
        </is>
      </c>
      <c r="AV238" t="inlineStr">
        <is>
          <t>22597484</t>
        </is>
      </c>
      <c r="AW238" t="inlineStr">
        <is>
          <t>991001796349702656</t>
        </is>
      </c>
      <c r="AX238" t="inlineStr">
        <is>
          <t>991001796349702656</t>
        </is>
      </c>
      <c r="AY238" t="inlineStr">
        <is>
          <t>2254927290002656</t>
        </is>
      </c>
      <c r="AZ238" t="inlineStr">
        <is>
          <t>BOOK</t>
        </is>
      </c>
      <c r="BB238" t="inlineStr">
        <is>
          <t>9780052139286</t>
        </is>
      </c>
      <c r="BC238" t="inlineStr">
        <is>
          <t>32285001158012</t>
        </is>
      </c>
      <c r="BD238" t="inlineStr">
        <is>
          <t>893690925</t>
        </is>
      </c>
    </row>
    <row r="239">
      <c r="A239" t="inlineStr">
        <is>
          <t>No</t>
        </is>
      </c>
      <c r="B239" t="inlineStr">
        <is>
          <t>BT1319 .K55 1973</t>
        </is>
      </c>
      <c r="C239" t="inlineStr">
        <is>
          <t>0                      BT 1319000K  55          1973</t>
        </is>
      </c>
      <c r="D239" t="inlineStr">
        <is>
          <t>Patristic evidence for Jewish-Christian sects / by A. F. J. Klijn and G. J. Reinink.</t>
        </is>
      </c>
      <c r="F239" t="inlineStr">
        <is>
          <t>No</t>
        </is>
      </c>
      <c r="G239" t="inlineStr">
        <is>
          <t>1</t>
        </is>
      </c>
      <c r="H239" t="inlineStr">
        <is>
          <t>No</t>
        </is>
      </c>
      <c r="I239" t="inlineStr">
        <is>
          <t>No</t>
        </is>
      </c>
      <c r="J239" t="inlineStr">
        <is>
          <t>0</t>
        </is>
      </c>
      <c r="K239" t="inlineStr">
        <is>
          <t>Klijn, Albertus Frederik Johannes.</t>
        </is>
      </c>
      <c r="L239" t="inlineStr">
        <is>
          <t>Leiden : Brill, 1973.</t>
        </is>
      </c>
      <c r="M239" t="inlineStr">
        <is>
          <t>1973</t>
        </is>
      </c>
      <c r="O239" t="inlineStr">
        <is>
          <t>eng</t>
        </is>
      </c>
      <c r="P239" t="inlineStr">
        <is>
          <t xml:space="preserve">ne </t>
        </is>
      </c>
      <c r="Q239" t="inlineStr">
        <is>
          <t>Supplements to Novum Testamentum ; v. 36</t>
        </is>
      </c>
      <c r="R239" t="inlineStr">
        <is>
          <t xml:space="preserve">BT </t>
        </is>
      </c>
      <c r="S239" t="n">
        <v>2</v>
      </c>
      <c r="T239" t="n">
        <v>2</v>
      </c>
      <c r="U239" t="inlineStr">
        <is>
          <t>1992-04-20</t>
        </is>
      </c>
      <c r="V239" t="inlineStr">
        <is>
          <t>1992-04-20</t>
        </is>
      </c>
      <c r="W239" t="inlineStr">
        <is>
          <t>1990-08-08</t>
        </is>
      </c>
      <c r="X239" t="inlineStr">
        <is>
          <t>1990-08-08</t>
        </is>
      </c>
      <c r="Y239" t="n">
        <v>389</v>
      </c>
      <c r="Z239" t="n">
        <v>273</v>
      </c>
      <c r="AA239" t="n">
        <v>287</v>
      </c>
      <c r="AB239" t="n">
        <v>3</v>
      </c>
      <c r="AC239" t="n">
        <v>3</v>
      </c>
      <c r="AD239" t="n">
        <v>15</v>
      </c>
      <c r="AE239" t="n">
        <v>15</v>
      </c>
      <c r="AF239" t="n">
        <v>4</v>
      </c>
      <c r="AG239" t="n">
        <v>4</v>
      </c>
      <c r="AH239" t="n">
        <v>3</v>
      </c>
      <c r="AI239" t="n">
        <v>3</v>
      </c>
      <c r="AJ239" t="n">
        <v>9</v>
      </c>
      <c r="AK239" t="n">
        <v>9</v>
      </c>
      <c r="AL239" t="n">
        <v>2</v>
      </c>
      <c r="AM239" t="n">
        <v>2</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HYPERLINK("https://creighton-primo.hosted.exlibrisgroup.com/primo-explore/search?tab=default_tab&amp;search_scope=EVERYTHING&amp;vid=01CRU&amp;lang=en_US&amp;offset=0&amp;query=any,contains,991003355899702656","Catalog Record")</f>
        <v/>
      </c>
      <c r="AT239">
        <f>HYPERLINK("http://www.worldcat.org/oclc/889329","WorldCat Record")</f>
        <v/>
      </c>
      <c r="AU239" t="inlineStr">
        <is>
          <t>1870937:eng</t>
        </is>
      </c>
      <c r="AV239" t="inlineStr">
        <is>
          <t>889329</t>
        </is>
      </c>
      <c r="AW239" t="inlineStr">
        <is>
          <t>991003355899702656</t>
        </is>
      </c>
      <c r="AX239" t="inlineStr">
        <is>
          <t>991003355899702656</t>
        </is>
      </c>
      <c r="AY239" t="inlineStr">
        <is>
          <t>2255422650002656</t>
        </is>
      </c>
      <c r="AZ239" t="inlineStr">
        <is>
          <t>BOOK</t>
        </is>
      </c>
      <c r="BB239" t="inlineStr">
        <is>
          <t>9789004037632</t>
        </is>
      </c>
      <c r="BC239" t="inlineStr">
        <is>
          <t>32285000269737</t>
        </is>
      </c>
      <c r="BD239" t="inlineStr">
        <is>
          <t>893410210</t>
        </is>
      </c>
    </row>
    <row r="240">
      <c r="A240" t="inlineStr">
        <is>
          <t>No</t>
        </is>
      </c>
      <c r="B240" t="inlineStr">
        <is>
          <t>BT1319 .L8313 1996</t>
        </is>
      </c>
      <c r="C240" t="inlineStr">
        <is>
          <t>0                      BT 1319000L  8313        1996</t>
        </is>
      </c>
      <c r="D240" t="inlineStr">
        <is>
          <t>Heretics : the other side of early Christianity / Gerd Lüdemann ; translated by John Bowden.</t>
        </is>
      </c>
      <c r="F240" t="inlineStr">
        <is>
          <t>No</t>
        </is>
      </c>
      <c r="G240" t="inlineStr">
        <is>
          <t>1</t>
        </is>
      </c>
      <c r="H240" t="inlineStr">
        <is>
          <t>No</t>
        </is>
      </c>
      <c r="I240" t="inlineStr">
        <is>
          <t>No</t>
        </is>
      </c>
      <c r="J240" t="inlineStr">
        <is>
          <t>0</t>
        </is>
      </c>
      <c r="K240" t="inlineStr">
        <is>
          <t>Lüdemann, Gerd.</t>
        </is>
      </c>
      <c r="L240" t="inlineStr">
        <is>
          <t>Louisville, Ky. : Westminster John Knox Press, 1996.</t>
        </is>
      </c>
      <c r="M240" t="inlineStr">
        <is>
          <t>1996</t>
        </is>
      </c>
      <c r="N240" t="inlineStr">
        <is>
          <t>1st American ed.</t>
        </is>
      </c>
      <c r="O240" t="inlineStr">
        <is>
          <t>eng</t>
        </is>
      </c>
      <c r="P240" t="inlineStr">
        <is>
          <t>kyu</t>
        </is>
      </c>
      <c r="R240" t="inlineStr">
        <is>
          <t xml:space="preserve">BT </t>
        </is>
      </c>
      <c r="S240" t="n">
        <v>4</v>
      </c>
      <c r="T240" t="n">
        <v>4</v>
      </c>
      <c r="U240" t="inlineStr">
        <is>
          <t>2009-12-16</t>
        </is>
      </c>
      <c r="V240" t="inlineStr">
        <is>
          <t>2009-12-16</t>
        </is>
      </c>
      <c r="W240" t="inlineStr">
        <is>
          <t>1998-01-12</t>
        </is>
      </c>
      <c r="X240" t="inlineStr">
        <is>
          <t>1998-01-12</t>
        </is>
      </c>
      <c r="Y240" t="n">
        <v>402</v>
      </c>
      <c r="Z240" t="n">
        <v>349</v>
      </c>
      <c r="AA240" t="n">
        <v>379</v>
      </c>
      <c r="AB240" t="n">
        <v>1</v>
      </c>
      <c r="AC240" t="n">
        <v>1</v>
      </c>
      <c r="AD240" t="n">
        <v>22</v>
      </c>
      <c r="AE240" t="n">
        <v>23</v>
      </c>
      <c r="AF240" t="n">
        <v>8</v>
      </c>
      <c r="AG240" t="n">
        <v>8</v>
      </c>
      <c r="AH240" t="n">
        <v>7</v>
      </c>
      <c r="AI240" t="n">
        <v>8</v>
      </c>
      <c r="AJ240" t="n">
        <v>12</v>
      </c>
      <c r="AK240" t="n">
        <v>13</v>
      </c>
      <c r="AL240" t="n">
        <v>0</v>
      </c>
      <c r="AM240" t="n">
        <v>0</v>
      </c>
      <c r="AN240" t="n">
        <v>0</v>
      </c>
      <c r="AO240" t="n">
        <v>0</v>
      </c>
      <c r="AP240" t="inlineStr">
        <is>
          <t>No</t>
        </is>
      </c>
      <c r="AQ240" t="inlineStr">
        <is>
          <t>Yes</t>
        </is>
      </c>
      <c r="AR240">
        <f>HYPERLINK("http://catalog.hathitrust.org/Record/009923740","HathiTrust Record")</f>
        <v/>
      </c>
      <c r="AS240">
        <f>HYPERLINK("https://creighton-primo.hosted.exlibrisgroup.com/primo-explore/search?tab=default_tab&amp;search_scope=EVERYTHING&amp;vid=01CRU&amp;lang=en_US&amp;offset=0&amp;query=any,contains,991002658329702656","Catalog Record")</f>
        <v/>
      </c>
      <c r="AT240">
        <f>HYPERLINK("http://www.worldcat.org/oclc/34752098","WorldCat Record")</f>
        <v/>
      </c>
      <c r="AU240" t="inlineStr">
        <is>
          <t>39438162:eng</t>
        </is>
      </c>
      <c r="AV240" t="inlineStr">
        <is>
          <t>34752098</t>
        </is>
      </c>
      <c r="AW240" t="inlineStr">
        <is>
          <t>991002658329702656</t>
        </is>
      </c>
      <c r="AX240" t="inlineStr">
        <is>
          <t>991002658329702656</t>
        </is>
      </c>
      <c r="AY240" t="inlineStr">
        <is>
          <t>2269153830002656</t>
        </is>
      </c>
      <c r="AZ240" t="inlineStr">
        <is>
          <t>BOOK</t>
        </is>
      </c>
      <c r="BB240" t="inlineStr">
        <is>
          <t>9780664220853</t>
        </is>
      </c>
      <c r="BC240" t="inlineStr">
        <is>
          <t>32285003302915</t>
        </is>
      </c>
      <c r="BD240" t="inlineStr">
        <is>
          <t>893233238</t>
        </is>
      </c>
    </row>
    <row r="241">
      <c r="A241" t="inlineStr">
        <is>
          <t>No</t>
        </is>
      </c>
      <c r="B241" t="inlineStr">
        <is>
          <t>BT1319 .M66 1985</t>
        </is>
      </c>
      <c r="C241" t="inlineStr">
        <is>
          <t>0                      BT 1319000M  66          1985</t>
        </is>
      </c>
      <c r="D241" t="inlineStr">
        <is>
          <t>The origins of European dissent / R.I. Moore.</t>
        </is>
      </c>
      <c r="F241" t="inlineStr">
        <is>
          <t>No</t>
        </is>
      </c>
      <c r="G241" t="inlineStr">
        <is>
          <t>1</t>
        </is>
      </c>
      <c r="H241" t="inlineStr">
        <is>
          <t>No</t>
        </is>
      </c>
      <c r="I241" t="inlineStr">
        <is>
          <t>No</t>
        </is>
      </c>
      <c r="J241" t="inlineStr">
        <is>
          <t>0</t>
        </is>
      </c>
      <c r="K241" t="inlineStr">
        <is>
          <t>Moore, R. I. (Robert Ian), 1941-</t>
        </is>
      </c>
      <c r="L241" t="inlineStr">
        <is>
          <t>New York, NY : B. Blackwell, 1985.</t>
        </is>
      </c>
      <c r="M241" t="inlineStr">
        <is>
          <t>1985</t>
        </is>
      </c>
      <c r="O241" t="inlineStr">
        <is>
          <t>eng</t>
        </is>
      </c>
      <c r="P241" t="inlineStr">
        <is>
          <t>nyu</t>
        </is>
      </c>
      <c r="R241" t="inlineStr">
        <is>
          <t xml:space="preserve">BT </t>
        </is>
      </c>
      <c r="S241" t="n">
        <v>1</v>
      </c>
      <c r="T241" t="n">
        <v>1</v>
      </c>
      <c r="U241" t="inlineStr">
        <is>
          <t>2002-09-24</t>
        </is>
      </c>
      <c r="V241" t="inlineStr">
        <is>
          <t>2002-09-24</t>
        </is>
      </c>
      <c r="W241" t="inlineStr">
        <is>
          <t>1991-11-05</t>
        </is>
      </c>
      <c r="X241" t="inlineStr">
        <is>
          <t>1991-11-05</t>
        </is>
      </c>
      <c r="Y241" t="n">
        <v>194</v>
      </c>
      <c r="Z241" t="n">
        <v>140</v>
      </c>
      <c r="AA241" t="n">
        <v>575</v>
      </c>
      <c r="AB241" t="n">
        <v>3</v>
      </c>
      <c r="AC241" t="n">
        <v>3</v>
      </c>
      <c r="AD241" t="n">
        <v>15</v>
      </c>
      <c r="AE241" t="n">
        <v>37</v>
      </c>
      <c r="AF241" t="n">
        <v>5</v>
      </c>
      <c r="AG241" t="n">
        <v>16</v>
      </c>
      <c r="AH241" t="n">
        <v>4</v>
      </c>
      <c r="AI241" t="n">
        <v>10</v>
      </c>
      <c r="AJ241" t="n">
        <v>9</v>
      </c>
      <c r="AK241" t="n">
        <v>23</v>
      </c>
      <c r="AL241" t="n">
        <v>2</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HYPERLINK("https://creighton-primo.hosted.exlibrisgroup.com/primo-explore/search?tab=default_tab&amp;search_scope=EVERYTHING&amp;vid=01CRU&amp;lang=en_US&amp;offset=0&amp;query=any,contains,991000659449702656","Catalog Record")</f>
        <v/>
      </c>
      <c r="AT241">
        <f>HYPERLINK("http://www.worldcat.org/oclc/12236464","WorldCat Record")</f>
        <v/>
      </c>
      <c r="AU241" t="inlineStr">
        <is>
          <t>4895750:eng</t>
        </is>
      </c>
      <c r="AV241" t="inlineStr">
        <is>
          <t>12236464</t>
        </is>
      </c>
      <c r="AW241" t="inlineStr">
        <is>
          <t>991000659449702656</t>
        </is>
      </c>
      <c r="AX241" t="inlineStr">
        <is>
          <t>991000659449702656</t>
        </is>
      </c>
      <c r="AY241" t="inlineStr">
        <is>
          <t>2260996960002656</t>
        </is>
      </c>
      <c r="AZ241" t="inlineStr">
        <is>
          <t>BOOK</t>
        </is>
      </c>
      <c r="BB241" t="inlineStr">
        <is>
          <t>9780631144045</t>
        </is>
      </c>
      <c r="BC241" t="inlineStr">
        <is>
          <t>32285000809011</t>
        </is>
      </c>
      <c r="BD241" t="inlineStr">
        <is>
          <t>893528267</t>
        </is>
      </c>
    </row>
    <row r="242">
      <c r="A242" t="inlineStr">
        <is>
          <t>No</t>
        </is>
      </c>
      <c r="B242" t="inlineStr">
        <is>
          <t>BT1319 .W36 1955</t>
        </is>
      </c>
      <c r="C242" t="inlineStr">
        <is>
          <t>0                      BT 1319000W  36          1955</t>
        </is>
      </c>
      <c r="D242" t="inlineStr">
        <is>
          <t>The four great heresies / by the right Rev. J.W.C. Wand.</t>
        </is>
      </c>
      <c r="F242" t="inlineStr">
        <is>
          <t>No</t>
        </is>
      </c>
      <c r="G242" t="inlineStr">
        <is>
          <t>1</t>
        </is>
      </c>
      <c r="H242" t="inlineStr">
        <is>
          <t>No</t>
        </is>
      </c>
      <c r="I242" t="inlineStr">
        <is>
          <t>No</t>
        </is>
      </c>
      <c r="J242" t="inlineStr">
        <is>
          <t>0</t>
        </is>
      </c>
      <c r="K242" t="inlineStr">
        <is>
          <t>Wand, J. W. C. (John William Charles), 1885-1977.</t>
        </is>
      </c>
      <c r="L242" t="inlineStr">
        <is>
          <t>London : New York : A.R. Mowbray : Morehouse-Gorham Co., 1955.</t>
        </is>
      </c>
      <c r="M242" t="inlineStr">
        <is>
          <t>1955</t>
        </is>
      </c>
      <c r="O242" t="inlineStr">
        <is>
          <t>eng</t>
        </is>
      </c>
      <c r="P242" t="inlineStr">
        <is>
          <t>enk</t>
        </is>
      </c>
      <c r="R242" t="inlineStr">
        <is>
          <t xml:space="preserve">BT </t>
        </is>
      </c>
      <c r="S242" t="n">
        <v>6</v>
      </c>
      <c r="T242" t="n">
        <v>6</v>
      </c>
      <c r="U242" t="inlineStr">
        <is>
          <t>2010-04-03</t>
        </is>
      </c>
      <c r="V242" t="inlineStr">
        <is>
          <t>2010-04-03</t>
        </is>
      </c>
      <c r="W242" t="inlineStr">
        <is>
          <t>1990-08-08</t>
        </is>
      </c>
      <c r="X242" t="inlineStr">
        <is>
          <t>1990-08-08</t>
        </is>
      </c>
      <c r="Y242" t="n">
        <v>277</v>
      </c>
      <c r="Z242" t="n">
        <v>199</v>
      </c>
      <c r="AA242" t="n">
        <v>291</v>
      </c>
      <c r="AB242" t="n">
        <v>2</v>
      </c>
      <c r="AC242" t="n">
        <v>2</v>
      </c>
      <c r="AD242" t="n">
        <v>10</v>
      </c>
      <c r="AE242" t="n">
        <v>14</v>
      </c>
      <c r="AF242" t="n">
        <v>6</v>
      </c>
      <c r="AG242" t="n">
        <v>7</v>
      </c>
      <c r="AH242" t="n">
        <v>1</v>
      </c>
      <c r="AI242" t="n">
        <v>1</v>
      </c>
      <c r="AJ242" t="n">
        <v>5</v>
      </c>
      <c r="AK242" t="n">
        <v>8</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HYPERLINK("https://creighton-primo.hosted.exlibrisgroup.com/primo-explore/search?tab=default_tab&amp;search_scope=EVERYTHING&amp;vid=01CRU&amp;lang=en_US&amp;offset=0&amp;query=any,contains,991003439429702656","Catalog Record")</f>
        <v/>
      </c>
      <c r="AT242">
        <f>HYPERLINK("http://www.worldcat.org/oclc/975542","WorldCat Record")</f>
        <v/>
      </c>
      <c r="AU242" t="inlineStr">
        <is>
          <t>149897258:eng</t>
        </is>
      </c>
      <c r="AV242" t="inlineStr">
        <is>
          <t>975542</t>
        </is>
      </c>
      <c r="AW242" t="inlineStr">
        <is>
          <t>991003439429702656</t>
        </is>
      </c>
      <c r="AX242" t="inlineStr">
        <is>
          <t>991003439429702656</t>
        </is>
      </c>
      <c r="AY242" t="inlineStr">
        <is>
          <t>2257156590002656</t>
        </is>
      </c>
      <c r="AZ242" t="inlineStr">
        <is>
          <t>BOOK</t>
        </is>
      </c>
      <c r="BC242" t="inlineStr">
        <is>
          <t>32285000269745</t>
        </is>
      </c>
      <c r="BD242" t="inlineStr">
        <is>
          <t>893781014</t>
        </is>
      </c>
    </row>
    <row r="243">
      <c r="A243" t="inlineStr">
        <is>
          <t>No</t>
        </is>
      </c>
      <c r="B243" t="inlineStr">
        <is>
          <t>BT132 .L3313</t>
        </is>
      </c>
      <c r="C243" t="inlineStr">
        <is>
          <t>0                      BT 0132000L  3313</t>
        </is>
      </c>
      <c r="D243" t="inlineStr">
        <is>
          <t>The presence of God / Élisabeth-Paule Labat ; translated by David Smith.</t>
        </is>
      </c>
      <c r="F243" t="inlineStr">
        <is>
          <t>No</t>
        </is>
      </c>
      <c r="G243" t="inlineStr">
        <is>
          <t>1</t>
        </is>
      </c>
      <c r="H243" t="inlineStr">
        <is>
          <t>No</t>
        </is>
      </c>
      <c r="I243" t="inlineStr">
        <is>
          <t>No</t>
        </is>
      </c>
      <c r="J243" t="inlineStr">
        <is>
          <t>0</t>
        </is>
      </c>
      <c r="K243" t="inlineStr">
        <is>
          <t>Labat, Élisabeth-Paule.</t>
        </is>
      </c>
      <c r="L243" t="inlineStr">
        <is>
          <t>New York : Paulist Press, c1980.</t>
        </is>
      </c>
      <c r="M243" t="inlineStr">
        <is>
          <t>1980</t>
        </is>
      </c>
      <c r="O243" t="inlineStr">
        <is>
          <t>eng</t>
        </is>
      </c>
      <c r="P243" t="inlineStr">
        <is>
          <t>nyu</t>
        </is>
      </c>
      <c r="R243" t="inlineStr">
        <is>
          <t xml:space="preserve">BT </t>
        </is>
      </c>
      <c r="S243" t="n">
        <v>2</v>
      </c>
      <c r="T243" t="n">
        <v>2</v>
      </c>
      <c r="U243" t="inlineStr">
        <is>
          <t>1992-10-14</t>
        </is>
      </c>
      <c r="V243" t="inlineStr">
        <is>
          <t>1992-10-14</t>
        </is>
      </c>
      <c r="W243" t="inlineStr">
        <is>
          <t>1991-08-02</t>
        </is>
      </c>
      <c r="X243" t="inlineStr">
        <is>
          <t>1991-08-02</t>
        </is>
      </c>
      <c r="Y243" t="n">
        <v>71</v>
      </c>
      <c r="Z243" t="n">
        <v>67</v>
      </c>
      <c r="AA243" t="n">
        <v>69</v>
      </c>
      <c r="AB243" t="n">
        <v>2</v>
      </c>
      <c r="AC243" t="n">
        <v>2</v>
      </c>
      <c r="AD243" t="n">
        <v>9</v>
      </c>
      <c r="AE243" t="n">
        <v>9</v>
      </c>
      <c r="AF243" t="n">
        <v>2</v>
      </c>
      <c r="AG243" t="n">
        <v>2</v>
      </c>
      <c r="AH243" t="n">
        <v>2</v>
      </c>
      <c r="AI243" t="n">
        <v>2</v>
      </c>
      <c r="AJ243" t="n">
        <v>6</v>
      </c>
      <c r="AK243" t="n">
        <v>6</v>
      </c>
      <c r="AL243" t="n">
        <v>0</v>
      </c>
      <c r="AM243" t="n">
        <v>0</v>
      </c>
      <c r="AN243" t="n">
        <v>0</v>
      </c>
      <c r="AO243" t="n">
        <v>0</v>
      </c>
      <c r="AP243" t="inlineStr">
        <is>
          <t>No</t>
        </is>
      </c>
      <c r="AQ243" t="inlineStr">
        <is>
          <t>Yes</t>
        </is>
      </c>
      <c r="AR243">
        <f>HYPERLINK("http://catalog.hathitrust.org/Record/009801669","HathiTrust Record")</f>
        <v/>
      </c>
      <c r="AS243">
        <f>HYPERLINK("https://creighton-primo.hosted.exlibrisgroup.com/primo-explore/search?tab=default_tab&amp;search_scope=EVERYTHING&amp;vid=01CRU&amp;lang=en_US&amp;offset=0&amp;query=any,contains,991005167309702656","Catalog Record")</f>
        <v/>
      </c>
      <c r="AT243">
        <f>HYPERLINK("http://www.worldcat.org/oclc/7836417","WorldCat Record")</f>
        <v/>
      </c>
      <c r="AU243" t="inlineStr">
        <is>
          <t>21054508:eng</t>
        </is>
      </c>
      <c r="AV243" t="inlineStr">
        <is>
          <t>7836417</t>
        </is>
      </c>
      <c r="AW243" t="inlineStr">
        <is>
          <t>991005167309702656</t>
        </is>
      </c>
      <c r="AX243" t="inlineStr">
        <is>
          <t>991005167309702656</t>
        </is>
      </c>
      <c r="AY243" t="inlineStr">
        <is>
          <t>2255156420002656</t>
        </is>
      </c>
      <c r="AZ243" t="inlineStr">
        <is>
          <t>BOOK</t>
        </is>
      </c>
      <c r="BB243" t="inlineStr">
        <is>
          <t>9780809123360</t>
        </is>
      </c>
      <c r="BC243" t="inlineStr">
        <is>
          <t>32285000694132</t>
        </is>
      </c>
      <c r="BD243" t="inlineStr">
        <is>
          <t>893418490</t>
        </is>
      </c>
    </row>
    <row r="244">
      <c r="A244" t="inlineStr">
        <is>
          <t>No</t>
        </is>
      </c>
      <c r="B244" t="inlineStr">
        <is>
          <t>BT133 .C37 1990</t>
        </is>
      </c>
      <c r="C244" t="inlineStr">
        <is>
          <t>0                      BT 0133000C  37          1990</t>
        </is>
      </c>
      <c r="D244" t="inlineStr">
        <is>
          <t>God's power : traditional understandings and contemporary challenges / Anna Case-Winters.</t>
        </is>
      </c>
      <c r="F244" t="inlineStr">
        <is>
          <t>No</t>
        </is>
      </c>
      <c r="G244" t="inlineStr">
        <is>
          <t>1</t>
        </is>
      </c>
      <c r="H244" t="inlineStr">
        <is>
          <t>No</t>
        </is>
      </c>
      <c r="I244" t="inlineStr">
        <is>
          <t>No</t>
        </is>
      </c>
      <c r="J244" t="inlineStr">
        <is>
          <t>0</t>
        </is>
      </c>
      <c r="K244" t="inlineStr">
        <is>
          <t>Case-Winters, Anna, 1953-</t>
        </is>
      </c>
      <c r="L244" t="inlineStr">
        <is>
          <t>Louisville, Ky. : Westminster/J. Knox Press, c1990.</t>
        </is>
      </c>
      <c r="M244" t="inlineStr">
        <is>
          <t>1990</t>
        </is>
      </c>
      <c r="N244" t="inlineStr">
        <is>
          <t>1st ed.</t>
        </is>
      </c>
      <c r="O244" t="inlineStr">
        <is>
          <t>eng</t>
        </is>
      </c>
      <c r="P244" t="inlineStr">
        <is>
          <t>kyu</t>
        </is>
      </c>
      <c r="R244" t="inlineStr">
        <is>
          <t xml:space="preserve">BT </t>
        </is>
      </c>
      <c r="S244" t="n">
        <v>8</v>
      </c>
      <c r="T244" t="n">
        <v>8</v>
      </c>
      <c r="U244" t="inlineStr">
        <is>
          <t>2006-12-08</t>
        </is>
      </c>
      <c r="V244" t="inlineStr">
        <is>
          <t>2006-12-08</t>
        </is>
      </c>
      <c r="W244" t="inlineStr">
        <is>
          <t>1991-02-22</t>
        </is>
      </c>
      <c r="X244" t="inlineStr">
        <is>
          <t>1991-02-22</t>
        </is>
      </c>
      <c r="Y244" t="n">
        <v>239</v>
      </c>
      <c r="Z244" t="n">
        <v>205</v>
      </c>
      <c r="AA244" t="n">
        <v>210</v>
      </c>
      <c r="AB244" t="n">
        <v>1</v>
      </c>
      <c r="AC244" t="n">
        <v>1</v>
      </c>
      <c r="AD244" t="n">
        <v>14</v>
      </c>
      <c r="AE244" t="n">
        <v>14</v>
      </c>
      <c r="AF244" t="n">
        <v>6</v>
      </c>
      <c r="AG244" t="n">
        <v>6</v>
      </c>
      <c r="AH244" t="n">
        <v>4</v>
      </c>
      <c r="AI244" t="n">
        <v>4</v>
      </c>
      <c r="AJ244" t="n">
        <v>10</v>
      </c>
      <c r="AK244" t="n">
        <v>10</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HYPERLINK("https://creighton-primo.hosted.exlibrisgroup.com/primo-explore/search?tab=default_tab&amp;search_scope=EVERYTHING&amp;vid=01CRU&amp;lang=en_US&amp;offset=0&amp;query=any,contains,991001677269702656","Catalog Record")</f>
        <v/>
      </c>
      <c r="AT244">
        <f>HYPERLINK("http://www.worldcat.org/oclc/21333415","WorldCat Record")</f>
        <v/>
      </c>
      <c r="AU244" t="inlineStr">
        <is>
          <t>2673137:eng</t>
        </is>
      </c>
      <c r="AV244" t="inlineStr">
        <is>
          <t>21333415</t>
        </is>
      </c>
      <c r="AW244" t="inlineStr">
        <is>
          <t>991001677269702656</t>
        </is>
      </c>
      <c r="AX244" t="inlineStr">
        <is>
          <t>991001677269702656</t>
        </is>
      </c>
      <c r="AY244" t="inlineStr">
        <is>
          <t>2262485600002656</t>
        </is>
      </c>
      <c r="AZ244" t="inlineStr">
        <is>
          <t>BOOK</t>
        </is>
      </c>
      <c r="BB244" t="inlineStr">
        <is>
          <t>9780664251062</t>
        </is>
      </c>
      <c r="BC244" t="inlineStr">
        <is>
          <t>32285000492743</t>
        </is>
      </c>
      <c r="BD244" t="inlineStr">
        <is>
          <t>893340604</t>
        </is>
      </c>
    </row>
    <row r="245">
      <c r="A245" t="inlineStr">
        <is>
          <t>No</t>
        </is>
      </c>
      <c r="B245" t="inlineStr">
        <is>
          <t>BT133 .T52</t>
        </is>
      </c>
      <c r="C245" t="inlineStr">
        <is>
          <t>0                      BT 0133000T  52</t>
        </is>
      </c>
      <c r="D245" t="inlineStr">
        <is>
          <t>On the power of God (Quæstiones disputatæ de potentia Dei) Literally translated by the English Dominican fathers. 3 books in 1.</t>
        </is>
      </c>
      <c r="F245" t="inlineStr">
        <is>
          <t>No</t>
        </is>
      </c>
      <c r="G245" t="inlineStr">
        <is>
          <t>1</t>
        </is>
      </c>
      <c r="H245" t="inlineStr">
        <is>
          <t>No</t>
        </is>
      </c>
      <c r="I245" t="inlineStr">
        <is>
          <t>No</t>
        </is>
      </c>
      <c r="J245" t="inlineStr">
        <is>
          <t>0</t>
        </is>
      </c>
      <c r="K245" t="inlineStr">
        <is>
          <t>Thomas, Aquinas, Saint, 1225?-1274.</t>
        </is>
      </c>
      <c r="L245" t="inlineStr">
        <is>
          <t>Westminster, Md., Newman Press, 1952.</t>
        </is>
      </c>
      <c r="M245" t="inlineStr">
        <is>
          <t>1952</t>
        </is>
      </c>
      <c r="O245" t="inlineStr">
        <is>
          <t>eng</t>
        </is>
      </c>
      <c r="P245" t="inlineStr">
        <is>
          <t>___</t>
        </is>
      </c>
      <c r="R245" t="inlineStr">
        <is>
          <t xml:space="preserve">BT </t>
        </is>
      </c>
      <c r="S245" t="n">
        <v>2</v>
      </c>
      <c r="T245" t="n">
        <v>2</v>
      </c>
      <c r="U245" t="inlineStr">
        <is>
          <t>1995-04-08</t>
        </is>
      </c>
      <c r="V245" t="inlineStr">
        <is>
          <t>1995-04-08</t>
        </is>
      </c>
      <c r="W245" t="inlineStr">
        <is>
          <t>1991-08-02</t>
        </is>
      </c>
      <c r="X245" t="inlineStr">
        <is>
          <t>1991-08-02</t>
        </is>
      </c>
      <c r="Y245" t="n">
        <v>178</v>
      </c>
      <c r="Z245" t="n">
        <v>169</v>
      </c>
      <c r="AA245" t="n">
        <v>257</v>
      </c>
      <c r="AB245" t="n">
        <v>3</v>
      </c>
      <c r="AC245" t="n">
        <v>3</v>
      </c>
      <c r="AD245" t="n">
        <v>24</v>
      </c>
      <c r="AE245" t="n">
        <v>32</v>
      </c>
      <c r="AF245" t="n">
        <v>6</v>
      </c>
      <c r="AG245" t="n">
        <v>11</v>
      </c>
      <c r="AH245" t="n">
        <v>6</v>
      </c>
      <c r="AI245" t="n">
        <v>7</v>
      </c>
      <c r="AJ245" t="n">
        <v>19</v>
      </c>
      <c r="AK245" t="n">
        <v>25</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HYPERLINK("https://creighton-primo.hosted.exlibrisgroup.com/primo-explore/search?tab=default_tab&amp;search_scope=EVERYTHING&amp;vid=01CRU&amp;lang=en_US&amp;offset=0&amp;query=any,contains,991003776169702656","Catalog Record")</f>
        <v/>
      </c>
      <c r="AT245">
        <f>HYPERLINK("http://www.worldcat.org/oclc/1484113","WorldCat Record")</f>
        <v/>
      </c>
      <c r="AU245" t="inlineStr">
        <is>
          <t>1669:eng</t>
        </is>
      </c>
      <c r="AV245" t="inlineStr">
        <is>
          <t>1484113</t>
        </is>
      </c>
      <c r="AW245" t="inlineStr">
        <is>
          <t>991003776169702656</t>
        </is>
      </c>
      <c r="AX245" t="inlineStr">
        <is>
          <t>991003776169702656</t>
        </is>
      </c>
      <c r="AY245" t="inlineStr">
        <is>
          <t>2272220070002656</t>
        </is>
      </c>
      <c r="AZ245" t="inlineStr">
        <is>
          <t>BOOK</t>
        </is>
      </c>
      <c r="BC245" t="inlineStr">
        <is>
          <t>32285000694157</t>
        </is>
      </c>
      <c r="BD245" t="inlineStr">
        <is>
          <t>893722095</t>
        </is>
      </c>
    </row>
    <row r="246">
      <c r="A246" t="inlineStr">
        <is>
          <t>No</t>
        </is>
      </c>
      <c r="B246" t="inlineStr">
        <is>
          <t>BT135 .P6</t>
        </is>
      </c>
      <c r="C246" t="inlineStr">
        <is>
          <t>0                      BT 0135000P  6</t>
        </is>
      </c>
      <c r="D246" t="inlineStr">
        <is>
          <t>Chance and providence; God's action in a world governed by scientific law.</t>
        </is>
      </c>
      <c r="F246" t="inlineStr">
        <is>
          <t>No</t>
        </is>
      </c>
      <c r="G246" t="inlineStr">
        <is>
          <t>1</t>
        </is>
      </c>
      <c r="H246" t="inlineStr">
        <is>
          <t>No</t>
        </is>
      </c>
      <c r="I246" t="inlineStr">
        <is>
          <t>No</t>
        </is>
      </c>
      <c r="J246" t="inlineStr">
        <is>
          <t>0</t>
        </is>
      </c>
      <c r="K246" t="inlineStr">
        <is>
          <t>Pollard, William G. (William Grosvenor), 1911-1989.</t>
        </is>
      </c>
      <c r="L246" t="inlineStr">
        <is>
          <t>New York, Scribner, [1958].</t>
        </is>
      </c>
      <c r="M246" t="inlineStr">
        <is>
          <t>1958</t>
        </is>
      </c>
      <c r="O246" t="inlineStr">
        <is>
          <t>eng</t>
        </is>
      </c>
      <c r="P246" t="inlineStr">
        <is>
          <t>___</t>
        </is>
      </c>
      <c r="R246" t="inlineStr">
        <is>
          <t xml:space="preserve">BT </t>
        </is>
      </c>
      <c r="S246" t="n">
        <v>1</v>
      </c>
      <c r="T246" t="n">
        <v>1</v>
      </c>
      <c r="U246" t="inlineStr">
        <is>
          <t>2004-10-14</t>
        </is>
      </c>
      <c r="V246" t="inlineStr">
        <is>
          <t>2004-10-14</t>
        </is>
      </c>
      <c r="W246" t="inlineStr">
        <is>
          <t>1991-08-02</t>
        </is>
      </c>
      <c r="X246" t="inlineStr">
        <is>
          <t>1991-08-02</t>
        </is>
      </c>
      <c r="Y246" t="n">
        <v>489</v>
      </c>
      <c r="Z246" t="n">
        <v>449</v>
      </c>
      <c r="AA246" t="n">
        <v>467</v>
      </c>
      <c r="AB246" t="n">
        <v>5</v>
      </c>
      <c r="AC246" t="n">
        <v>5</v>
      </c>
      <c r="AD246" t="n">
        <v>23</v>
      </c>
      <c r="AE246" t="n">
        <v>25</v>
      </c>
      <c r="AF246" t="n">
        <v>10</v>
      </c>
      <c r="AG246" t="n">
        <v>11</v>
      </c>
      <c r="AH246" t="n">
        <v>3</v>
      </c>
      <c r="AI246" t="n">
        <v>3</v>
      </c>
      <c r="AJ246" t="n">
        <v>11</v>
      </c>
      <c r="AK246" t="n">
        <v>12</v>
      </c>
      <c r="AL246" t="n">
        <v>4</v>
      </c>
      <c r="AM246" t="n">
        <v>4</v>
      </c>
      <c r="AN246" t="n">
        <v>0</v>
      </c>
      <c r="AO246" t="n">
        <v>0</v>
      </c>
      <c r="AP246" t="inlineStr">
        <is>
          <t>No</t>
        </is>
      </c>
      <c r="AQ246" t="inlineStr">
        <is>
          <t>No</t>
        </is>
      </c>
      <c r="AR246">
        <f>HYPERLINK("http://catalog.hathitrust.org/Record/004507529","HathiTrust Record")</f>
        <v/>
      </c>
      <c r="AS246">
        <f>HYPERLINK("https://creighton-primo.hosted.exlibrisgroup.com/primo-explore/search?tab=default_tab&amp;search_scope=EVERYTHING&amp;vid=01CRU&amp;lang=en_US&amp;offset=0&amp;query=any,contains,991003631089702656","Catalog Record")</f>
        <v/>
      </c>
      <c r="AT246">
        <f>HYPERLINK("http://www.worldcat.org/oclc/1223667","WorldCat Record")</f>
        <v/>
      </c>
      <c r="AU246" t="inlineStr">
        <is>
          <t>377083010:eng</t>
        </is>
      </c>
      <c r="AV246" t="inlineStr">
        <is>
          <t>1223667</t>
        </is>
      </c>
      <c r="AW246" t="inlineStr">
        <is>
          <t>991003631089702656</t>
        </is>
      </c>
      <c r="AX246" t="inlineStr">
        <is>
          <t>991003631089702656</t>
        </is>
      </c>
      <c r="AY246" t="inlineStr">
        <is>
          <t>2264579930002656</t>
        </is>
      </c>
      <c r="AZ246" t="inlineStr">
        <is>
          <t>BOOK</t>
        </is>
      </c>
      <c r="BC246" t="inlineStr">
        <is>
          <t>32285000694199</t>
        </is>
      </c>
      <c r="BD246" t="inlineStr">
        <is>
          <t>893252561</t>
        </is>
      </c>
    </row>
    <row r="247">
      <c r="A247" t="inlineStr">
        <is>
          <t>No</t>
        </is>
      </c>
      <c r="B247" t="inlineStr">
        <is>
          <t>BT135 .W37 1932</t>
        </is>
      </c>
      <c r="C247" t="inlineStr">
        <is>
          <t>0                      BT 0135000W  37          1932</t>
        </is>
      </c>
      <c r="D247" t="inlineStr">
        <is>
          <t>The bow in the clouds : an essay towards the integration of experience / by E. I. Watkin.</t>
        </is>
      </c>
      <c r="F247" t="inlineStr">
        <is>
          <t>No</t>
        </is>
      </c>
      <c r="G247" t="inlineStr">
        <is>
          <t>1</t>
        </is>
      </c>
      <c r="H247" t="inlineStr">
        <is>
          <t>No</t>
        </is>
      </c>
      <c r="I247" t="inlineStr">
        <is>
          <t>No</t>
        </is>
      </c>
      <c r="J247" t="inlineStr">
        <is>
          <t>0</t>
        </is>
      </c>
      <c r="K247" t="inlineStr">
        <is>
          <t>Watkin, E. I. (Edward Ingram), 1888-1981.</t>
        </is>
      </c>
      <c r="L247" t="inlineStr">
        <is>
          <t>New York : The Macmillan company, 1932.</t>
        </is>
      </c>
      <c r="M247" t="inlineStr">
        <is>
          <t>1932</t>
        </is>
      </c>
      <c r="O247" t="inlineStr">
        <is>
          <t>eng</t>
        </is>
      </c>
      <c r="P247" t="inlineStr">
        <is>
          <t>nyu</t>
        </is>
      </c>
      <c r="Q247" t="inlineStr">
        <is>
          <t>Essays in order ; 4</t>
        </is>
      </c>
      <c r="R247" t="inlineStr">
        <is>
          <t xml:space="preserve">BT </t>
        </is>
      </c>
      <c r="S247" t="n">
        <v>1</v>
      </c>
      <c r="T247" t="n">
        <v>1</v>
      </c>
      <c r="U247" t="inlineStr">
        <is>
          <t>1995-05-25</t>
        </is>
      </c>
      <c r="V247" t="inlineStr">
        <is>
          <t>1995-05-25</t>
        </is>
      </c>
      <c r="W247" t="inlineStr">
        <is>
          <t>1991-08-02</t>
        </is>
      </c>
      <c r="X247" t="inlineStr">
        <is>
          <t>1991-08-02</t>
        </is>
      </c>
      <c r="Y247" t="n">
        <v>125</v>
      </c>
      <c r="Z247" t="n">
        <v>118</v>
      </c>
      <c r="AA247" t="n">
        <v>181</v>
      </c>
      <c r="AB247" t="n">
        <v>2</v>
      </c>
      <c r="AC247" t="n">
        <v>2</v>
      </c>
      <c r="AD247" t="n">
        <v>22</v>
      </c>
      <c r="AE247" t="n">
        <v>27</v>
      </c>
      <c r="AF247" t="n">
        <v>7</v>
      </c>
      <c r="AG247" t="n">
        <v>9</v>
      </c>
      <c r="AH247" t="n">
        <v>5</v>
      </c>
      <c r="AI247" t="n">
        <v>6</v>
      </c>
      <c r="AJ247" t="n">
        <v>20</v>
      </c>
      <c r="AK247" t="n">
        <v>23</v>
      </c>
      <c r="AL247" t="n">
        <v>0</v>
      </c>
      <c r="AM247" t="n">
        <v>0</v>
      </c>
      <c r="AN247" t="n">
        <v>0</v>
      </c>
      <c r="AO247" t="n">
        <v>0</v>
      </c>
      <c r="AP247" t="inlineStr">
        <is>
          <t>No</t>
        </is>
      </c>
      <c r="AQ247" t="inlineStr">
        <is>
          <t>Yes</t>
        </is>
      </c>
      <c r="AR247">
        <f>HYPERLINK("http://catalog.hathitrust.org/Record/000778603","HathiTrust Record")</f>
        <v/>
      </c>
      <c r="AS247">
        <f>HYPERLINK("https://creighton-primo.hosted.exlibrisgroup.com/primo-explore/search?tab=default_tab&amp;search_scope=EVERYTHING&amp;vid=01CRU&amp;lang=en_US&amp;offset=0&amp;query=any,contains,991003895109702656","Catalog Record")</f>
        <v/>
      </c>
      <c r="AT247">
        <f>HYPERLINK("http://www.worldcat.org/oclc/1807061","WorldCat Record")</f>
        <v/>
      </c>
      <c r="AU247" t="inlineStr">
        <is>
          <t>291189102:eng</t>
        </is>
      </c>
      <c r="AV247" t="inlineStr">
        <is>
          <t>1807061</t>
        </is>
      </c>
      <c r="AW247" t="inlineStr">
        <is>
          <t>991003895109702656</t>
        </is>
      </c>
      <c r="AX247" t="inlineStr">
        <is>
          <t>991003895109702656</t>
        </is>
      </c>
      <c r="AY247" t="inlineStr">
        <is>
          <t>2271541590002656</t>
        </is>
      </c>
      <c r="AZ247" t="inlineStr">
        <is>
          <t>BOOK</t>
        </is>
      </c>
      <c r="BC247" t="inlineStr">
        <is>
          <t>32285000694215</t>
        </is>
      </c>
      <c r="BD247" t="inlineStr">
        <is>
          <t>893506123</t>
        </is>
      </c>
    </row>
    <row r="248">
      <c r="A248" t="inlineStr">
        <is>
          <t>No</t>
        </is>
      </c>
      <c r="B248" t="inlineStr">
        <is>
          <t>BT1350 .K66</t>
        </is>
      </c>
      <c r="C248" t="inlineStr">
        <is>
          <t>0                      BT 1350000K  66</t>
        </is>
      </c>
      <c r="D248" t="inlineStr">
        <is>
          <t>A history of Neo-Arianism / by Thomas A. Kopecek.</t>
        </is>
      </c>
      <c r="E248" t="inlineStr">
        <is>
          <t>V.2</t>
        </is>
      </c>
      <c r="F248" t="inlineStr">
        <is>
          <t>Yes</t>
        </is>
      </c>
      <c r="G248" t="inlineStr">
        <is>
          <t>1</t>
        </is>
      </c>
      <c r="H248" t="inlineStr">
        <is>
          <t>No</t>
        </is>
      </c>
      <c r="I248" t="inlineStr">
        <is>
          <t>No</t>
        </is>
      </c>
      <c r="J248" t="inlineStr">
        <is>
          <t>0</t>
        </is>
      </c>
      <c r="K248" t="inlineStr">
        <is>
          <t>Kopecek, Thomas A.</t>
        </is>
      </c>
      <c r="L248" t="inlineStr">
        <is>
          <t>Cambridge, MA : Philadelphia Patristic Foundation ; Winchendon, MA : Distributed by Greeno, Hadden, 1979.</t>
        </is>
      </c>
      <c r="M248" t="inlineStr">
        <is>
          <t>1979</t>
        </is>
      </c>
      <c r="O248" t="inlineStr">
        <is>
          <t>eng</t>
        </is>
      </c>
      <c r="P248" t="inlineStr">
        <is>
          <t>mau</t>
        </is>
      </c>
      <c r="Q248" t="inlineStr">
        <is>
          <t>Patristic monograph series ; no. 8</t>
        </is>
      </c>
      <c r="R248" t="inlineStr">
        <is>
          <t xml:space="preserve">BT </t>
        </is>
      </c>
      <c r="S248" t="n">
        <v>5</v>
      </c>
      <c r="T248" t="n">
        <v>11</v>
      </c>
      <c r="U248" t="inlineStr">
        <is>
          <t>2010-04-13</t>
        </is>
      </c>
      <c r="V248" t="inlineStr">
        <is>
          <t>2010-04-13</t>
        </is>
      </c>
      <c r="W248" t="inlineStr">
        <is>
          <t>1991-11-05</t>
        </is>
      </c>
      <c r="X248" t="inlineStr">
        <is>
          <t>1991-11-05</t>
        </is>
      </c>
      <c r="Y248" t="n">
        <v>284</v>
      </c>
      <c r="Z248" t="n">
        <v>225</v>
      </c>
      <c r="AA248" t="n">
        <v>226</v>
      </c>
      <c r="AB248" t="n">
        <v>2</v>
      </c>
      <c r="AC248" t="n">
        <v>2</v>
      </c>
      <c r="AD248" t="n">
        <v>18</v>
      </c>
      <c r="AE248" t="n">
        <v>18</v>
      </c>
      <c r="AF248" t="n">
        <v>5</v>
      </c>
      <c r="AG248" t="n">
        <v>5</v>
      </c>
      <c r="AH248" t="n">
        <v>4</v>
      </c>
      <c r="AI248" t="n">
        <v>4</v>
      </c>
      <c r="AJ248" t="n">
        <v>12</v>
      </c>
      <c r="AK248" t="n">
        <v>12</v>
      </c>
      <c r="AL248" t="n">
        <v>1</v>
      </c>
      <c r="AM248" t="n">
        <v>1</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HYPERLINK("https://creighton-primo.hosted.exlibrisgroup.com/primo-explore/search?tab=default_tab&amp;search_scope=EVERYTHING&amp;vid=01CRU&amp;lang=en_US&amp;offset=0&amp;query=any,contains,991005046349702656","Catalog Record")</f>
        <v/>
      </c>
      <c r="AT248">
        <f>HYPERLINK("http://www.worldcat.org/oclc/6841846","WorldCat Record")</f>
        <v/>
      </c>
      <c r="AU248" t="inlineStr">
        <is>
          <t>560160:eng</t>
        </is>
      </c>
      <c r="AV248" t="inlineStr">
        <is>
          <t>6841846</t>
        </is>
      </c>
      <c r="AW248" t="inlineStr">
        <is>
          <t>991005046349702656</t>
        </is>
      </c>
      <c r="AX248" t="inlineStr">
        <is>
          <t>991005046349702656</t>
        </is>
      </c>
      <c r="AY248" t="inlineStr">
        <is>
          <t>2271862270002656</t>
        </is>
      </c>
      <c r="AZ248" t="inlineStr">
        <is>
          <t>BOOK</t>
        </is>
      </c>
      <c r="BB248" t="inlineStr">
        <is>
          <t>9780915646074</t>
        </is>
      </c>
      <c r="BC248" t="inlineStr">
        <is>
          <t>32285000809060</t>
        </is>
      </c>
      <c r="BD248" t="inlineStr">
        <is>
          <t>893876851</t>
        </is>
      </c>
    </row>
    <row r="249">
      <c r="A249" t="inlineStr">
        <is>
          <t>No</t>
        </is>
      </c>
      <c r="B249" t="inlineStr">
        <is>
          <t>BT1350 .K66</t>
        </is>
      </c>
      <c r="C249" t="inlineStr">
        <is>
          <t>0                      BT 1350000K  66</t>
        </is>
      </c>
      <c r="D249" t="inlineStr">
        <is>
          <t>A history of Neo-Arianism / by Thomas A. Kopecek.</t>
        </is>
      </c>
      <c r="E249" t="inlineStr">
        <is>
          <t>V.1</t>
        </is>
      </c>
      <c r="F249" t="inlineStr">
        <is>
          <t>Yes</t>
        </is>
      </c>
      <c r="G249" t="inlineStr">
        <is>
          <t>1</t>
        </is>
      </c>
      <c r="H249" t="inlineStr">
        <is>
          <t>No</t>
        </is>
      </c>
      <c r="I249" t="inlineStr">
        <is>
          <t>No</t>
        </is>
      </c>
      <c r="J249" t="inlineStr">
        <is>
          <t>0</t>
        </is>
      </c>
      <c r="K249" t="inlineStr">
        <is>
          <t>Kopecek, Thomas A.</t>
        </is>
      </c>
      <c r="L249" t="inlineStr">
        <is>
          <t>Cambridge, MA : Philadelphia Patristic Foundation ; Winchendon, MA : Distributed by Greeno, Hadden, 1979.</t>
        </is>
      </c>
      <c r="M249" t="inlineStr">
        <is>
          <t>1979</t>
        </is>
      </c>
      <c r="O249" t="inlineStr">
        <is>
          <t>eng</t>
        </is>
      </c>
      <c r="P249" t="inlineStr">
        <is>
          <t>mau</t>
        </is>
      </c>
      <c r="Q249" t="inlineStr">
        <is>
          <t>Patristic monograph series ; no. 8</t>
        </is>
      </c>
      <c r="R249" t="inlineStr">
        <is>
          <t xml:space="preserve">BT </t>
        </is>
      </c>
      <c r="S249" t="n">
        <v>6</v>
      </c>
      <c r="T249" t="n">
        <v>11</v>
      </c>
      <c r="U249" t="inlineStr">
        <is>
          <t>2010-04-13</t>
        </is>
      </c>
      <c r="V249" t="inlineStr">
        <is>
          <t>2010-04-13</t>
        </is>
      </c>
      <c r="W249" t="inlineStr">
        <is>
          <t>1991-11-05</t>
        </is>
      </c>
      <c r="X249" t="inlineStr">
        <is>
          <t>1991-11-05</t>
        </is>
      </c>
      <c r="Y249" t="n">
        <v>284</v>
      </c>
      <c r="Z249" t="n">
        <v>225</v>
      </c>
      <c r="AA249" t="n">
        <v>226</v>
      </c>
      <c r="AB249" t="n">
        <v>2</v>
      </c>
      <c r="AC249" t="n">
        <v>2</v>
      </c>
      <c r="AD249" t="n">
        <v>18</v>
      </c>
      <c r="AE249" t="n">
        <v>18</v>
      </c>
      <c r="AF249" t="n">
        <v>5</v>
      </c>
      <c r="AG249" t="n">
        <v>5</v>
      </c>
      <c r="AH249" t="n">
        <v>4</v>
      </c>
      <c r="AI249" t="n">
        <v>4</v>
      </c>
      <c r="AJ249" t="n">
        <v>12</v>
      </c>
      <c r="AK249" t="n">
        <v>12</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HYPERLINK("https://creighton-primo.hosted.exlibrisgroup.com/primo-explore/search?tab=default_tab&amp;search_scope=EVERYTHING&amp;vid=01CRU&amp;lang=en_US&amp;offset=0&amp;query=any,contains,991005046349702656","Catalog Record")</f>
        <v/>
      </c>
      <c r="AT249">
        <f>HYPERLINK("http://www.worldcat.org/oclc/6841846","WorldCat Record")</f>
        <v/>
      </c>
      <c r="AU249" t="inlineStr">
        <is>
          <t>560160:eng</t>
        </is>
      </c>
      <c r="AV249" t="inlineStr">
        <is>
          <t>6841846</t>
        </is>
      </c>
      <c r="AW249" t="inlineStr">
        <is>
          <t>991005046349702656</t>
        </is>
      </c>
      <c r="AX249" t="inlineStr">
        <is>
          <t>991005046349702656</t>
        </is>
      </c>
      <c r="AY249" t="inlineStr">
        <is>
          <t>2271862270002656</t>
        </is>
      </c>
      <c r="AZ249" t="inlineStr">
        <is>
          <t>BOOK</t>
        </is>
      </c>
      <c r="BB249" t="inlineStr">
        <is>
          <t>9780915646074</t>
        </is>
      </c>
      <c r="BC249" t="inlineStr">
        <is>
          <t>32285000809052</t>
        </is>
      </c>
      <c r="BD249" t="inlineStr">
        <is>
          <t>893902026</t>
        </is>
      </c>
    </row>
    <row r="250">
      <c r="A250" t="inlineStr">
        <is>
          <t>No</t>
        </is>
      </c>
      <c r="B250" t="inlineStr">
        <is>
          <t>BT1375 .S313</t>
        </is>
      </c>
      <c r="C250" t="inlineStr">
        <is>
          <t>0                      BT 1375000S  313</t>
        </is>
      </c>
      <c r="D250" t="inlineStr">
        <is>
          <t>Jewish Christianity; factional disputes in the early church. Translated by Douglas R. A. Hare.</t>
        </is>
      </c>
      <c r="F250" t="inlineStr">
        <is>
          <t>No</t>
        </is>
      </c>
      <c r="G250" t="inlineStr">
        <is>
          <t>1</t>
        </is>
      </c>
      <c r="H250" t="inlineStr">
        <is>
          <t>No</t>
        </is>
      </c>
      <c r="I250" t="inlineStr">
        <is>
          <t>No</t>
        </is>
      </c>
      <c r="J250" t="inlineStr">
        <is>
          <t>0</t>
        </is>
      </c>
      <c r="K250" t="inlineStr">
        <is>
          <t>Schoeps, Hans-Joachim, 1909-1980.</t>
        </is>
      </c>
      <c r="L250" t="inlineStr">
        <is>
          <t>Philadelphia, Fortress Press [1969]</t>
        </is>
      </c>
      <c r="M250" t="inlineStr">
        <is>
          <t>1969</t>
        </is>
      </c>
      <c r="O250" t="inlineStr">
        <is>
          <t>eng</t>
        </is>
      </c>
      <c r="P250" t="inlineStr">
        <is>
          <t>pau</t>
        </is>
      </c>
      <c r="R250" t="inlineStr">
        <is>
          <t xml:space="preserve">BT </t>
        </is>
      </c>
      <c r="S250" t="n">
        <v>2</v>
      </c>
      <c r="T250" t="n">
        <v>2</v>
      </c>
      <c r="U250" t="inlineStr">
        <is>
          <t>1993-01-22</t>
        </is>
      </c>
      <c r="V250" t="inlineStr">
        <is>
          <t>1993-01-22</t>
        </is>
      </c>
      <c r="W250" t="inlineStr">
        <is>
          <t>1991-11-05</t>
        </is>
      </c>
      <c r="X250" t="inlineStr">
        <is>
          <t>1991-11-05</t>
        </is>
      </c>
      <c r="Y250" t="n">
        <v>453</v>
      </c>
      <c r="Z250" t="n">
        <v>399</v>
      </c>
      <c r="AA250" t="n">
        <v>401</v>
      </c>
      <c r="AB250" t="n">
        <v>3</v>
      </c>
      <c r="AC250" t="n">
        <v>3</v>
      </c>
      <c r="AD250" t="n">
        <v>30</v>
      </c>
      <c r="AE250" t="n">
        <v>30</v>
      </c>
      <c r="AF250" t="n">
        <v>13</v>
      </c>
      <c r="AG250" t="n">
        <v>13</v>
      </c>
      <c r="AH250" t="n">
        <v>7</v>
      </c>
      <c r="AI250" t="n">
        <v>7</v>
      </c>
      <c r="AJ250" t="n">
        <v>18</v>
      </c>
      <c r="AK250" t="n">
        <v>18</v>
      </c>
      <c r="AL250" t="n">
        <v>2</v>
      </c>
      <c r="AM250" t="n">
        <v>2</v>
      </c>
      <c r="AN250" t="n">
        <v>0</v>
      </c>
      <c r="AO250" t="n">
        <v>0</v>
      </c>
      <c r="AP250" t="inlineStr">
        <is>
          <t>No</t>
        </is>
      </c>
      <c r="AQ250" t="inlineStr">
        <is>
          <t>Yes</t>
        </is>
      </c>
      <c r="AR250">
        <f>HYPERLINK("http://catalog.hathitrust.org/Record/001412967","HathiTrust Record")</f>
        <v/>
      </c>
      <c r="AS250">
        <f>HYPERLINK("https://creighton-primo.hosted.exlibrisgroup.com/primo-explore/search?tab=default_tab&amp;search_scope=EVERYTHING&amp;vid=01CRU&amp;lang=en_US&amp;offset=0&amp;query=any,contains,991005436719702656","Catalog Record")</f>
        <v/>
      </c>
      <c r="AT250">
        <f>HYPERLINK("http://www.worldcat.org/oclc/4654","WorldCat Record")</f>
        <v/>
      </c>
      <c r="AU250" t="inlineStr">
        <is>
          <t>1150898266:eng</t>
        </is>
      </c>
      <c r="AV250" t="inlineStr">
        <is>
          <t>4654</t>
        </is>
      </c>
      <c r="AW250" t="inlineStr">
        <is>
          <t>991005436719702656</t>
        </is>
      </c>
      <c r="AX250" t="inlineStr">
        <is>
          <t>991005436719702656</t>
        </is>
      </c>
      <c r="AY250" t="inlineStr">
        <is>
          <t>2266317590002656</t>
        </is>
      </c>
      <c r="AZ250" t="inlineStr">
        <is>
          <t>BOOK</t>
        </is>
      </c>
      <c r="BC250" t="inlineStr">
        <is>
          <t>32285000809151</t>
        </is>
      </c>
      <c r="BD250" t="inlineStr">
        <is>
          <t>893425172</t>
        </is>
      </c>
    </row>
    <row r="251">
      <c r="A251" t="inlineStr">
        <is>
          <t>No</t>
        </is>
      </c>
      <c r="B251" t="inlineStr">
        <is>
          <t>BT1390 .D35 1976</t>
        </is>
      </c>
      <c r="C251" t="inlineStr">
        <is>
          <t>0                      BT 1390000D  35          1976</t>
        </is>
      </c>
      <c r="D251" t="inlineStr">
        <is>
          <t>The laughing Savior : the discovery and significance of the Nag Hammadi gnostic library / John Dart.</t>
        </is>
      </c>
      <c r="F251" t="inlineStr">
        <is>
          <t>No</t>
        </is>
      </c>
      <c r="G251" t="inlineStr">
        <is>
          <t>1</t>
        </is>
      </c>
      <c r="H251" t="inlineStr">
        <is>
          <t>No</t>
        </is>
      </c>
      <c r="I251" t="inlineStr">
        <is>
          <t>No</t>
        </is>
      </c>
      <c r="J251" t="inlineStr">
        <is>
          <t>0</t>
        </is>
      </c>
      <c r="K251" t="inlineStr">
        <is>
          <t>Dart, John, 1936-</t>
        </is>
      </c>
      <c r="L251" t="inlineStr">
        <is>
          <t>New York : Harper &amp; Row, c1976.</t>
        </is>
      </c>
      <c r="M251" t="inlineStr">
        <is>
          <t>1976</t>
        </is>
      </c>
      <c r="N251" t="inlineStr">
        <is>
          <t>1st ed.</t>
        </is>
      </c>
      <c r="O251" t="inlineStr">
        <is>
          <t>eng</t>
        </is>
      </c>
      <c r="P251" t="inlineStr">
        <is>
          <t>nyu</t>
        </is>
      </c>
      <c r="R251" t="inlineStr">
        <is>
          <t xml:space="preserve">BT </t>
        </is>
      </c>
      <c r="S251" t="n">
        <v>5</v>
      </c>
      <c r="T251" t="n">
        <v>5</v>
      </c>
      <c r="U251" t="inlineStr">
        <is>
          <t>2005-12-05</t>
        </is>
      </c>
      <c r="V251" t="inlineStr">
        <is>
          <t>2005-12-05</t>
        </is>
      </c>
      <c r="W251" t="inlineStr">
        <is>
          <t>1990-03-02</t>
        </is>
      </c>
      <c r="X251" t="inlineStr">
        <is>
          <t>1990-03-02</t>
        </is>
      </c>
      <c r="Y251" t="n">
        <v>627</v>
      </c>
      <c r="Z251" t="n">
        <v>557</v>
      </c>
      <c r="AA251" t="n">
        <v>564</v>
      </c>
      <c r="AB251" t="n">
        <v>5</v>
      </c>
      <c r="AC251" t="n">
        <v>5</v>
      </c>
      <c r="AD251" t="n">
        <v>24</v>
      </c>
      <c r="AE251" t="n">
        <v>24</v>
      </c>
      <c r="AF251" t="n">
        <v>7</v>
      </c>
      <c r="AG251" t="n">
        <v>7</v>
      </c>
      <c r="AH251" t="n">
        <v>5</v>
      </c>
      <c r="AI251" t="n">
        <v>5</v>
      </c>
      <c r="AJ251" t="n">
        <v>16</v>
      </c>
      <c r="AK251" t="n">
        <v>16</v>
      </c>
      <c r="AL251" t="n">
        <v>3</v>
      </c>
      <c r="AM251" t="n">
        <v>3</v>
      </c>
      <c r="AN251" t="n">
        <v>0</v>
      </c>
      <c r="AO251" t="n">
        <v>0</v>
      </c>
      <c r="AP251" t="inlineStr">
        <is>
          <t>No</t>
        </is>
      </c>
      <c r="AQ251" t="inlineStr">
        <is>
          <t>Yes</t>
        </is>
      </c>
      <c r="AR251">
        <f>HYPERLINK("http://catalog.hathitrust.org/Record/000728714","HathiTrust Record")</f>
        <v/>
      </c>
      <c r="AS251">
        <f>HYPERLINK("https://creighton-primo.hosted.exlibrisgroup.com/primo-explore/search?tab=default_tab&amp;search_scope=EVERYTHING&amp;vid=01CRU&amp;lang=en_US&amp;offset=0&amp;query=any,contains,991004075139702656","Catalog Record")</f>
        <v/>
      </c>
      <c r="AT251">
        <f>HYPERLINK("http://www.worldcat.org/oclc/2317520","WorldCat Record")</f>
        <v/>
      </c>
      <c r="AU251" t="inlineStr">
        <is>
          <t>4639381:eng</t>
        </is>
      </c>
      <c r="AV251" t="inlineStr">
        <is>
          <t>2317520</t>
        </is>
      </c>
      <c r="AW251" t="inlineStr">
        <is>
          <t>991004075139702656</t>
        </is>
      </c>
      <c r="AX251" t="inlineStr">
        <is>
          <t>991004075139702656</t>
        </is>
      </c>
      <c r="AY251" t="inlineStr">
        <is>
          <t>2261860170002656</t>
        </is>
      </c>
      <c r="AZ251" t="inlineStr">
        <is>
          <t>BOOK</t>
        </is>
      </c>
      <c r="BB251" t="inlineStr">
        <is>
          <t>9780060616922</t>
        </is>
      </c>
      <c r="BC251" t="inlineStr">
        <is>
          <t>32285000074236</t>
        </is>
      </c>
      <c r="BD251" t="inlineStr">
        <is>
          <t>893417194</t>
        </is>
      </c>
    </row>
    <row r="252">
      <c r="A252" t="inlineStr">
        <is>
          <t>No</t>
        </is>
      </c>
      <c r="B252" t="inlineStr">
        <is>
          <t>BT1390 .D613</t>
        </is>
      </c>
      <c r="C252" t="inlineStr">
        <is>
          <t>0                      BT 1390000D  613</t>
        </is>
      </c>
      <c r="D252" t="inlineStr">
        <is>
          <t>The secret books of the Egyptian Gnostics : an introduction to the Gnostic Coptic manuscripts discovered at Chenoboskion / [Translation by Philip Mairet] With an English translation and critical evaluation of the Gospel according to Thomas.</t>
        </is>
      </c>
      <c r="F252" t="inlineStr">
        <is>
          <t>No</t>
        </is>
      </c>
      <c r="G252" t="inlineStr">
        <is>
          <t>1</t>
        </is>
      </c>
      <c r="H252" t="inlineStr">
        <is>
          <t>No</t>
        </is>
      </c>
      <c r="I252" t="inlineStr">
        <is>
          <t>No</t>
        </is>
      </c>
      <c r="J252" t="inlineStr">
        <is>
          <t>0</t>
        </is>
      </c>
      <c r="K252" t="inlineStr">
        <is>
          <t>Doresse, Jean, 1917-2007.</t>
        </is>
      </c>
      <c r="L252" t="inlineStr">
        <is>
          <t>New York : Viking Press, 1960.</t>
        </is>
      </c>
      <c r="M252" t="inlineStr">
        <is>
          <t>1960</t>
        </is>
      </c>
      <c r="O252" t="inlineStr">
        <is>
          <t>eng</t>
        </is>
      </c>
      <c r="P252" t="inlineStr">
        <is>
          <t>nyu</t>
        </is>
      </c>
      <c r="R252" t="inlineStr">
        <is>
          <t xml:space="preserve">BT </t>
        </is>
      </c>
      <c r="S252" t="n">
        <v>7</v>
      </c>
      <c r="T252" t="n">
        <v>7</v>
      </c>
      <c r="U252" t="inlineStr">
        <is>
          <t>2010-04-12</t>
        </is>
      </c>
      <c r="V252" t="inlineStr">
        <is>
          <t>2010-04-12</t>
        </is>
      </c>
      <c r="W252" t="inlineStr">
        <is>
          <t>1991-11-05</t>
        </is>
      </c>
      <c r="X252" t="inlineStr">
        <is>
          <t>1991-11-05</t>
        </is>
      </c>
      <c r="Y252" t="n">
        <v>519</v>
      </c>
      <c r="Z252" t="n">
        <v>496</v>
      </c>
      <c r="AA252" t="n">
        <v>914</v>
      </c>
      <c r="AB252" t="n">
        <v>5</v>
      </c>
      <c r="AC252" t="n">
        <v>7</v>
      </c>
      <c r="AD252" t="n">
        <v>19</v>
      </c>
      <c r="AE252" t="n">
        <v>37</v>
      </c>
      <c r="AF252" t="n">
        <v>7</v>
      </c>
      <c r="AG252" t="n">
        <v>16</v>
      </c>
      <c r="AH252" t="n">
        <v>4</v>
      </c>
      <c r="AI252" t="n">
        <v>8</v>
      </c>
      <c r="AJ252" t="n">
        <v>12</v>
      </c>
      <c r="AK252" t="n">
        <v>20</v>
      </c>
      <c r="AL252" t="n">
        <v>1</v>
      </c>
      <c r="AM252" t="n">
        <v>2</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HYPERLINK("https://creighton-primo.hosted.exlibrisgroup.com/primo-explore/search?tab=default_tab&amp;search_scope=EVERYTHING&amp;vid=01CRU&amp;lang=en_US&amp;offset=0&amp;query=any,contains,991004836609702656","Catalog Record")</f>
        <v/>
      </c>
      <c r="AT252">
        <f>HYPERLINK("http://www.worldcat.org/oclc/5452836","WorldCat Record")</f>
        <v/>
      </c>
      <c r="AU252" t="inlineStr">
        <is>
          <t>1673318242:eng</t>
        </is>
      </c>
      <c r="AV252" t="inlineStr">
        <is>
          <t>5452836</t>
        </is>
      </c>
      <c r="AW252" t="inlineStr">
        <is>
          <t>991004836609702656</t>
        </is>
      </c>
      <c r="AX252" t="inlineStr">
        <is>
          <t>991004836609702656</t>
        </is>
      </c>
      <c r="AY252" t="inlineStr">
        <is>
          <t>2269728330002656</t>
        </is>
      </c>
      <c r="AZ252" t="inlineStr">
        <is>
          <t>BOOK</t>
        </is>
      </c>
      <c r="BC252" t="inlineStr">
        <is>
          <t>32285000809193</t>
        </is>
      </c>
      <c r="BD252" t="inlineStr">
        <is>
          <t>893895546</t>
        </is>
      </c>
    </row>
    <row r="253">
      <c r="A253" t="inlineStr">
        <is>
          <t>No</t>
        </is>
      </c>
      <c r="B253" t="inlineStr">
        <is>
          <t>BT1390 .F613</t>
        </is>
      </c>
      <c r="C253" t="inlineStr">
        <is>
          <t>0                      BT 1390000F  613</t>
        </is>
      </c>
      <c r="D253" t="inlineStr">
        <is>
          <t>Gnosis : a selection of Gnostic texts / English translation edited by R. McL. Wilson.</t>
        </is>
      </c>
      <c r="E253" t="inlineStr">
        <is>
          <t>V.1</t>
        </is>
      </c>
      <c r="F253" t="inlineStr">
        <is>
          <t>Yes</t>
        </is>
      </c>
      <c r="G253" t="inlineStr">
        <is>
          <t>1</t>
        </is>
      </c>
      <c r="H253" t="inlineStr">
        <is>
          <t>No</t>
        </is>
      </c>
      <c r="I253" t="inlineStr">
        <is>
          <t>No</t>
        </is>
      </c>
      <c r="J253" t="inlineStr">
        <is>
          <t>0</t>
        </is>
      </c>
      <c r="K253" t="inlineStr">
        <is>
          <t>Foerster, Werner, 1897-1975 compiler.</t>
        </is>
      </c>
      <c r="L253" t="inlineStr">
        <is>
          <t>Oxford, Clarendon Press, 1972-74.</t>
        </is>
      </c>
      <c r="M253" t="inlineStr">
        <is>
          <t>1972</t>
        </is>
      </c>
      <c r="O253" t="inlineStr">
        <is>
          <t>eng</t>
        </is>
      </c>
      <c r="P253" t="inlineStr">
        <is>
          <t>enk</t>
        </is>
      </c>
      <c r="R253" t="inlineStr">
        <is>
          <t xml:space="preserve">BT </t>
        </is>
      </c>
      <c r="S253" t="n">
        <v>6</v>
      </c>
      <c r="T253" t="n">
        <v>11</v>
      </c>
      <c r="U253" t="inlineStr">
        <is>
          <t>1999-04-28</t>
        </is>
      </c>
      <c r="V253" t="inlineStr">
        <is>
          <t>1999-04-28</t>
        </is>
      </c>
      <c r="W253" t="inlineStr">
        <is>
          <t>1991-11-05</t>
        </is>
      </c>
      <c r="X253" t="inlineStr">
        <is>
          <t>1991-11-05</t>
        </is>
      </c>
      <c r="Y253" t="n">
        <v>560</v>
      </c>
      <c r="Z253" t="n">
        <v>459</v>
      </c>
      <c r="AA253" t="n">
        <v>480</v>
      </c>
      <c r="AB253" t="n">
        <v>5</v>
      </c>
      <c r="AC253" t="n">
        <v>5</v>
      </c>
      <c r="AD253" t="n">
        <v>33</v>
      </c>
      <c r="AE253" t="n">
        <v>34</v>
      </c>
      <c r="AF253" t="n">
        <v>10</v>
      </c>
      <c r="AG253" t="n">
        <v>10</v>
      </c>
      <c r="AH253" t="n">
        <v>8</v>
      </c>
      <c r="AI253" t="n">
        <v>9</v>
      </c>
      <c r="AJ253" t="n">
        <v>20</v>
      </c>
      <c r="AK253" t="n">
        <v>20</v>
      </c>
      <c r="AL253" t="n">
        <v>4</v>
      </c>
      <c r="AM253" t="n">
        <v>4</v>
      </c>
      <c r="AN253" t="n">
        <v>0</v>
      </c>
      <c r="AO253" t="n">
        <v>0</v>
      </c>
      <c r="AP253" t="inlineStr">
        <is>
          <t>No</t>
        </is>
      </c>
      <c r="AQ253" t="inlineStr">
        <is>
          <t>Yes</t>
        </is>
      </c>
      <c r="AR253">
        <f>HYPERLINK("http://catalog.hathitrust.org/Record/000315125","HathiTrust Record")</f>
        <v/>
      </c>
      <c r="AS253">
        <f>HYPERLINK("https://creighton-primo.hosted.exlibrisgroup.com/primo-explore/search?tab=default_tab&amp;search_scope=EVERYTHING&amp;vid=01CRU&amp;lang=en_US&amp;offset=0&amp;query=any,contains,991003076349702656","Catalog Record")</f>
        <v/>
      </c>
      <c r="AT253">
        <f>HYPERLINK("http://www.worldcat.org/oclc/628903","WorldCat Record")</f>
        <v/>
      </c>
      <c r="AU253" t="inlineStr">
        <is>
          <t>2909008503:eng</t>
        </is>
      </c>
      <c r="AV253" t="inlineStr">
        <is>
          <t>628903</t>
        </is>
      </c>
      <c r="AW253" t="inlineStr">
        <is>
          <t>991003076349702656</t>
        </is>
      </c>
      <c r="AX253" t="inlineStr">
        <is>
          <t>991003076349702656</t>
        </is>
      </c>
      <c r="AY253" t="inlineStr">
        <is>
          <t>2269092200002656</t>
        </is>
      </c>
      <c r="AZ253" t="inlineStr">
        <is>
          <t>BOOK</t>
        </is>
      </c>
      <c r="BB253" t="inlineStr">
        <is>
          <t>9780198264330</t>
        </is>
      </c>
      <c r="BC253" t="inlineStr">
        <is>
          <t>32285000809201</t>
        </is>
      </c>
      <c r="BD253" t="inlineStr">
        <is>
          <t>893698644</t>
        </is>
      </c>
    </row>
    <row r="254">
      <c r="A254" t="inlineStr">
        <is>
          <t>No</t>
        </is>
      </c>
      <c r="B254" t="inlineStr">
        <is>
          <t>BT1390 .F613</t>
        </is>
      </c>
      <c r="C254" t="inlineStr">
        <is>
          <t>0                      BT 1390000F  613</t>
        </is>
      </c>
      <c r="D254" t="inlineStr">
        <is>
          <t>Gnosis : a selection of Gnostic texts / English translation edited by R. McL. Wilson.</t>
        </is>
      </c>
      <c r="E254" t="inlineStr">
        <is>
          <t>V.2</t>
        </is>
      </c>
      <c r="F254" t="inlineStr">
        <is>
          <t>Yes</t>
        </is>
      </c>
      <c r="G254" t="inlineStr">
        <is>
          <t>1</t>
        </is>
      </c>
      <c r="H254" t="inlineStr">
        <is>
          <t>No</t>
        </is>
      </c>
      <c r="I254" t="inlineStr">
        <is>
          <t>No</t>
        </is>
      </c>
      <c r="J254" t="inlineStr">
        <is>
          <t>0</t>
        </is>
      </c>
      <c r="K254" t="inlineStr">
        <is>
          <t>Foerster, Werner, 1897-1975 compiler.</t>
        </is>
      </c>
      <c r="L254" t="inlineStr">
        <is>
          <t>Oxford, Clarendon Press, 1972-74.</t>
        </is>
      </c>
      <c r="M254" t="inlineStr">
        <is>
          <t>1972</t>
        </is>
      </c>
      <c r="O254" t="inlineStr">
        <is>
          <t>eng</t>
        </is>
      </c>
      <c r="P254" t="inlineStr">
        <is>
          <t>enk</t>
        </is>
      </c>
      <c r="R254" t="inlineStr">
        <is>
          <t xml:space="preserve">BT </t>
        </is>
      </c>
      <c r="S254" t="n">
        <v>5</v>
      </c>
      <c r="T254" t="n">
        <v>11</v>
      </c>
      <c r="U254" t="inlineStr">
        <is>
          <t>1999-04-28</t>
        </is>
      </c>
      <c r="V254" t="inlineStr">
        <is>
          <t>1999-04-28</t>
        </is>
      </c>
      <c r="W254" t="inlineStr">
        <is>
          <t>1991-11-05</t>
        </is>
      </c>
      <c r="X254" t="inlineStr">
        <is>
          <t>1991-11-05</t>
        </is>
      </c>
      <c r="Y254" t="n">
        <v>560</v>
      </c>
      <c r="Z254" t="n">
        <v>459</v>
      </c>
      <c r="AA254" t="n">
        <v>480</v>
      </c>
      <c r="AB254" t="n">
        <v>5</v>
      </c>
      <c r="AC254" t="n">
        <v>5</v>
      </c>
      <c r="AD254" t="n">
        <v>33</v>
      </c>
      <c r="AE254" t="n">
        <v>34</v>
      </c>
      <c r="AF254" t="n">
        <v>10</v>
      </c>
      <c r="AG254" t="n">
        <v>10</v>
      </c>
      <c r="AH254" t="n">
        <v>8</v>
      </c>
      <c r="AI254" t="n">
        <v>9</v>
      </c>
      <c r="AJ254" t="n">
        <v>20</v>
      </c>
      <c r="AK254" t="n">
        <v>20</v>
      </c>
      <c r="AL254" t="n">
        <v>4</v>
      </c>
      <c r="AM254" t="n">
        <v>4</v>
      </c>
      <c r="AN254" t="n">
        <v>0</v>
      </c>
      <c r="AO254" t="n">
        <v>0</v>
      </c>
      <c r="AP254" t="inlineStr">
        <is>
          <t>No</t>
        </is>
      </c>
      <c r="AQ254" t="inlineStr">
        <is>
          <t>Yes</t>
        </is>
      </c>
      <c r="AR254">
        <f>HYPERLINK("http://catalog.hathitrust.org/Record/000315125","HathiTrust Record")</f>
        <v/>
      </c>
      <c r="AS254">
        <f>HYPERLINK("https://creighton-primo.hosted.exlibrisgroup.com/primo-explore/search?tab=default_tab&amp;search_scope=EVERYTHING&amp;vid=01CRU&amp;lang=en_US&amp;offset=0&amp;query=any,contains,991003076349702656","Catalog Record")</f>
        <v/>
      </c>
      <c r="AT254">
        <f>HYPERLINK("http://www.worldcat.org/oclc/628903","WorldCat Record")</f>
        <v/>
      </c>
      <c r="AU254" t="inlineStr">
        <is>
          <t>2909008503:eng</t>
        </is>
      </c>
      <c r="AV254" t="inlineStr">
        <is>
          <t>628903</t>
        </is>
      </c>
      <c r="AW254" t="inlineStr">
        <is>
          <t>991003076349702656</t>
        </is>
      </c>
      <c r="AX254" t="inlineStr">
        <is>
          <t>991003076349702656</t>
        </is>
      </c>
      <c r="AY254" t="inlineStr">
        <is>
          <t>2269092200002656</t>
        </is>
      </c>
      <c r="AZ254" t="inlineStr">
        <is>
          <t>BOOK</t>
        </is>
      </c>
      <c r="BB254" t="inlineStr">
        <is>
          <t>9780198264330</t>
        </is>
      </c>
      <c r="BC254" t="inlineStr">
        <is>
          <t>32285000809219</t>
        </is>
      </c>
      <c r="BD254" t="inlineStr">
        <is>
          <t>893692368</t>
        </is>
      </c>
    </row>
    <row r="255">
      <c r="A255" t="inlineStr">
        <is>
          <t>No</t>
        </is>
      </c>
      <c r="B255" t="inlineStr">
        <is>
          <t>BT1390 .G49</t>
        </is>
      </c>
      <c r="C255" t="inlineStr">
        <is>
          <t>0                      BT 1390000G  49</t>
        </is>
      </c>
      <c r="D255" t="inlineStr">
        <is>
          <t>Gnosis : Festschr. für Hans Jonas / In Verbindung mit Ugo Bianchi ... [et al.] ; hrsg. von Barbara Aland.</t>
        </is>
      </c>
      <c r="F255" t="inlineStr">
        <is>
          <t>No</t>
        </is>
      </c>
      <c r="G255" t="inlineStr">
        <is>
          <t>1</t>
        </is>
      </c>
      <c r="H255" t="inlineStr">
        <is>
          <t>No</t>
        </is>
      </c>
      <c r="I255" t="inlineStr">
        <is>
          <t>No</t>
        </is>
      </c>
      <c r="J255" t="inlineStr">
        <is>
          <t>0</t>
        </is>
      </c>
      <c r="L255" t="inlineStr">
        <is>
          <t>Göttingen : Vandenhoeck und Ruprecht, 1978.</t>
        </is>
      </c>
      <c r="M255" t="inlineStr">
        <is>
          <t>1978</t>
        </is>
      </c>
      <c r="O255" t="inlineStr">
        <is>
          <t>ger</t>
        </is>
      </c>
      <c r="P255" t="inlineStr">
        <is>
          <t xml:space="preserve">gw </t>
        </is>
      </c>
      <c r="R255" t="inlineStr">
        <is>
          <t xml:space="preserve">BT </t>
        </is>
      </c>
      <c r="S255" t="n">
        <v>3</v>
      </c>
      <c r="T255" t="n">
        <v>3</v>
      </c>
      <c r="U255" t="inlineStr">
        <is>
          <t>2007-05-21</t>
        </is>
      </c>
      <c r="V255" t="inlineStr">
        <is>
          <t>2007-05-21</t>
        </is>
      </c>
      <c r="W255" t="inlineStr">
        <is>
          <t>1991-11-05</t>
        </is>
      </c>
      <c r="X255" t="inlineStr">
        <is>
          <t>1991-11-05</t>
        </is>
      </c>
      <c r="Y255" t="n">
        <v>238</v>
      </c>
      <c r="Z255" t="n">
        <v>129</v>
      </c>
      <c r="AA255" t="n">
        <v>130</v>
      </c>
      <c r="AB255" t="n">
        <v>2</v>
      </c>
      <c r="AC255" t="n">
        <v>2</v>
      </c>
      <c r="AD255" t="n">
        <v>10</v>
      </c>
      <c r="AE255" t="n">
        <v>10</v>
      </c>
      <c r="AF255" t="n">
        <v>1</v>
      </c>
      <c r="AG255" t="n">
        <v>1</v>
      </c>
      <c r="AH255" t="n">
        <v>3</v>
      </c>
      <c r="AI255" t="n">
        <v>3</v>
      </c>
      <c r="AJ255" t="n">
        <v>6</v>
      </c>
      <c r="AK255" t="n">
        <v>6</v>
      </c>
      <c r="AL255" t="n">
        <v>1</v>
      </c>
      <c r="AM255" t="n">
        <v>1</v>
      </c>
      <c r="AN255" t="n">
        <v>0</v>
      </c>
      <c r="AO255" t="n">
        <v>0</v>
      </c>
      <c r="AP255" t="inlineStr">
        <is>
          <t>No</t>
        </is>
      </c>
      <c r="AQ255" t="inlineStr">
        <is>
          <t>Yes</t>
        </is>
      </c>
      <c r="AR255">
        <f>HYPERLINK("http://catalog.hathitrust.org/Record/000299433","HathiTrust Record")</f>
        <v/>
      </c>
      <c r="AS255">
        <f>HYPERLINK("https://creighton-primo.hosted.exlibrisgroup.com/primo-explore/search?tab=default_tab&amp;search_scope=EVERYTHING&amp;vid=01CRU&amp;lang=en_US&amp;offset=0&amp;query=any,contains,991004735579702656","Catalog Record")</f>
        <v/>
      </c>
      <c r="AT255">
        <f>HYPERLINK("http://www.worldcat.org/oclc/4856989","WorldCat Record")</f>
        <v/>
      </c>
      <c r="AU255" t="inlineStr">
        <is>
          <t>9490436799:ger</t>
        </is>
      </c>
      <c r="AV255" t="inlineStr">
        <is>
          <t>4856989</t>
        </is>
      </c>
      <c r="AW255" t="inlineStr">
        <is>
          <t>991004735579702656</t>
        </is>
      </c>
      <c r="AX255" t="inlineStr">
        <is>
          <t>991004735579702656</t>
        </is>
      </c>
      <c r="AY255" t="inlineStr">
        <is>
          <t>2268478760002656</t>
        </is>
      </c>
      <c r="AZ255" t="inlineStr">
        <is>
          <t>BOOK</t>
        </is>
      </c>
      <c r="BB255" t="inlineStr">
        <is>
          <t>9783525581117</t>
        </is>
      </c>
      <c r="BC255" t="inlineStr">
        <is>
          <t>32285000809227</t>
        </is>
      </c>
      <c r="BD255" t="inlineStr">
        <is>
          <t>893430435</t>
        </is>
      </c>
    </row>
    <row r="256">
      <c r="A256" t="inlineStr">
        <is>
          <t>No</t>
        </is>
      </c>
      <c r="B256" t="inlineStr">
        <is>
          <t>BT1390 .G7 1961b</t>
        </is>
      </c>
      <c r="C256" t="inlineStr">
        <is>
          <t>0                      BT 1390000G  7           1961b</t>
        </is>
      </c>
      <c r="D256" t="inlineStr">
        <is>
          <t>Gnosticism : an anthology / edited by Robert M. Grant.</t>
        </is>
      </c>
      <c r="F256" t="inlineStr">
        <is>
          <t>No</t>
        </is>
      </c>
      <c r="G256" t="inlineStr">
        <is>
          <t>1</t>
        </is>
      </c>
      <c r="H256" t="inlineStr">
        <is>
          <t>No</t>
        </is>
      </c>
      <c r="I256" t="inlineStr">
        <is>
          <t>No</t>
        </is>
      </c>
      <c r="J256" t="inlineStr">
        <is>
          <t>0</t>
        </is>
      </c>
      <c r="K256" t="inlineStr">
        <is>
          <t>Grant, Robert M. (Robert McQueen), 1917-2014.</t>
        </is>
      </c>
      <c r="L256" t="inlineStr">
        <is>
          <t>London : Collins, 1961.</t>
        </is>
      </c>
      <c r="M256" t="inlineStr">
        <is>
          <t>1961</t>
        </is>
      </c>
      <c r="O256" t="inlineStr">
        <is>
          <t>eng</t>
        </is>
      </c>
      <c r="P256" t="inlineStr">
        <is>
          <t>enk</t>
        </is>
      </c>
      <c r="R256" t="inlineStr">
        <is>
          <t xml:space="preserve">BT </t>
        </is>
      </c>
      <c r="S256" t="n">
        <v>9</v>
      </c>
      <c r="T256" t="n">
        <v>9</v>
      </c>
      <c r="U256" t="inlineStr">
        <is>
          <t>1999-04-21</t>
        </is>
      </c>
      <c r="V256" t="inlineStr">
        <is>
          <t>1999-04-21</t>
        </is>
      </c>
      <c r="W256" t="inlineStr">
        <is>
          <t>1991-11-05</t>
        </is>
      </c>
      <c r="X256" t="inlineStr">
        <is>
          <t>1991-11-05</t>
        </is>
      </c>
      <c r="Y256" t="n">
        <v>149</v>
      </c>
      <c r="Z256" t="n">
        <v>88</v>
      </c>
      <c r="AA256" t="n">
        <v>102</v>
      </c>
      <c r="AB256" t="n">
        <v>1</v>
      </c>
      <c r="AC256" t="n">
        <v>1</v>
      </c>
      <c r="AD256" t="n">
        <v>7</v>
      </c>
      <c r="AE256" t="n">
        <v>7</v>
      </c>
      <c r="AF256" t="n">
        <v>3</v>
      </c>
      <c r="AG256" t="n">
        <v>3</v>
      </c>
      <c r="AH256" t="n">
        <v>3</v>
      </c>
      <c r="AI256" t="n">
        <v>3</v>
      </c>
      <c r="AJ256" t="n">
        <v>3</v>
      </c>
      <c r="AK256" t="n">
        <v>3</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HYPERLINK("https://creighton-primo.hosted.exlibrisgroup.com/primo-explore/search?tab=default_tab&amp;search_scope=EVERYTHING&amp;vid=01CRU&amp;lang=en_US&amp;offset=0&amp;query=any,contains,991004799679702656","Catalog Record")</f>
        <v/>
      </c>
      <c r="AT256">
        <f>HYPERLINK("http://www.worldcat.org/oclc/5204704","WorldCat Record")</f>
        <v/>
      </c>
      <c r="AU256" t="inlineStr">
        <is>
          <t>3943701018:eng</t>
        </is>
      </c>
      <c r="AV256" t="inlineStr">
        <is>
          <t>5204704</t>
        </is>
      </c>
      <c r="AW256" t="inlineStr">
        <is>
          <t>991004799679702656</t>
        </is>
      </c>
      <c r="AX256" t="inlineStr">
        <is>
          <t>991004799679702656</t>
        </is>
      </c>
      <c r="AY256" t="inlineStr">
        <is>
          <t>2266837860002656</t>
        </is>
      </c>
      <c r="AZ256" t="inlineStr">
        <is>
          <t>BOOK</t>
        </is>
      </c>
      <c r="BC256" t="inlineStr">
        <is>
          <t>32285000809250</t>
        </is>
      </c>
      <c r="BD256" t="inlineStr">
        <is>
          <t>893319657</t>
        </is>
      </c>
    </row>
    <row r="257">
      <c r="A257" t="inlineStr">
        <is>
          <t>No</t>
        </is>
      </c>
      <c r="B257" t="inlineStr">
        <is>
          <t>BT1390 .H36 1980</t>
        </is>
      </c>
      <c r="C257" t="inlineStr">
        <is>
          <t>0                      BT 1390000H  36          1980</t>
        </is>
      </c>
      <c r="D257" t="inlineStr">
        <is>
          <t>The Apocalypse of Adam : a literary and source analysis / Charles W. Hedrick.</t>
        </is>
      </c>
      <c r="F257" t="inlineStr">
        <is>
          <t>No</t>
        </is>
      </c>
      <c r="G257" t="inlineStr">
        <is>
          <t>1</t>
        </is>
      </c>
      <c r="H257" t="inlineStr">
        <is>
          <t>No</t>
        </is>
      </c>
      <c r="I257" t="inlineStr">
        <is>
          <t>No</t>
        </is>
      </c>
      <c r="J257" t="inlineStr">
        <is>
          <t>0</t>
        </is>
      </c>
      <c r="K257" t="inlineStr">
        <is>
          <t>Hedrick, Charles W.</t>
        </is>
      </c>
      <c r="L257" t="inlineStr">
        <is>
          <t>Chico, Calif. : Scholars Press, c1980.</t>
        </is>
      </c>
      <c r="M257" t="inlineStr">
        <is>
          <t>1980</t>
        </is>
      </c>
      <c r="O257" t="inlineStr">
        <is>
          <t>eng</t>
        </is>
      </c>
      <c r="P257" t="inlineStr">
        <is>
          <t>cau</t>
        </is>
      </c>
      <c r="Q257" t="inlineStr">
        <is>
          <t>Dissertation series (Society of Biblical Literature), 0145-2770 ; no. 46</t>
        </is>
      </c>
      <c r="R257" t="inlineStr">
        <is>
          <t xml:space="preserve">BT </t>
        </is>
      </c>
      <c r="S257" t="n">
        <v>2</v>
      </c>
      <c r="T257" t="n">
        <v>2</v>
      </c>
      <c r="U257" t="inlineStr">
        <is>
          <t>1995-11-20</t>
        </is>
      </c>
      <c r="V257" t="inlineStr">
        <is>
          <t>1995-11-20</t>
        </is>
      </c>
      <c r="W257" t="inlineStr">
        <is>
          <t>1991-11-05</t>
        </is>
      </c>
      <c r="X257" t="inlineStr">
        <is>
          <t>1991-11-05</t>
        </is>
      </c>
      <c r="Y257" t="n">
        <v>280</v>
      </c>
      <c r="Z257" t="n">
        <v>206</v>
      </c>
      <c r="AA257" t="n">
        <v>217</v>
      </c>
      <c r="AB257" t="n">
        <v>2</v>
      </c>
      <c r="AC257" t="n">
        <v>2</v>
      </c>
      <c r="AD257" t="n">
        <v>17</v>
      </c>
      <c r="AE257" t="n">
        <v>18</v>
      </c>
      <c r="AF257" t="n">
        <v>5</v>
      </c>
      <c r="AG257" t="n">
        <v>6</v>
      </c>
      <c r="AH257" t="n">
        <v>4</v>
      </c>
      <c r="AI257" t="n">
        <v>4</v>
      </c>
      <c r="AJ257" t="n">
        <v>11</v>
      </c>
      <c r="AK257" t="n">
        <v>11</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HYPERLINK("https://creighton-primo.hosted.exlibrisgroup.com/primo-explore/search?tab=default_tab&amp;search_scope=EVERYTHING&amp;vid=01CRU&amp;lang=en_US&amp;offset=0&amp;query=any,contains,991004865959702656","Catalog Record")</f>
        <v/>
      </c>
      <c r="AT257">
        <f>HYPERLINK("http://www.worldcat.org/oclc/5726794","WorldCat Record")</f>
        <v/>
      </c>
      <c r="AU257" t="inlineStr">
        <is>
          <t>548065:eng</t>
        </is>
      </c>
      <c r="AV257" t="inlineStr">
        <is>
          <t>5726794</t>
        </is>
      </c>
      <c r="AW257" t="inlineStr">
        <is>
          <t>991004865959702656</t>
        </is>
      </c>
      <c r="AX257" t="inlineStr">
        <is>
          <t>991004865959702656</t>
        </is>
      </c>
      <c r="AY257" t="inlineStr">
        <is>
          <t>2263342950002656</t>
        </is>
      </c>
      <c r="AZ257" t="inlineStr">
        <is>
          <t>BOOK</t>
        </is>
      </c>
      <c r="BB257" t="inlineStr">
        <is>
          <t>9780891303695</t>
        </is>
      </c>
      <c r="BC257" t="inlineStr">
        <is>
          <t>32285000809284</t>
        </is>
      </c>
      <c r="BD257" t="inlineStr">
        <is>
          <t>893532882</t>
        </is>
      </c>
    </row>
    <row r="258">
      <c r="A258" t="inlineStr">
        <is>
          <t>No</t>
        </is>
      </c>
      <c r="B258" t="inlineStr">
        <is>
          <t>BT1390 .H45 1994</t>
        </is>
      </c>
      <c r="C258" t="inlineStr">
        <is>
          <t>0                      BT 1390000H  45          1994</t>
        </is>
      </c>
      <c r="D258" t="inlineStr">
        <is>
          <t>Hellenization revisited : shaping a Christian response within the Greco-Roman world / edited by Wendy E. Helleman.</t>
        </is>
      </c>
      <c r="F258" t="inlineStr">
        <is>
          <t>No</t>
        </is>
      </c>
      <c r="G258" t="inlineStr">
        <is>
          <t>1</t>
        </is>
      </c>
      <c r="H258" t="inlineStr">
        <is>
          <t>No</t>
        </is>
      </c>
      <c r="I258" t="inlineStr">
        <is>
          <t>No</t>
        </is>
      </c>
      <c r="J258" t="inlineStr">
        <is>
          <t>0</t>
        </is>
      </c>
      <c r="L258" t="inlineStr">
        <is>
          <t>Lanham : University Press of America, c1994.</t>
        </is>
      </c>
      <c r="M258" t="inlineStr">
        <is>
          <t>1994</t>
        </is>
      </c>
      <c r="O258" t="inlineStr">
        <is>
          <t>eng</t>
        </is>
      </c>
      <c r="P258" t="inlineStr">
        <is>
          <t>mdu</t>
        </is>
      </c>
      <c r="R258" t="inlineStr">
        <is>
          <t xml:space="preserve">BT </t>
        </is>
      </c>
      <c r="S258" t="n">
        <v>1</v>
      </c>
      <c r="T258" t="n">
        <v>1</v>
      </c>
      <c r="U258" t="inlineStr">
        <is>
          <t>2000-10-12</t>
        </is>
      </c>
      <c r="V258" t="inlineStr">
        <is>
          <t>2000-10-12</t>
        </is>
      </c>
      <c r="W258" t="inlineStr">
        <is>
          <t>1997-04-09</t>
        </is>
      </c>
      <c r="X258" t="inlineStr">
        <is>
          <t>1997-04-09</t>
        </is>
      </c>
      <c r="Y258" t="n">
        <v>247</v>
      </c>
      <c r="Z258" t="n">
        <v>183</v>
      </c>
      <c r="AA258" t="n">
        <v>184</v>
      </c>
      <c r="AB258" t="n">
        <v>4</v>
      </c>
      <c r="AC258" t="n">
        <v>4</v>
      </c>
      <c r="AD258" t="n">
        <v>18</v>
      </c>
      <c r="AE258" t="n">
        <v>18</v>
      </c>
      <c r="AF258" t="n">
        <v>6</v>
      </c>
      <c r="AG258" t="n">
        <v>6</v>
      </c>
      <c r="AH258" t="n">
        <v>4</v>
      </c>
      <c r="AI258" t="n">
        <v>4</v>
      </c>
      <c r="AJ258" t="n">
        <v>9</v>
      </c>
      <c r="AK258" t="n">
        <v>9</v>
      </c>
      <c r="AL258" t="n">
        <v>3</v>
      </c>
      <c r="AM258" t="n">
        <v>3</v>
      </c>
      <c r="AN258" t="n">
        <v>0</v>
      </c>
      <c r="AO258" t="n">
        <v>0</v>
      </c>
      <c r="AP258" t="inlineStr">
        <is>
          <t>No</t>
        </is>
      </c>
      <c r="AQ258" t="inlineStr">
        <is>
          <t>Yes</t>
        </is>
      </c>
      <c r="AR258">
        <f>HYPERLINK("http://catalog.hathitrust.org/Record/002907199","HathiTrust Record")</f>
        <v/>
      </c>
      <c r="AS258">
        <f>HYPERLINK("https://creighton-primo.hosted.exlibrisgroup.com/primo-explore/search?tab=default_tab&amp;search_scope=EVERYTHING&amp;vid=01CRU&amp;lang=en_US&amp;offset=0&amp;query=any,contains,991002384429702656","Catalog Record")</f>
        <v/>
      </c>
      <c r="AT258">
        <f>HYPERLINK("http://www.worldcat.org/oclc/30978928","WorldCat Record")</f>
        <v/>
      </c>
      <c r="AU258" t="inlineStr">
        <is>
          <t>836933493:eng</t>
        </is>
      </c>
      <c r="AV258" t="inlineStr">
        <is>
          <t>30978928</t>
        </is>
      </c>
      <c r="AW258" t="inlineStr">
        <is>
          <t>991002384429702656</t>
        </is>
      </c>
      <c r="AX258" t="inlineStr">
        <is>
          <t>991002384429702656</t>
        </is>
      </c>
      <c r="AY258" t="inlineStr">
        <is>
          <t>2266461510002656</t>
        </is>
      </c>
      <c r="AZ258" t="inlineStr">
        <is>
          <t>BOOK</t>
        </is>
      </c>
      <c r="BB258" t="inlineStr">
        <is>
          <t>9780819195432</t>
        </is>
      </c>
      <c r="BC258" t="inlineStr">
        <is>
          <t>32285002495827</t>
        </is>
      </c>
      <c r="BD258" t="inlineStr">
        <is>
          <t>893445128</t>
        </is>
      </c>
    </row>
    <row r="259">
      <c r="A259" t="inlineStr">
        <is>
          <t>No</t>
        </is>
      </c>
      <c r="B259" t="inlineStr">
        <is>
          <t>BT1390 .I56 1978</t>
        </is>
      </c>
      <c r="C259" t="inlineStr">
        <is>
          <t>0                      BT 1390000I  56          1978</t>
        </is>
      </c>
      <c r="D259" t="inlineStr">
        <is>
          <t>The rediscovery of Gnosticism : proceedings of the International Conference on Gnosticism at Yale, New Haven, Connecticut, March 28-31, 1978 / edited by Bentley Layton.</t>
        </is>
      </c>
      <c r="E259" t="inlineStr">
        <is>
          <t>V.1</t>
        </is>
      </c>
      <c r="F259" t="inlineStr">
        <is>
          <t>Yes</t>
        </is>
      </c>
      <c r="G259" t="inlineStr">
        <is>
          <t>1</t>
        </is>
      </c>
      <c r="H259" t="inlineStr">
        <is>
          <t>No</t>
        </is>
      </c>
      <c r="I259" t="inlineStr">
        <is>
          <t>No</t>
        </is>
      </c>
      <c r="J259" t="inlineStr">
        <is>
          <t>0</t>
        </is>
      </c>
      <c r="K259" t="inlineStr">
        <is>
          <t>International Conference on Gnosticism (1978 : New Haven, Conn.)</t>
        </is>
      </c>
      <c r="L259" t="inlineStr">
        <is>
          <t>Leiden : E.J. Brill, 1980-1981.</t>
        </is>
      </c>
      <c r="M259" t="inlineStr">
        <is>
          <t>1980</t>
        </is>
      </c>
      <c r="O259" t="inlineStr">
        <is>
          <t>eng</t>
        </is>
      </c>
      <c r="P259" t="inlineStr">
        <is>
          <t xml:space="preserve">ne </t>
        </is>
      </c>
      <c r="Q259" t="inlineStr">
        <is>
          <t>Studies in the history of religions : Supplements to Numen ; 41</t>
        </is>
      </c>
      <c r="R259" t="inlineStr">
        <is>
          <t xml:space="preserve">BT </t>
        </is>
      </c>
      <c r="S259" t="n">
        <v>6</v>
      </c>
      <c r="T259" t="n">
        <v>8</v>
      </c>
      <c r="U259" t="inlineStr">
        <is>
          <t>2010-04-12</t>
        </is>
      </c>
      <c r="V259" t="inlineStr">
        <is>
          <t>2010-04-12</t>
        </is>
      </c>
      <c r="W259" t="inlineStr">
        <is>
          <t>1991-11-05</t>
        </is>
      </c>
      <c r="X259" t="inlineStr">
        <is>
          <t>1991-11-05</t>
        </is>
      </c>
      <c r="Y259" t="n">
        <v>351</v>
      </c>
      <c r="Z259" t="n">
        <v>265</v>
      </c>
      <c r="AA259" t="n">
        <v>267</v>
      </c>
      <c r="AB259" t="n">
        <v>2</v>
      </c>
      <c r="AC259" t="n">
        <v>2</v>
      </c>
      <c r="AD259" t="n">
        <v>15</v>
      </c>
      <c r="AE259" t="n">
        <v>15</v>
      </c>
      <c r="AF259" t="n">
        <v>5</v>
      </c>
      <c r="AG259" t="n">
        <v>5</v>
      </c>
      <c r="AH259" t="n">
        <v>4</v>
      </c>
      <c r="AI259" t="n">
        <v>4</v>
      </c>
      <c r="AJ259" t="n">
        <v>11</v>
      </c>
      <c r="AK259" t="n">
        <v>11</v>
      </c>
      <c r="AL259" t="n">
        <v>1</v>
      </c>
      <c r="AM259" t="n">
        <v>1</v>
      </c>
      <c r="AN259" t="n">
        <v>0</v>
      </c>
      <c r="AO259" t="n">
        <v>0</v>
      </c>
      <c r="AP259" t="inlineStr">
        <is>
          <t>No</t>
        </is>
      </c>
      <c r="AQ259" t="inlineStr">
        <is>
          <t>Yes</t>
        </is>
      </c>
      <c r="AR259">
        <f>HYPERLINK("http://catalog.hathitrust.org/Record/000746799","HathiTrust Record")</f>
        <v/>
      </c>
      <c r="AS259">
        <f>HYPERLINK("https://creighton-primo.hosted.exlibrisgroup.com/primo-explore/search?tab=default_tab&amp;search_scope=EVERYTHING&amp;vid=01CRU&amp;lang=en_US&amp;offset=0&amp;query=any,contains,991005227979702656","Catalog Record")</f>
        <v/>
      </c>
      <c r="AT259">
        <f>HYPERLINK("http://www.worldcat.org/oclc/8284344","WorldCat Record")</f>
        <v/>
      </c>
      <c r="AU259" t="inlineStr">
        <is>
          <t>5219032312:eng</t>
        </is>
      </c>
      <c r="AV259" t="inlineStr">
        <is>
          <t>8284344</t>
        </is>
      </c>
      <c r="AW259" t="inlineStr">
        <is>
          <t>991005227979702656</t>
        </is>
      </c>
      <c r="AX259" t="inlineStr">
        <is>
          <t>991005227979702656</t>
        </is>
      </c>
      <c r="AY259" t="inlineStr">
        <is>
          <t>2267879070002656</t>
        </is>
      </c>
      <c r="AZ259" t="inlineStr">
        <is>
          <t>BOOK</t>
        </is>
      </c>
      <c r="BB259" t="inlineStr">
        <is>
          <t>9789004061767</t>
        </is>
      </c>
      <c r="BC259" t="inlineStr">
        <is>
          <t>32285000809300</t>
        </is>
      </c>
      <c r="BD259" t="inlineStr">
        <is>
          <t>893527136</t>
        </is>
      </c>
    </row>
    <row r="260">
      <c r="A260" t="inlineStr">
        <is>
          <t>No</t>
        </is>
      </c>
      <c r="B260" t="inlineStr">
        <is>
          <t>BT1390 .I56 1978</t>
        </is>
      </c>
      <c r="C260" t="inlineStr">
        <is>
          <t>0                      BT 1390000I  56          1978</t>
        </is>
      </c>
      <c r="D260" t="inlineStr">
        <is>
          <t>The rediscovery of Gnosticism : proceedings of the International Conference on Gnosticism at Yale, New Haven, Connecticut, March 28-31, 1978 / edited by Bentley Layton.</t>
        </is>
      </c>
      <c r="E260" t="inlineStr">
        <is>
          <t>V.2</t>
        </is>
      </c>
      <c r="F260" t="inlineStr">
        <is>
          <t>Yes</t>
        </is>
      </c>
      <c r="G260" t="inlineStr">
        <is>
          <t>1</t>
        </is>
      </c>
      <c r="H260" t="inlineStr">
        <is>
          <t>No</t>
        </is>
      </c>
      <c r="I260" t="inlineStr">
        <is>
          <t>No</t>
        </is>
      </c>
      <c r="J260" t="inlineStr">
        <is>
          <t>0</t>
        </is>
      </c>
      <c r="K260" t="inlineStr">
        <is>
          <t>International Conference on Gnosticism (1978 : New Haven, Conn.)</t>
        </is>
      </c>
      <c r="L260" t="inlineStr">
        <is>
          <t>Leiden : E.J. Brill, 1980-1981.</t>
        </is>
      </c>
      <c r="M260" t="inlineStr">
        <is>
          <t>1980</t>
        </is>
      </c>
      <c r="O260" t="inlineStr">
        <is>
          <t>eng</t>
        </is>
      </c>
      <c r="P260" t="inlineStr">
        <is>
          <t xml:space="preserve">ne </t>
        </is>
      </c>
      <c r="Q260" t="inlineStr">
        <is>
          <t>Studies in the history of religions : Supplements to Numen ; 41</t>
        </is>
      </c>
      <c r="R260" t="inlineStr">
        <is>
          <t xml:space="preserve">BT </t>
        </is>
      </c>
      <c r="S260" t="n">
        <v>2</v>
      </c>
      <c r="T260" t="n">
        <v>8</v>
      </c>
      <c r="U260" t="inlineStr">
        <is>
          <t>1998-11-16</t>
        </is>
      </c>
      <c r="V260" t="inlineStr">
        <is>
          <t>2010-04-12</t>
        </is>
      </c>
      <c r="W260" t="inlineStr">
        <is>
          <t>1991-11-05</t>
        </is>
      </c>
      <c r="X260" t="inlineStr">
        <is>
          <t>1991-11-05</t>
        </is>
      </c>
      <c r="Y260" t="n">
        <v>351</v>
      </c>
      <c r="Z260" t="n">
        <v>265</v>
      </c>
      <c r="AA260" t="n">
        <v>267</v>
      </c>
      <c r="AB260" t="n">
        <v>2</v>
      </c>
      <c r="AC260" t="n">
        <v>2</v>
      </c>
      <c r="AD260" t="n">
        <v>15</v>
      </c>
      <c r="AE260" t="n">
        <v>15</v>
      </c>
      <c r="AF260" t="n">
        <v>5</v>
      </c>
      <c r="AG260" t="n">
        <v>5</v>
      </c>
      <c r="AH260" t="n">
        <v>4</v>
      </c>
      <c r="AI260" t="n">
        <v>4</v>
      </c>
      <c r="AJ260" t="n">
        <v>11</v>
      </c>
      <c r="AK260" t="n">
        <v>11</v>
      </c>
      <c r="AL260" t="n">
        <v>1</v>
      </c>
      <c r="AM260" t="n">
        <v>1</v>
      </c>
      <c r="AN260" t="n">
        <v>0</v>
      </c>
      <c r="AO260" t="n">
        <v>0</v>
      </c>
      <c r="AP260" t="inlineStr">
        <is>
          <t>No</t>
        </is>
      </c>
      <c r="AQ260" t="inlineStr">
        <is>
          <t>Yes</t>
        </is>
      </c>
      <c r="AR260">
        <f>HYPERLINK("http://catalog.hathitrust.org/Record/000746799","HathiTrust Record")</f>
        <v/>
      </c>
      <c r="AS260">
        <f>HYPERLINK("https://creighton-primo.hosted.exlibrisgroup.com/primo-explore/search?tab=default_tab&amp;search_scope=EVERYTHING&amp;vid=01CRU&amp;lang=en_US&amp;offset=0&amp;query=any,contains,991005227979702656","Catalog Record")</f>
        <v/>
      </c>
      <c r="AT260">
        <f>HYPERLINK("http://www.worldcat.org/oclc/8284344","WorldCat Record")</f>
        <v/>
      </c>
      <c r="AU260" t="inlineStr">
        <is>
          <t>5219032312:eng</t>
        </is>
      </c>
      <c r="AV260" t="inlineStr">
        <is>
          <t>8284344</t>
        </is>
      </c>
      <c r="AW260" t="inlineStr">
        <is>
          <t>991005227979702656</t>
        </is>
      </c>
      <c r="AX260" t="inlineStr">
        <is>
          <t>991005227979702656</t>
        </is>
      </c>
      <c r="AY260" t="inlineStr">
        <is>
          <t>2267879070002656</t>
        </is>
      </c>
      <c r="AZ260" t="inlineStr">
        <is>
          <t>BOOK</t>
        </is>
      </c>
      <c r="BB260" t="inlineStr">
        <is>
          <t>9789004061767</t>
        </is>
      </c>
      <c r="BC260" t="inlineStr">
        <is>
          <t>32285000809318</t>
        </is>
      </c>
      <c r="BD260" t="inlineStr">
        <is>
          <t>893520667</t>
        </is>
      </c>
    </row>
    <row r="261">
      <c r="A261" t="inlineStr">
        <is>
          <t>No</t>
        </is>
      </c>
      <c r="B261" t="inlineStr">
        <is>
          <t>BT1390 .I57 1975</t>
        </is>
      </c>
      <c r="C261" t="inlineStr">
        <is>
          <t>0                      BT 1390000I  57          1975</t>
        </is>
      </c>
      <c r="D261" t="inlineStr">
        <is>
          <t>Gnosis and gnosticism : papers read at the Seventh international conference on patristic studies (Oxford, September 8th-13th 1975) / ed. by Martin Krause.</t>
        </is>
      </c>
      <c r="F261" t="inlineStr">
        <is>
          <t>No</t>
        </is>
      </c>
      <c r="G261" t="inlineStr">
        <is>
          <t>1</t>
        </is>
      </c>
      <c r="H261" t="inlineStr">
        <is>
          <t>No</t>
        </is>
      </c>
      <c r="I261" t="inlineStr">
        <is>
          <t>No</t>
        </is>
      </c>
      <c r="J261" t="inlineStr">
        <is>
          <t>0</t>
        </is>
      </c>
      <c r="K261" t="inlineStr">
        <is>
          <t>International Conference on Patristic Studies (7th : 1975 : Oxford, England)</t>
        </is>
      </c>
      <c r="L261" t="inlineStr">
        <is>
          <t>Leiden : Brill, 1977.</t>
        </is>
      </c>
      <c r="M261" t="inlineStr">
        <is>
          <t>1977</t>
        </is>
      </c>
      <c r="O261" t="inlineStr">
        <is>
          <t>ger</t>
        </is>
      </c>
      <c r="P261" t="inlineStr">
        <is>
          <t xml:space="preserve">ne </t>
        </is>
      </c>
      <c r="Q261" t="inlineStr">
        <is>
          <t>Nag Hammadi studies ; v. 8</t>
        </is>
      </c>
      <c r="R261" t="inlineStr">
        <is>
          <t xml:space="preserve">BT </t>
        </is>
      </c>
      <c r="S261" t="n">
        <v>2</v>
      </c>
      <c r="T261" t="n">
        <v>2</v>
      </c>
      <c r="U261" t="inlineStr">
        <is>
          <t>2005-09-21</t>
        </is>
      </c>
      <c r="V261" t="inlineStr">
        <is>
          <t>2005-09-21</t>
        </is>
      </c>
      <c r="W261" t="inlineStr">
        <is>
          <t>1991-11-05</t>
        </is>
      </c>
      <c r="X261" t="inlineStr">
        <is>
          <t>1991-11-05</t>
        </is>
      </c>
      <c r="Y261" t="n">
        <v>287</v>
      </c>
      <c r="Z261" t="n">
        <v>204</v>
      </c>
      <c r="AA261" t="n">
        <v>208</v>
      </c>
      <c r="AB261" t="n">
        <v>2</v>
      </c>
      <c r="AC261" t="n">
        <v>3</v>
      </c>
      <c r="AD261" t="n">
        <v>11</v>
      </c>
      <c r="AE261" t="n">
        <v>12</v>
      </c>
      <c r="AF261" t="n">
        <v>3</v>
      </c>
      <c r="AG261" t="n">
        <v>3</v>
      </c>
      <c r="AH261" t="n">
        <v>3</v>
      </c>
      <c r="AI261" t="n">
        <v>3</v>
      </c>
      <c r="AJ261" t="n">
        <v>6</v>
      </c>
      <c r="AK261" t="n">
        <v>6</v>
      </c>
      <c r="AL261" t="n">
        <v>1</v>
      </c>
      <c r="AM261" t="n">
        <v>2</v>
      </c>
      <c r="AN261" t="n">
        <v>0</v>
      </c>
      <c r="AO261" t="n">
        <v>0</v>
      </c>
      <c r="AP261" t="inlineStr">
        <is>
          <t>No</t>
        </is>
      </c>
      <c r="AQ261" t="inlineStr">
        <is>
          <t>Yes</t>
        </is>
      </c>
      <c r="AR261">
        <f>HYPERLINK("http://catalog.hathitrust.org/Record/000174635","HathiTrust Record")</f>
        <v/>
      </c>
      <c r="AS261">
        <f>HYPERLINK("https://creighton-primo.hosted.exlibrisgroup.com/primo-explore/search?tab=default_tab&amp;search_scope=EVERYTHING&amp;vid=01CRU&amp;lang=en_US&amp;offset=0&amp;query=any,contains,991004550539702656","Catalog Record")</f>
        <v/>
      </c>
      <c r="AT261">
        <f>HYPERLINK("http://www.worldcat.org/oclc/3524446","WorldCat Record")</f>
        <v/>
      </c>
      <c r="AU261" t="inlineStr">
        <is>
          <t>319101425:ger</t>
        </is>
      </c>
      <c r="AV261" t="inlineStr">
        <is>
          <t>3524446</t>
        </is>
      </c>
      <c r="AW261" t="inlineStr">
        <is>
          <t>991004550539702656</t>
        </is>
      </c>
      <c r="AX261" t="inlineStr">
        <is>
          <t>991004550539702656</t>
        </is>
      </c>
      <c r="AY261" t="inlineStr">
        <is>
          <t>2266957300002656</t>
        </is>
      </c>
      <c r="AZ261" t="inlineStr">
        <is>
          <t>BOOK</t>
        </is>
      </c>
      <c r="BB261" t="inlineStr">
        <is>
          <t>9789004052420</t>
        </is>
      </c>
      <c r="BC261" t="inlineStr">
        <is>
          <t>32285000809326</t>
        </is>
      </c>
      <c r="BD261" t="inlineStr">
        <is>
          <t>893430204</t>
        </is>
      </c>
    </row>
    <row r="262">
      <c r="A262" t="inlineStr">
        <is>
          <t>No</t>
        </is>
      </c>
      <c r="B262" t="inlineStr">
        <is>
          <t>BT1390 .I57 1979</t>
        </is>
      </c>
      <c r="C262" t="inlineStr">
        <is>
          <t>0                      BT 1390000I  57          1979</t>
        </is>
      </c>
      <c r="D262" t="inlineStr">
        <is>
          <t>Gnosis and gnosticism : papers read at the Eighth International Conference on Patristic Studies (Oxford, September 3rd-8th 1979) / ed. by Martin Krause.</t>
        </is>
      </c>
      <c r="F262" t="inlineStr">
        <is>
          <t>No</t>
        </is>
      </c>
      <c r="G262" t="inlineStr">
        <is>
          <t>1</t>
        </is>
      </c>
      <c r="H262" t="inlineStr">
        <is>
          <t>No</t>
        </is>
      </c>
      <c r="I262" t="inlineStr">
        <is>
          <t>No</t>
        </is>
      </c>
      <c r="J262" t="inlineStr">
        <is>
          <t>0</t>
        </is>
      </c>
      <c r="K262" t="inlineStr">
        <is>
          <t>International Conference on Patristic Studies (8th : 1979 : Oxford, England)</t>
        </is>
      </c>
      <c r="L262" t="inlineStr">
        <is>
          <t>Leiden : Brill, 1981.</t>
        </is>
      </c>
      <c r="M262" t="inlineStr">
        <is>
          <t>1981</t>
        </is>
      </c>
      <c r="O262" t="inlineStr">
        <is>
          <t>ger</t>
        </is>
      </c>
      <c r="P262" t="inlineStr">
        <is>
          <t xml:space="preserve">ne </t>
        </is>
      </c>
      <c r="Q262" t="inlineStr">
        <is>
          <t>Nag Hammadi studies ; v. 17</t>
        </is>
      </c>
      <c r="R262" t="inlineStr">
        <is>
          <t xml:space="preserve">BT </t>
        </is>
      </c>
      <c r="S262" t="n">
        <v>1</v>
      </c>
      <c r="T262" t="n">
        <v>1</v>
      </c>
      <c r="U262" t="inlineStr">
        <is>
          <t>2005-09-21</t>
        </is>
      </c>
      <c r="V262" t="inlineStr">
        <is>
          <t>2005-09-21</t>
        </is>
      </c>
      <c r="W262" t="inlineStr">
        <is>
          <t>1991-11-05</t>
        </is>
      </c>
      <c r="X262" t="inlineStr">
        <is>
          <t>1991-11-05</t>
        </is>
      </c>
      <c r="Y262" t="n">
        <v>229</v>
      </c>
      <c r="Z262" t="n">
        <v>162</v>
      </c>
      <c r="AA262" t="n">
        <v>164</v>
      </c>
      <c r="AB262" t="n">
        <v>2</v>
      </c>
      <c r="AC262" t="n">
        <v>2</v>
      </c>
      <c r="AD262" t="n">
        <v>10</v>
      </c>
      <c r="AE262" t="n">
        <v>10</v>
      </c>
      <c r="AF262" t="n">
        <v>3</v>
      </c>
      <c r="AG262" t="n">
        <v>3</v>
      </c>
      <c r="AH262" t="n">
        <v>2</v>
      </c>
      <c r="AI262" t="n">
        <v>2</v>
      </c>
      <c r="AJ262" t="n">
        <v>6</v>
      </c>
      <c r="AK262" t="n">
        <v>6</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HYPERLINK("https://creighton-primo.hosted.exlibrisgroup.com/primo-explore/search?tab=default_tab&amp;search_scope=EVERYTHING&amp;vid=01CRU&amp;lang=en_US&amp;offset=0&amp;query=any,contains,991005200749702656","Catalog Record")</f>
        <v/>
      </c>
      <c r="AT262">
        <f>HYPERLINK("http://www.worldcat.org/oclc/8073771","WorldCat Record")</f>
        <v/>
      </c>
      <c r="AU262" t="inlineStr">
        <is>
          <t>4783120073:eng</t>
        </is>
      </c>
      <c r="AV262" t="inlineStr">
        <is>
          <t>8073771</t>
        </is>
      </c>
      <c r="AW262" t="inlineStr">
        <is>
          <t>991005200749702656</t>
        </is>
      </c>
      <c r="AX262" t="inlineStr">
        <is>
          <t>991005200749702656</t>
        </is>
      </c>
      <c r="AY262" t="inlineStr">
        <is>
          <t>2257026550002656</t>
        </is>
      </c>
      <c r="AZ262" t="inlineStr">
        <is>
          <t>BOOK</t>
        </is>
      </c>
      <c r="BB262" t="inlineStr">
        <is>
          <t>9789004063990</t>
        </is>
      </c>
      <c r="BC262" t="inlineStr">
        <is>
          <t>32285000809334</t>
        </is>
      </c>
      <c r="BD262" t="inlineStr">
        <is>
          <t>893889844</t>
        </is>
      </c>
    </row>
    <row r="263">
      <c r="A263" t="inlineStr">
        <is>
          <t>No</t>
        </is>
      </c>
      <c r="B263" t="inlineStr">
        <is>
          <t>BT1390 .P4513 1990</t>
        </is>
      </c>
      <c r="C263" t="inlineStr">
        <is>
          <t>0                      BT 1390000P  4513        1990</t>
        </is>
      </c>
      <c r="D263" t="inlineStr">
        <is>
          <t>A separate God : the Christian origins of gnosticism / Simone Pétrement ; translated by Carol Harrison.</t>
        </is>
      </c>
      <c r="F263" t="inlineStr">
        <is>
          <t>No</t>
        </is>
      </c>
      <c r="G263" t="inlineStr">
        <is>
          <t>1</t>
        </is>
      </c>
      <c r="H263" t="inlineStr">
        <is>
          <t>No</t>
        </is>
      </c>
      <c r="I263" t="inlineStr">
        <is>
          <t>No</t>
        </is>
      </c>
      <c r="J263" t="inlineStr">
        <is>
          <t>0</t>
        </is>
      </c>
      <c r="K263" t="inlineStr">
        <is>
          <t>Pétrement, Simone.</t>
        </is>
      </c>
      <c r="L263" t="inlineStr">
        <is>
          <t>[San Francisco] : HarperSanFrancisco, c1990.</t>
        </is>
      </c>
      <c r="M263" t="inlineStr">
        <is>
          <t>1990</t>
        </is>
      </c>
      <c r="N263" t="inlineStr">
        <is>
          <t>1st U.S. ed.</t>
        </is>
      </c>
      <c r="O263" t="inlineStr">
        <is>
          <t>eng</t>
        </is>
      </c>
      <c r="P263" t="inlineStr">
        <is>
          <t>cau</t>
        </is>
      </c>
      <c r="R263" t="inlineStr">
        <is>
          <t xml:space="preserve">BT </t>
        </is>
      </c>
      <c r="S263" t="n">
        <v>5</v>
      </c>
      <c r="T263" t="n">
        <v>5</v>
      </c>
      <c r="U263" t="inlineStr">
        <is>
          <t>2005-12-04</t>
        </is>
      </c>
      <c r="V263" t="inlineStr">
        <is>
          <t>2005-12-04</t>
        </is>
      </c>
      <c r="W263" t="inlineStr">
        <is>
          <t>1992-03-31</t>
        </is>
      </c>
      <c r="X263" t="inlineStr">
        <is>
          <t>1992-03-31</t>
        </is>
      </c>
      <c r="Y263" t="n">
        <v>475</v>
      </c>
      <c r="Z263" t="n">
        <v>419</v>
      </c>
      <c r="AA263" t="n">
        <v>463</v>
      </c>
      <c r="AB263" t="n">
        <v>3</v>
      </c>
      <c r="AC263" t="n">
        <v>3</v>
      </c>
      <c r="AD263" t="n">
        <v>23</v>
      </c>
      <c r="AE263" t="n">
        <v>24</v>
      </c>
      <c r="AF263" t="n">
        <v>8</v>
      </c>
      <c r="AG263" t="n">
        <v>9</v>
      </c>
      <c r="AH263" t="n">
        <v>6</v>
      </c>
      <c r="AI263" t="n">
        <v>6</v>
      </c>
      <c r="AJ263" t="n">
        <v>14</v>
      </c>
      <c r="AK263" t="n">
        <v>15</v>
      </c>
      <c r="AL263" t="n">
        <v>2</v>
      </c>
      <c r="AM263" t="n">
        <v>2</v>
      </c>
      <c r="AN263" t="n">
        <v>0</v>
      </c>
      <c r="AO263" t="n">
        <v>0</v>
      </c>
      <c r="AP263" t="inlineStr">
        <is>
          <t>No</t>
        </is>
      </c>
      <c r="AQ263" t="inlineStr">
        <is>
          <t>Yes</t>
        </is>
      </c>
      <c r="AR263">
        <f>HYPERLINK("http://catalog.hathitrust.org/Record/004523597","HathiTrust Record")</f>
        <v/>
      </c>
      <c r="AS263">
        <f>HYPERLINK("https://creighton-primo.hosted.exlibrisgroup.com/primo-explore/search?tab=default_tab&amp;search_scope=EVERYTHING&amp;vid=01CRU&amp;lang=en_US&amp;offset=0&amp;query=any,contains,991001602919702656","Catalog Record")</f>
        <v/>
      </c>
      <c r="AT263">
        <f>HYPERLINK("http://www.worldcat.org/oclc/20671889","WorldCat Record")</f>
        <v/>
      </c>
      <c r="AU263" t="inlineStr">
        <is>
          <t>20853926:eng</t>
        </is>
      </c>
      <c r="AV263" t="inlineStr">
        <is>
          <t>20671889</t>
        </is>
      </c>
      <c r="AW263" t="inlineStr">
        <is>
          <t>991001602919702656</t>
        </is>
      </c>
      <c r="AX263" t="inlineStr">
        <is>
          <t>991001602919702656</t>
        </is>
      </c>
      <c r="AY263" t="inlineStr">
        <is>
          <t>2260240610002656</t>
        </is>
      </c>
      <c r="AZ263" t="inlineStr">
        <is>
          <t>BOOK</t>
        </is>
      </c>
      <c r="BB263" t="inlineStr">
        <is>
          <t>9780060665012</t>
        </is>
      </c>
      <c r="BC263" t="inlineStr">
        <is>
          <t>32285001007136</t>
        </is>
      </c>
      <c r="BD263" t="inlineStr">
        <is>
          <t>893439235</t>
        </is>
      </c>
    </row>
    <row r="264">
      <c r="A264" t="inlineStr">
        <is>
          <t>No</t>
        </is>
      </c>
      <c r="B264" t="inlineStr">
        <is>
          <t>BT1390 .W48 1968</t>
        </is>
      </c>
      <c r="C264" t="inlineStr">
        <is>
          <t>0                      BT 1390000W  48          1968</t>
        </is>
      </c>
      <c r="D264" t="inlineStr">
        <is>
          <t>Gnosis and the New Testament / [by] R. McL. Wilson.</t>
        </is>
      </c>
      <c r="F264" t="inlineStr">
        <is>
          <t>No</t>
        </is>
      </c>
      <c r="G264" t="inlineStr">
        <is>
          <t>1</t>
        </is>
      </c>
      <c r="H264" t="inlineStr">
        <is>
          <t>No</t>
        </is>
      </c>
      <c r="I264" t="inlineStr">
        <is>
          <t>No</t>
        </is>
      </c>
      <c r="J264" t="inlineStr">
        <is>
          <t>0</t>
        </is>
      </c>
      <c r="K264" t="inlineStr">
        <is>
          <t>Wilson, R. McL. (Robert McLachlan)</t>
        </is>
      </c>
      <c r="L264" t="inlineStr">
        <is>
          <t>Philadelphia, Fortress Press [1968]</t>
        </is>
      </c>
      <c r="M264" t="inlineStr">
        <is>
          <t>1968</t>
        </is>
      </c>
      <c r="O264" t="inlineStr">
        <is>
          <t>eng</t>
        </is>
      </c>
      <c r="P264" t="inlineStr">
        <is>
          <t>pau</t>
        </is>
      </c>
      <c r="R264" t="inlineStr">
        <is>
          <t xml:space="preserve">BT </t>
        </is>
      </c>
      <c r="S264" t="n">
        <v>4</v>
      </c>
      <c r="T264" t="n">
        <v>4</v>
      </c>
      <c r="U264" t="inlineStr">
        <is>
          <t>2008-11-17</t>
        </is>
      </c>
      <c r="V264" t="inlineStr">
        <is>
          <t>2008-11-17</t>
        </is>
      </c>
      <c r="W264" t="inlineStr">
        <is>
          <t>1991-11-05</t>
        </is>
      </c>
      <c r="X264" t="inlineStr">
        <is>
          <t>1991-11-05</t>
        </is>
      </c>
      <c r="Y264" t="n">
        <v>445</v>
      </c>
      <c r="Z264" t="n">
        <v>420</v>
      </c>
      <c r="AA264" t="n">
        <v>499</v>
      </c>
      <c r="AB264" t="n">
        <v>3</v>
      </c>
      <c r="AC264" t="n">
        <v>3</v>
      </c>
      <c r="AD264" t="n">
        <v>28</v>
      </c>
      <c r="AE264" t="n">
        <v>31</v>
      </c>
      <c r="AF264" t="n">
        <v>11</v>
      </c>
      <c r="AG264" t="n">
        <v>12</v>
      </c>
      <c r="AH264" t="n">
        <v>4</v>
      </c>
      <c r="AI264" t="n">
        <v>5</v>
      </c>
      <c r="AJ264" t="n">
        <v>18</v>
      </c>
      <c r="AK264" t="n">
        <v>20</v>
      </c>
      <c r="AL264" t="n">
        <v>2</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HYPERLINK("https://creighton-primo.hosted.exlibrisgroup.com/primo-explore/search?tab=default_tab&amp;search_scope=EVERYTHING&amp;vid=01CRU&amp;lang=en_US&amp;offset=0&amp;query=any,contains,991002612149702656","Catalog Record")</f>
        <v/>
      </c>
      <c r="AT264">
        <f>HYPERLINK("http://www.worldcat.org/oclc/378170","WorldCat Record")</f>
        <v/>
      </c>
      <c r="AU264" t="inlineStr">
        <is>
          <t>1476071:eng</t>
        </is>
      </c>
      <c r="AV264" t="inlineStr">
        <is>
          <t>378170</t>
        </is>
      </c>
      <c r="AW264" t="inlineStr">
        <is>
          <t>991002612149702656</t>
        </is>
      </c>
      <c r="AX264" t="inlineStr">
        <is>
          <t>991002612149702656</t>
        </is>
      </c>
      <c r="AY264" t="inlineStr">
        <is>
          <t>2264434010002656</t>
        </is>
      </c>
      <c r="AZ264" t="inlineStr">
        <is>
          <t>BOOK</t>
        </is>
      </c>
      <c r="BC264" t="inlineStr">
        <is>
          <t>32285000809383</t>
        </is>
      </c>
      <c r="BD264" t="inlineStr">
        <is>
          <t>893415413</t>
        </is>
      </c>
    </row>
    <row r="265">
      <c r="A265" t="inlineStr">
        <is>
          <t>No</t>
        </is>
      </c>
      <c r="B265" t="inlineStr">
        <is>
          <t>BT1390 .Y35</t>
        </is>
      </c>
      <c r="C265" t="inlineStr">
        <is>
          <t>0                      BT 1390000Y  35</t>
        </is>
      </c>
      <c r="D265" t="inlineStr">
        <is>
          <t>Pre-Christian Gnosticism : a survey of the proposed evidences / by Edwin M. Yamauchi.</t>
        </is>
      </c>
      <c r="F265" t="inlineStr">
        <is>
          <t>No</t>
        </is>
      </c>
      <c r="G265" t="inlineStr">
        <is>
          <t>1</t>
        </is>
      </c>
      <c r="H265" t="inlineStr">
        <is>
          <t>No</t>
        </is>
      </c>
      <c r="I265" t="inlineStr">
        <is>
          <t>No</t>
        </is>
      </c>
      <c r="J265" t="inlineStr">
        <is>
          <t>0</t>
        </is>
      </c>
      <c r="K265" t="inlineStr">
        <is>
          <t>Yamauchi, Edwin M.</t>
        </is>
      </c>
      <c r="L265" t="inlineStr">
        <is>
          <t>Grand Rapids, Eerdmans [1973]</t>
        </is>
      </c>
      <c r="M265" t="inlineStr">
        <is>
          <t>1973</t>
        </is>
      </c>
      <c r="N265" t="inlineStr">
        <is>
          <t>[1st ed.]</t>
        </is>
      </c>
      <c r="O265" t="inlineStr">
        <is>
          <t>eng</t>
        </is>
      </c>
      <c r="P265" t="inlineStr">
        <is>
          <t>miu</t>
        </is>
      </c>
      <c r="R265" t="inlineStr">
        <is>
          <t xml:space="preserve">BT </t>
        </is>
      </c>
      <c r="S265" t="n">
        <v>2</v>
      </c>
      <c r="T265" t="n">
        <v>2</v>
      </c>
      <c r="U265" t="inlineStr">
        <is>
          <t>1999-04-12</t>
        </is>
      </c>
      <c r="V265" t="inlineStr">
        <is>
          <t>1999-04-12</t>
        </is>
      </c>
      <c r="W265" t="inlineStr">
        <is>
          <t>1991-11-05</t>
        </is>
      </c>
      <c r="X265" t="inlineStr">
        <is>
          <t>1991-11-05</t>
        </is>
      </c>
      <c r="Y265" t="n">
        <v>460</v>
      </c>
      <c r="Z265" t="n">
        <v>408</v>
      </c>
      <c r="AA265" t="n">
        <v>540</v>
      </c>
      <c r="AB265" t="n">
        <v>4</v>
      </c>
      <c r="AC265" t="n">
        <v>6</v>
      </c>
      <c r="AD265" t="n">
        <v>24</v>
      </c>
      <c r="AE265" t="n">
        <v>28</v>
      </c>
      <c r="AF265" t="n">
        <v>7</v>
      </c>
      <c r="AG265" t="n">
        <v>9</v>
      </c>
      <c r="AH265" t="n">
        <v>5</v>
      </c>
      <c r="AI265" t="n">
        <v>6</v>
      </c>
      <c r="AJ265" t="n">
        <v>14</v>
      </c>
      <c r="AK265" t="n">
        <v>15</v>
      </c>
      <c r="AL265" t="n">
        <v>3</v>
      </c>
      <c r="AM265" t="n">
        <v>4</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HYPERLINK("https://creighton-primo.hosted.exlibrisgroup.com/primo-explore/search?tab=default_tab&amp;search_scope=EVERYTHING&amp;vid=01CRU&amp;lang=en_US&amp;offset=0&amp;query=any,contains,991003128569702656","Catalog Record")</f>
        <v/>
      </c>
      <c r="AT265">
        <f>HYPERLINK("http://www.worldcat.org/oclc/672017","WorldCat Record")</f>
        <v/>
      </c>
      <c r="AU265" t="inlineStr">
        <is>
          <t>1707308:eng</t>
        </is>
      </c>
      <c r="AV265" t="inlineStr">
        <is>
          <t>672017</t>
        </is>
      </c>
      <c r="AW265" t="inlineStr">
        <is>
          <t>991003128569702656</t>
        </is>
      </c>
      <c r="AX265" t="inlineStr">
        <is>
          <t>991003128569702656</t>
        </is>
      </c>
      <c r="AY265" t="inlineStr">
        <is>
          <t>2267894120002656</t>
        </is>
      </c>
      <c r="AZ265" t="inlineStr">
        <is>
          <t>BOOK</t>
        </is>
      </c>
      <c r="BB265" t="inlineStr">
        <is>
          <t>9780802834294</t>
        </is>
      </c>
      <c r="BC265" t="inlineStr">
        <is>
          <t>32285000809409</t>
        </is>
      </c>
      <c r="BD265" t="inlineStr">
        <is>
          <t>893793350</t>
        </is>
      </c>
    </row>
    <row r="266">
      <c r="A266" t="inlineStr">
        <is>
          <t>No</t>
        </is>
      </c>
      <c r="B266" t="inlineStr">
        <is>
          <t>BT140 .B74 1980</t>
        </is>
      </c>
      <c r="C266" t="inlineStr">
        <is>
          <t>0                      BT 0140000B  74          1980</t>
        </is>
      </c>
      <c r="D266" t="inlineStr">
        <is>
          <t>Certain as the dawn / Peter G. van Breemen.</t>
        </is>
      </c>
      <c r="F266" t="inlineStr">
        <is>
          <t>No</t>
        </is>
      </c>
      <c r="G266" t="inlineStr">
        <is>
          <t>1</t>
        </is>
      </c>
      <c r="H266" t="inlineStr">
        <is>
          <t>No</t>
        </is>
      </c>
      <c r="I266" t="inlineStr">
        <is>
          <t>No</t>
        </is>
      </c>
      <c r="J266" t="inlineStr">
        <is>
          <t>0</t>
        </is>
      </c>
      <c r="K266" t="inlineStr">
        <is>
          <t>Van Breemen, Peter G., 1927-</t>
        </is>
      </c>
      <c r="L266" t="inlineStr">
        <is>
          <t>Denville, N.J. : Dimension Books, 1980.</t>
        </is>
      </c>
      <c r="M266" t="inlineStr">
        <is>
          <t>1980</t>
        </is>
      </c>
      <c r="O266" t="inlineStr">
        <is>
          <t>eng</t>
        </is>
      </c>
      <c r="P266" t="inlineStr">
        <is>
          <t>nju</t>
        </is>
      </c>
      <c r="R266" t="inlineStr">
        <is>
          <t xml:space="preserve">BT </t>
        </is>
      </c>
      <c r="S266" t="n">
        <v>7</v>
      </c>
      <c r="T266" t="n">
        <v>7</v>
      </c>
      <c r="U266" t="inlineStr">
        <is>
          <t>2000-10-02</t>
        </is>
      </c>
      <c r="V266" t="inlineStr">
        <is>
          <t>2000-10-02</t>
        </is>
      </c>
      <c r="W266" t="inlineStr">
        <is>
          <t>1990-09-05</t>
        </is>
      </c>
      <c r="X266" t="inlineStr">
        <is>
          <t>1990-09-05</t>
        </is>
      </c>
      <c r="Y266" t="n">
        <v>95</v>
      </c>
      <c r="Z266" t="n">
        <v>86</v>
      </c>
      <c r="AA266" t="n">
        <v>91</v>
      </c>
      <c r="AB266" t="n">
        <v>2</v>
      </c>
      <c r="AC266" t="n">
        <v>2</v>
      </c>
      <c r="AD266" t="n">
        <v>15</v>
      </c>
      <c r="AE266" t="n">
        <v>15</v>
      </c>
      <c r="AF266" t="n">
        <v>3</v>
      </c>
      <c r="AG266" t="n">
        <v>3</v>
      </c>
      <c r="AH266" t="n">
        <v>3</v>
      </c>
      <c r="AI266" t="n">
        <v>3</v>
      </c>
      <c r="AJ266" t="n">
        <v>12</v>
      </c>
      <c r="AK266" t="n">
        <v>12</v>
      </c>
      <c r="AL266" t="n">
        <v>1</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HYPERLINK("https://creighton-primo.hosted.exlibrisgroup.com/primo-explore/search?tab=default_tab&amp;search_scope=EVERYTHING&amp;vid=01CRU&amp;lang=en_US&amp;offset=0&amp;query=any,contains,991005045219702656","Catalog Record")</f>
        <v/>
      </c>
      <c r="AT266">
        <f>HYPERLINK("http://www.worldcat.org/oclc/6819412","WorldCat Record")</f>
        <v/>
      </c>
      <c r="AU266" t="inlineStr">
        <is>
          <t>4160546992:eng</t>
        </is>
      </c>
      <c r="AV266" t="inlineStr">
        <is>
          <t>6819412</t>
        </is>
      </c>
      <c r="AW266" t="inlineStr">
        <is>
          <t>991005045219702656</t>
        </is>
      </c>
      <c r="AX266" t="inlineStr">
        <is>
          <t>991005045219702656</t>
        </is>
      </c>
      <c r="AY266" t="inlineStr">
        <is>
          <t>2260173560002656</t>
        </is>
      </c>
      <c r="AZ266" t="inlineStr">
        <is>
          <t>BOOK</t>
        </is>
      </c>
      <c r="BB266" t="inlineStr">
        <is>
          <t>9780871931313</t>
        </is>
      </c>
      <c r="BC266" t="inlineStr">
        <is>
          <t>32285000024892</t>
        </is>
      </c>
      <c r="BD266" t="inlineStr">
        <is>
          <t>893789351</t>
        </is>
      </c>
    </row>
    <row r="267">
      <c r="A267" t="inlineStr">
        <is>
          <t>No</t>
        </is>
      </c>
      <c r="B267" t="inlineStr">
        <is>
          <t>BT140 .C295 1990</t>
        </is>
      </c>
      <c r="C267" t="inlineStr">
        <is>
          <t>0                      BT 0140000C  295         1990</t>
        </is>
      </c>
      <c r="D267" t="inlineStr">
        <is>
          <t>God delights in you : an introduction to Gospel spirituality / John T. Catoir.</t>
        </is>
      </c>
      <c r="F267" t="inlineStr">
        <is>
          <t>No</t>
        </is>
      </c>
      <c r="G267" t="inlineStr">
        <is>
          <t>1</t>
        </is>
      </c>
      <c r="H267" t="inlineStr">
        <is>
          <t>No</t>
        </is>
      </c>
      <c r="I267" t="inlineStr">
        <is>
          <t>No</t>
        </is>
      </c>
      <c r="J267" t="inlineStr">
        <is>
          <t>0</t>
        </is>
      </c>
      <c r="K267" t="inlineStr">
        <is>
          <t>Catoir, John T.</t>
        </is>
      </c>
      <c r="L267" t="inlineStr">
        <is>
          <t>New York, NY : Christophers, c1990.</t>
        </is>
      </c>
      <c r="M267" t="inlineStr">
        <is>
          <t>1990</t>
        </is>
      </c>
      <c r="O267" t="inlineStr">
        <is>
          <t>eng</t>
        </is>
      </c>
      <c r="P267" t="inlineStr">
        <is>
          <t>nyu</t>
        </is>
      </c>
      <c r="R267" t="inlineStr">
        <is>
          <t xml:space="preserve">BT </t>
        </is>
      </c>
      <c r="S267" t="n">
        <v>2</v>
      </c>
      <c r="T267" t="n">
        <v>2</v>
      </c>
      <c r="U267" t="inlineStr">
        <is>
          <t>2005-06-19</t>
        </is>
      </c>
      <c r="V267" t="inlineStr">
        <is>
          <t>2005-06-19</t>
        </is>
      </c>
      <c r="W267" t="inlineStr">
        <is>
          <t>2004-05-05</t>
        </is>
      </c>
      <c r="X267" t="inlineStr">
        <is>
          <t>2004-05-05</t>
        </is>
      </c>
      <c r="Y267" t="n">
        <v>29</v>
      </c>
      <c r="Z267" t="n">
        <v>24</v>
      </c>
      <c r="AA267" t="n">
        <v>80</v>
      </c>
      <c r="AB267" t="n">
        <v>2</v>
      </c>
      <c r="AC267" t="n">
        <v>2</v>
      </c>
      <c r="AD267" t="n">
        <v>2</v>
      </c>
      <c r="AE267" t="n">
        <v>9</v>
      </c>
      <c r="AF267" t="n">
        <v>0</v>
      </c>
      <c r="AG267" t="n">
        <v>1</v>
      </c>
      <c r="AH267" t="n">
        <v>2</v>
      </c>
      <c r="AI267" t="n">
        <v>3</v>
      </c>
      <c r="AJ267" t="n">
        <v>2</v>
      </c>
      <c r="AK267" t="n">
        <v>8</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HYPERLINK("https://creighton-primo.hosted.exlibrisgroup.com/primo-explore/search?tab=default_tab&amp;search_scope=EVERYTHING&amp;vid=01CRU&amp;lang=en_US&amp;offset=0&amp;query=any,contains,991004295619702656","Catalog Record")</f>
        <v/>
      </c>
      <c r="AT267">
        <f>HYPERLINK("http://www.worldcat.org/oclc/28009290","WorldCat Record")</f>
        <v/>
      </c>
      <c r="AU267" t="inlineStr">
        <is>
          <t>22925658:eng</t>
        </is>
      </c>
      <c r="AV267" t="inlineStr">
        <is>
          <t>28009290</t>
        </is>
      </c>
      <c r="AW267" t="inlineStr">
        <is>
          <t>991004295619702656</t>
        </is>
      </c>
      <c r="AX267" t="inlineStr">
        <is>
          <t>991004295619702656</t>
        </is>
      </c>
      <c r="AY267" t="inlineStr">
        <is>
          <t>2257831760002656</t>
        </is>
      </c>
      <c r="AZ267" t="inlineStr">
        <is>
          <t>BOOK</t>
        </is>
      </c>
      <c r="BC267" t="inlineStr">
        <is>
          <t>32285004904164</t>
        </is>
      </c>
      <c r="BD267" t="inlineStr">
        <is>
          <t>893442451</t>
        </is>
      </c>
    </row>
    <row r="268">
      <c r="A268" t="inlineStr">
        <is>
          <t>No</t>
        </is>
      </c>
      <c r="B268" t="inlineStr">
        <is>
          <t>BT140 .G8413</t>
        </is>
      </c>
      <c r="C268" t="inlineStr">
        <is>
          <t>0                      BT 0140000G  8413</t>
        </is>
      </c>
      <c r="D268" t="inlineStr">
        <is>
          <t>The nature and dignity of love / William of Saint Thierry ; translated by Thomas X. Davis ; introd. by David N. Bell.</t>
        </is>
      </c>
      <c r="F268" t="inlineStr">
        <is>
          <t>No</t>
        </is>
      </c>
      <c r="G268" t="inlineStr">
        <is>
          <t>1</t>
        </is>
      </c>
      <c r="H268" t="inlineStr">
        <is>
          <t>No</t>
        </is>
      </c>
      <c r="I268" t="inlineStr">
        <is>
          <t>No</t>
        </is>
      </c>
      <c r="J268" t="inlineStr">
        <is>
          <t>0</t>
        </is>
      </c>
      <c r="K268" t="inlineStr">
        <is>
          <t>William, of Saint-Thierry, Abbot of Saint-Thierry, approximately 1085-1148?</t>
        </is>
      </c>
      <c r="L268" t="inlineStr">
        <is>
          <t>Kalamazoo, Mich. : Cistercian Publications, 1981.</t>
        </is>
      </c>
      <c r="M268" t="inlineStr">
        <is>
          <t>1981</t>
        </is>
      </c>
      <c r="O268" t="inlineStr">
        <is>
          <t>eng</t>
        </is>
      </c>
      <c r="P268" t="inlineStr">
        <is>
          <t>miu</t>
        </is>
      </c>
      <c r="Q268" t="inlineStr">
        <is>
          <t>Cistercian Fathers series ; no. 30</t>
        </is>
      </c>
      <c r="R268" t="inlineStr">
        <is>
          <t xml:space="preserve">BT </t>
        </is>
      </c>
      <c r="S268" t="n">
        <v>4</v>
      </c>
      <c r="T268" t="n">
        <v>4</v>
      </c>
      <c r="U268" t="inlineStr">
        <is>
          <t>2000-02-28</t>
        </is>
      </c>
      <c r="V268" t="inlineStr">
        <is>
          <t>2000-02-28</t>
        </is>
      </c>
      <c r="W268" t="inlineStr">
        <is>
          <t>1991-08-02</t>
        </is>
      </c>
      <c r="X268" t="inlineStr">
        <is>
          <t>1991-08-02</t>
        </is>
      </c>
      <c r="Y268" t="n">
        <v>247</v>
      </c>
      <c r="Z268" t="n">
        <v>203</v>
      </c>
      <c r="AA268" t="n">
        <v>232</v>
      </c>
      <c r="AB268" t="n">
        <v>1</v>
      </c>
      <c r="AC268" t="n">
        <v>1</v>
      </c>
      <c r="AD268" t="n">
        <v>22</v>
      </c>
      <c r="AE268" t="n">
        <v>28</v>
      </c>
      <c r="AF268" t="n">
        <v>6</v>
      </c>
      <c r="AG268" t="n">
        <v>8</v>
      </c>
      <c r="AH268" t="n">
        <v>6</v>
      </c>
      <c r="AI268" t="n">
        <v>7</v>
      </c>
      <c r="AJ268" t="n">
        <v>17</v>
      </c>
      <c r="AK268" t="n">
        <v>22</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HYPERLINK("https://creighton-primo.hosted.exlibrisgroup.com/primo-explore/search?tab=default_tab&amp;search_scope=EVERYTHING&amp;vid=01CRU&amp;lang=en_US&amp;offset=0&amp;query=any,contains,991004960769702656","Catalog Record")</f>
        <v/>
      </c>
      <c r="AT268">
        <f>HYPERLINK("http://www.worldcat.org/oclc/6304850","WorldCat Record")</f>
        <v/>
      </c>
      <c r="AU268" t="inlineStr">
        <is>
          <t>9349331662:eng</t>
        </is>
      </c>
      <c r="AV268" t="inlineStr">
        <is>
          <t>6304850</t>
        </is>
      </c>
      <c r="AW268" t="inlineStr">
        <is>
          <t>991004960769702656</t>
        </is>
      </c>
      <c r="AX268" t="inlineStr">
        <is>
          <t>991004960769702656</t>
        </is>
      </c>
      <c r="AY268" t="inlineStr">
        <is>
          <t>2259276020002656</t>
        </is>
      </c>
      <c r="AZ268" t="inlineStr">
        <is>
          <t>BOOK</t>
        </is>
      </c>
      <c r="BB268" t="inlineStr">
        <is>
          <t>9780879073305</t>
        </is>
      </c>
      <c r="BC268" t="inlineStr">
        <is>
          <t>32285000694231</t>
        </is>
      </c>
      <c r="BD268" t="inlineStr">
        <is>
          <t>893795451</t>
        </is>
      </c>
    </row>
    <row r="269">
      <c r="A269" t="inlineStr">
        <is>
          <t>No</t>
        </is>
      </c>
      <c r="B269" t="inlineStr">
        <is>
          <t>BT140 .M35 1987</t>
        </is>
      </c>
      <c r="C269" t="inlineStr">
        <is>
          <t>0                      BT 0140000M  35          1987</t>
        </is>
      </c>
      <c r="D269" t="inlineStr">
        <is>
          <t>God's exploding love / George A. Maloney.</t>
        </is>
      </c>
      <c r="F269" t="inlineStr">
        <is>
          <t>No</t>
        </is>
      </c>
      <c r="G269" t="inlineStr">
        <is>
          <t>1</t>
        </is>
      </c>
      <c r="H269" t="inlineStr">
        <is>
          <t>No</t>
        </is>
      </c>
      <c r="I269" t="inlineStr">
        <is>
          <t>No</t>
        </is>
      </c>
      <c r="J269" t="inlineStr">
        <is>
          <t>0</t>
        </is>
      </c>
      <c r="K269" t="inlineStr">
        <is>
          <t>Maloney, George A., 1924-2005.</t>
        </is>
      </c>
      <c r="L269" t="inlineStr">
        <is>
          <t>New York : Alba House, c1987.</t>
        </is>
      </c>
      <c r="M269" t="inlineStr">
        <is>
          <t>1987</t>
        </is>
      </c>
      <c r="O269" t="inlineStr">
        <is>
          <t>eng</t>
        </is>
      </c>
      <c r="P269" t="inlineStr">
        <is>
          <t>nyu</t>
        </is>
      </c>
      <c r="R269" t="inlineStr">
        <is>
          <t xml:space="preserve">BT </t>
        </is>
      </c>
      <c r="S269" t="n">
        <v>6</v>
      </c>
      <c r="T269" t="n">
        <v>6</v>
      </c>
      <c r="U269" t="inlineStr">
        <is>
          <t>1999-11-06</t>
        </is>
      </c>
      <c r="V269" t="inlineStr">
        <is>
          <t>1999-11-06</t>
        </is>
      </c>
      <c r="W269" t="inlineStr">
        <is>
          <t>1991-08-02</t>
        </is>
      </c>
      <c r="X269" t="inlineStr">
        <is>
          <t>1991-08-02</t>
        </is>
      </c>
      <c r="Y269" t="n">
        <v>72</v>
      </c>
      <c r="Z269" t="n">
        <v>62</v>
      </c>
      <c r="AA269" t="n">
        <v>67</v>
      </c>
      <c r="AB269" t="n">
        <v>2</v>
      </c>
      <c r="AC269" t="n">
        <v>2</v>
      </c>
      <c r="AD269" t="n">
        <v>10</v>
      </c>
      <c r="AE269" t="n">
        <v>10</v>
      </c>
      <c r="AF269" t="n">
        <v>0</v>
      </c>
      <c r="AG269" t="n">
        <v>0</v>
      </c>
      <c r="AH269" t="n">
        <v>2</v>
      </c>
      <c r="AI269" t="n">
        <v>2</v>
      </c>
      <c r="AJ269" t="n">
        <v>7</v>
      </c>
      <c r="AK269" t="n">
        <v>7</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HYPERLINK("https://creighton-primo.hosted.exlibrisgroup.com/primo-explore/search?tab=default_tab&amp;search_scope=EVERYTHING&amp;vid=01CRU&amp;lang=en_US&amp;offset=0&amp;query=any,contains,991000964349702656","Catalog Record")</f>
        <v/>
      </c>
      <c r="AT269">
        <f>HYPERLINK("http://www.worldcat.org/oclc/14904337","WorldCat Record")</f>
        <v/>
      </c>
      <c r="AU269" t="inlineStr">
        <is>
          <t>2763707493:eng</t>
        </is>
      </c>
      <c r="AV269" t="inlineStr">
        <is>
          <t>14904337</t>
        </is>
      </c>
      <c r="AW269" t="inlineStr">
        <is>
          <t>991000964349702656</t>
        </is>
      </c>
      <c r="AX269" t="inlineStr">
        <is>
          <t>991000964349702656</t>
        </is>
      </c>
      <c r="AY269" t="inlineStr">
        <is>
          <t>2266821500002656</t>
        </is>
      </c>
      <c r="AZ269" t="inlineStr">
        <is>
          <t>BOOK</t>
        </is>
      </c>
      <c r="BB269" t="inlineStr">
        <is>
          <t>9780818905148</t>
        </is>
      </c>
      <c r="BC269" t="inlineStr">
        <is>
          <t>32285000694256</t>
        </is>
      </c>
      <c r="BD269" t="inlineStr">
        <is>
          <t>893708875</t>
        </is>
      </c>
    </row>
    <row r="270">
      <c r="A270" t="inlineStr">
        <is>
          <t>No</t>
        </is>
      </c>
      <c r="B270" t="inlineStr">
        <is>
          <t>BT140 .P53 1994</t>
        </is>
      </c>
      <c r="C270" t="inlineStr">
        <is>
          <t>0                      BT 0140000P  53          1994</t>
        </is>
      </c>
      <c r="D270" t="inlineStr">
        <is>
          <t>Narratives of a vulnerable God : Christ, theology, and scripture / William C. Placher.</t>
        </is>
      </c>
      <c r="F270" t="inlineStr">
        <is>
          <t>No</t>
        </is>
      </c>
      <c r="G270" t="inlineStr">
        <is>
          <t>1</t>
        </is>
      </c>
      <c r="H270" t="inlineStr">
        <is>
          <t>No</t>
        </is>
      </c>
      <c r="I270" t="inlineStr">
        <is>
          <t>No</t>
        </is>
      </c>
      <c r="J270" t="inlineStr">
        <is>
          <t>0</t>
        </is>
      </c>
      <c r="K270" t="inlineStr">
        <is>
          <t>Placher, William C. (William Carl), 1948-2008.</t>
        </is>
      </c>
      <c r="L270" t="inlineStr">
        <is>
          <t>Louisville, KY : Westminster/John Knox Press, c1994.</t>
        </is>
      </c>
      <c r="M270" t="inlineStr">
        <is>
          <t>1994</t>
        </is>
      </c>
      <c r="N270" t="inlineStr">
        <is>
          <t>1st ed.</t>
        </is>
      </c>
      <c r="O270" t="inlineStr">
        <is>
          <t>eng</t>
        </is>
      </c>
      <c r="P270" t="inlineStr">
        <is>
          <t>kyu</t>
        </is>
      </c>
      <c r="R270" t="inlineStr">
        <is>
          <t xml:space="preserve">BT </t>
        </is>
      </c>
      <c r="S270" t="n">
        <v>2</v>
      </c>
      <c r="T270" t="n">
        <v>2</v>
      </c>
      <c r="U270" t="inlineStr">
        <is>
          <t>1996-11-20</t>
        </is>
      </c>
      <c r="V270" t="inlineStr">
        <is>
          <t>1996-11-20</t>
        </is>
      </c>
      <c r="W270" t="inlineStr">
        <is>
          <t>1995-04-17</t>
        </is>
      </c>
      <c r="X270" t="inlineStr">
        <is>
          <t>1995-04-17</t>
        </is>
      </c>
      <c r="Y270" t="n">
        <v>330</v>
      </c>
      <c r="Z270" t="n">
        <v>271</v>
      </c>
      <c r="AA270" t="n">
        <v>271</v>
      </c>
      <c r="AB270" t="n">
        <v>2</v>
      </c>
      <c r="AC270" t="n">
        <v>2</v>
      </c>
      <c r="AD270" t="n">
        <v>21</v>
      </c>
      <c r="AE270" t="n">
        <v>21</v>
      </c>
      <c r="AF270" t="n">
        <v>9</v>
      </c>
      <c r="AG270" t="n">
        <v>9</v>
      </c>
      <c r="AH270" t="n">
        <v>5</v>
      </c>
      <c r="AI270" t="n">
        <v>5</v>
      </c>
      <c r="AJ270" t="n">
        <v>12</v>
      </c>
      <c r="AK270" t="n">
        <v>12</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HYPERLINK("https://creighton-primo.hosted.exlibrisgroup.com/primo-explore/search?tab=default_tab&amp;search_scope=EVERYTHING&amp;vid=01CRU&amp;lang=en_US&amp;offset=0&amp;query=any,contains,991002282529702656","Catalog Record")</f>
        <v/>
      </c>
      <c r="AT270">
        <f>HYPERLINK("http://www.worldcat.org/oclc/29595542","WorldCat Record")</f>
        <v/>
      </c>
      <c r="AU270" t="inlineStr">
        <is>
          <t>351615969:eng</t>
        </is>
      </c>
      <c r="AV270" t="inlineStr">
        <is>
          <t>29595542</t>
        </is>
      </c>
      <c r="AW270" t="inlineStr">
        <is>
          <t>991002282529702656</t>
        </is>
      </c>
      <c r="AX270" t="inlineStr">
        <is>
          <t>991002282529702656</t>
        </is>
      </c>
      <c r="AY270" t="inlineStr">
        <is>
          <t>2261050980002656</t>
        </is>
      </c>
      <c r="AZ270" t="inlineStr">
        <is>
          <t>BOOK</t>
        </is>
      </c>
      <c r="BB270" t="inlineStr">
        <is>
          <t>9780664255343</t>
        </is>
      </c>
      <c r="BC270" t="inlineStr">
        <is>
          <t>32285002018306</t>
        </is>
      </c>
      <c r="BD270" t="inlineStr">
        <is>
          <t>893716263</t>
        </is>
      </c>
    </row>
    <row r="271">
      <c r="A271" t="inlineStr">
        <is>
          <t>No</t>
        </is>
      </c>
      <c r="B271" t="inlineStr">
        <is>
          <t>BT1410 .G66 1993</t>
        </is>
      </c>
      <c r="C271" t="inlineStr">
        <is>
          <t>0                      BT 1410000G  66          1993</t>
        </is>
      </c>
      <c r="D271" t="inlineStr">
        <is>
          <t>Gnosis on the Silk Road : Gnostic texts from Central Asia / translated &amp; presented by Hans-Joachim Klimkeit.</t>
        </is>
      </c>
      <c r="F271" t="inlineStr">
        <is>
          <t>No</t>
        </is>
      </c>
      <c r="G271" t="inlineStr">
        <is>
          <t>1</t>
        </is>
      </c>
      <c r="H271" t="inlineStr">
        <is>
          <t>No</t>
        </is>
      </c>
      <c r="I271" t="inlineStr">
        <is>
          <t>No</t>
        </is>
      </c>
      <c r="J271" t="inlineStr">
        <is>
          <t>0</t>
        </is>
      </c>
      <c r="L271" t="inlineStr">
        <is>
          <t>[San Francisco, Calif.] : HarperSanFrancisco, c1993.</t>
        </is>
      </c>
      <c r="M271" t="inlineStr">
        <is>
          <t>1993</t>
        </is>
      </c>
      <c r="N271" t="inlineStr">
        <is>
          <t>1st ed.</t>
        </is>
      </c>
      <c r="O271" t="inlineStr">
        <is>
          <t>eng</t>
        </is>
      </c>
      <c r="P271" t="inlineStr">
        <is>
          <t>cau</t>
        </is>
      </c>
      <c r="R271" t="inlineStr">
        <is>
          <t xml:space="preserve">BT </t>
        </is>
      </c>
      <c r="S271" t="n">
        <v>5</v>
      </c>
      <c r="T271" t="n">
        <v>5</v>
      </c>
      <c r="U271" t="inlineStr">
        <is>
          <t>2009-07-09</t>
        </is>
      </c>
      <c r="V271" t="inlineStr">
        <is>
          <t>2009-07-09</t>
        </is>
      </c>
      <c r="W271" t="inlineStr">
        <is>
          <t>1995-02-16</t>
        </is>
      </c>
      <c r="X271" t="inlineStr">
        <is>
          <t>1995-02-16</t>
        </is>
      </c>
      <c r="Y271" t="n">
        <v>454</v>
      </c>
      <c r="Z271" t="n">
        <v>380</v>
      </c>
      <c r="AA271" t="n">
        <v>382</v>
      </c>
      <c r="AB271" t="n">
        <v>4</v>
      </c>
      <c r="AC271" t="n">
        <v>4</v>
      </c>
      <c r="AD271" t="n">
        <v>18</v>
      </c>
      <c r="AE271" t="n">
        <v>18</v>
      </c>
      <c r="AF271" t="n">
        <v>2</v>
      </c>
      <c r="AG271" t="n">
        <v>2</v>
      </c>
      <c r="AH271" t="n">
        <v>6</v>
      </c>
      <c r="AI271" t="n">
        <v>6</v>
      </c>
      <c r="AJ271" t="n">
        <v>10</v>
      </c>
      <c r="AK271" t="n">
        <v>10</v>
      </c>
      <c r="AL271" t="n">
        <v>2</v>
      </c>
      <c r="AM271" t="n">
        <v>2</v>
      </c>
      <c r="AN271" t="n">
        <v>0</v>
      </c>
      <c r="AO271" t="n">
        <v>0</v>
      </c>
      <c r="AP271" t="inlineStr">
        <is>
          <t>No</t>
        </is>
      </c>
      <c r="AQ271" t="inlineStr">
        <is>
          <t>Yes</t>
        </is>
      </c>
      <c r="AR271">
        <f>HYPERLINK("http://catalog.hathitrust.org/Record/002808138","HathiTrust Record")</f>
        <v/>
      </c>
      <c r="AS271">
        <f>HYPERLINK("https://creighton-primo.hosted.exlibrisgroup.com/primo-explore/search?tab=default_tab&amp;search_scope=EVERYTHING&amp;vid=01CRU&amp;lang=en_US&amp;offset=0&amp;query=any,contains,991002181159702656","Catalog Record")</f>
        <v/>
      </c>
      <c r="AT271">
        <f>HYPERLINK("http://www.worldcat.org/oclc/28067600","WorldCat Record")</f>
        <v/>
      </c>
      <c r="AU271" t="inlineStr">
        <is>
          <t>903478713:eng</t>
        </is>
      </c>
      <c r="AV271" t="inlineStr">
        <is>
          <t>28067600</t>
        </is>
      </c>
      <c r="AW271" t="inlineStr">
        <is>
          <t>991002181159702656</t>
        </is>
      </c>
      <c r="AX271" t="inlineStr">
        <is>
          <t>991002181159702656</t>
        </is>
      </c>
      <c r="AY271" t="inlineStr">
        <is>
          <t>2259345270002656</t>
        </is>
      </c>
      <c r="AZ271" t="inlineStr">
        <is>
          <t>BOOK</t>
        </is>
      </c>
      <c r="BB271" t="inlineStr">
        <is>
          <t>9780060645861</t>
        </is>
      </c>
      <c r="BC271" t="inlineStr">
        <is>
          <t>32285001999001</t>
        </is>
      </c>
      <c r="BD271" t="inlineStr">
        <is>
          <t>893716146</t>
        </is>
      </c>
    </row>
    <row r="272">
      <c r="A272" t="inlineStr">
        <is>
          <t>No</t>
        </is>
      </c>
      <c r="B272" t="inlineStr">
        <is>
          <t>BT1410 .K4713 1995</t>
        </is>
      </c>
      <c r="C272" t="inlineStr">
        <is>
          <t>0                      BT 1410000K  4713        1995</t>
        </is>
      </c>
      <c r="D272" t="inlineStr">
        <is>
          <t>The Kephalaia of the Teacher : the edited Coptic Manichaean texts in translation with commentary / [edited] by Iain Gardner.</t>
        </is>
      </c>
      <c r="F272" t="inlineStr">
        <is>
          <t>No</t>
        </is>
      </c>
      <c r="G272" t="inlineStr">
        <is>
          <t>1</t>
        </is>
      </c>
      <c r="H272" t="inlineStr">
        <is>
          <t>No</t>
        </is>
      </c>
      <c r="I272" t="inlineStr">
        <is>
          <t>No</t>
        </is>
      </c>
      <c r="J272" t="inlineStr">
        <is>
          <t>0</t>
        </is>
      </c>
      <c r="K272" t="inlineStr">
        <is>
          <t>Kephalaia. English.</t>
        </is>
      </c>
      <c r="L272" t="inlineStr">
        <is>
          <t>Leiden ; New York : E.J. Brill, 1995.</t>
        </is>
      </c>
      <c r="M272" t="inlineStr">
        <is>
          <t>1995</t>
        </is>
      </c>
      <c r="O272" t="inlineStr">
        <is>
          <t>eng</t>
        </is>
      </c>
      <c r="P272" t="inlineStr">
        <is>
          <t xml:space="preserve">ne </t>
        </is>
      </c>
      <c r="Q272" t="inlineStr">
        <is>
          <t>Nag Hammadi and Manichaean studies, 0929-2470 ; 37</t>
        </is>
      </c>
      <c r="R272" t="inlineStr">
        <is>
          <t xml:space="preserve">BT </t>
        </is>
      </c>
      <c r="S272" t="n">
        <v>1</v>
      </c>
      <c r="T272" t="n">
        <v>1</v>
      </c>
      <c r="U272" t="inlineStr">
        <is>
          <t>2005-09-21</t>
        </is>
      </c>
      <c r="V272" t="inlineStr">
        <is>
          <t>2005-09-21</t>
        </is>
      </c>
      <c r="W272" t="inlineStr">
        <is>
          <t>1996-10-16</t>
        </is>
      </c>
      <c r="X272" t="inlineStr">
        <is>
          <t>1996-10-16</t>
        </is>
      </c>
      <c r="Y272" t="n">
        <v>182</v>
      </c>
      <c r="Z272" t="n">
        <v>125</v>
      </c>
      <c r="AA272" t="n">
        <v>127</v>
      </c>
      <c r="AB272" t="n">
        <v>2</v>
      </c>
      <c r="AC272" t="n">
        <v>2</v>
      </c>
      <c r="AD272" t="n">
        <v>7</v>
      </c>
      <c r="AE272" t="n">
        <v>7</v>
      </c>
      <c r="AF272" t="n">
        <v>0</v>
      </c>
      <c r="AG272" t="n">
        <v>0</v>
      </c>
      <c r="AH272" t="n">
        <v>2</v>
      </c>
      <c r="AI272" t="n">
        <v>2</v>
      </c>
      <c r="AJ272" t="n">
        <v>5</v>
      </c>
      <c r="AK272" t="n">
        <v>5</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HYPERLINK("https://creighton-primo.hosted.exlibrisgroup.com/primo-explore/search?tab=default_tab&amp;search_scope=EVERYTHING&amp;vid=01CRU&amp;lang=en_US&amp;offset=0&amp;query=any,contains,991002452029702656","Catalog Record")</f>
        <v/>
      </c>
      <c r="AT272">
        <f>HYPERLINK("http://www.worldcat.org/oclc/31970972","WorldCat Record")</f>
        <v/>
      </c>
      <c r="AU272" t="inlineStr">
        <is>
          <t>352865042:eng</t>
        </is>
      </c>
      <c r="AV272" t="inlineStr">
        <is>
          <t>31970972</t>
        </is>
      </c>
      <c r="AW272" t="inlineStr">
        <is>
          <t>991002452029702656</t>
        </is>
      </c>
      <c r="AX272" t="inlineStr">
        <is>
          <t>991002452029702656</t>
        </is>
      </c>
      <c r="AY272" t="inlineStr">
        <is>
          <t>2270253520002656</t>
        </is>
      </c>
      <c r="AZ272" t="inlineStr">
        <is>
          <t>BOOK</t>
        </is>
      </c>
      <c r="BB272" t="inlineStr">
        <is>
          <t>9789004102484</t>
        </is>
      </c>
      <c r="BC272" t="inlineStr">
        <is>
          <t>32285002366259</t>
        </is>
      </c>
      <c r="BD272" t="inlineStr">
        <is>
          <t>893685370</t>
        </is>
      </c>
    </row>
    <row r="273">
      <c r="A273" t="inlineStr">
        <is>
          <t>No</t>
        </is>
      </c>
      <c r="B273" t="inlineStr">
        <is>
          <t>BT1415 .H313 1990</t>
        </is>
      </c>
      <c r="C273" t="inlineStr">
        <is>
          <t>0                      BT 1415000H  313         1990</t>
        </is>
      </c>
      <c r="D273" t="inlineStr">
        <is>
          <t>Marcion : the gospel of the alien God / Adolf von Harnack ; translated by John E. Steely and Lyle D. Bierma.</t>
        </is>
      </c>
      <c r="F273" t="inlineStr">
        <is>
          <t>No</t>
        </is>
      </c>
      <c r="G273" t="inlineStr">
        <is>
          <t>1</t>
        </is>
      </c>
      <c r="H273" t="inlineStr">
        <is>
          <t>No</t>
        </is>
      </c>
      <c r="I273" t="inlineStr">
        <is>
          <t>No</t>
        </is>
      </c>
      <c r="J273" t="inlineStr">
        <is>
          <t>0</t>
        </is>
      </c>
      <c r="K273" t="inlineStr">
        <is>
          <t>Harnack, Adolf von, 1851-1930.</t>
        </is>
      </c>
      <c r="L273" t="inlineStr">
        <is>
          <t>Durham, N.C. : Labyrinth Press, c1990.</t>
        </is>
      </c>
      <c r="M273" t="inlineStr">
        <is>
          <t>1990</t>
        </is>
      </c>
      <c r="O273" t="inlineStr">
        <is>
          <t>eng</t>
        </is>
      </c>
      <c r="P273" t="inlineStr">
        <is>
          <t>ncu</t>
        </is>
      </c>
      <c r="R273" t="inlineStr">
        <is>
          <t xml:space="preserve">BT </t>
        </is>
      </c>
      <c r="S273" t="n">
        <v>3</v>
      </c>
      <c r="T273" t="n">
        <v>3</v>
      </c>
      <c r="U273" t="inlineStr">
        <is>
          <t>2001-10-30</t>
        </is>
      </c>
      <c r="V273" t="inlineStr">
        <is>
          <t>2001-10-30</t>
        </is>
      </c>
      <c r="W273" t="inlineStr">
        <is>
          <t>1990-06-28</t>
        </is>
      </c>
      <c r="X273" t="inlineStr">
        <is>
          <t>1990-06-28</t>
        </is>
      </c>
      <c r="Y273" t="n">
        <v>303</v>
      </c>
      <c r="Z273" t="n">
        <v>262</v>
      </c>
      <c r="AA273" t="n">
        <v>268</v>
      </c>
      <c r="AB273" t="n">
        <v>1</v>
      </c>
      <c r="AC273" t="n">
        <v>1</v>
      </c>
      <c r="AD273" t="n">
        <v>14</v>
      </c>
      <c r="AE273" t="n">
        <v>14</v>
      </c>
      <c r="AF273" t="n">
        <v>6</v>
      </c>
      <c r="AG273" t="n">
        <v>6</v>
      </c>
      <c r="AH273" t="n">
        <v>4</v>
      </c>
      <c r="AI273" t="n">
        <v>4</v>
      </c>
      <c r="AJ273" t="n">
        <v>8</v>
      </c>
      <c r="AK273" t="n">
        <v>8</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HYPERLINK("https://creighton-primo.hosted.exlibrisgroup.com/primo-explore/search?tab=default_tab&amp;search_scope=EVERYTHING&amp;vid=01CRU&amp;lang=en_US&amp;offset=0&amp;query=any,contains,991001619169702656","Catalog Record")</f>
        <v/>
      </c>
      <c r="AT273">
        <f>HYPERLINK("http://www.worldcat.org/oclc/20800514","WorldCat Record")</f>
        <v/>
      </c>
      <c r="AU273" t="inlineStr">
        <is>
          <t>3980213972:eng</t>
        </is>
      </c>
      <c r="AV273" t="inlineStr">
        <is>
          <t>20800514</t>
        </is>
      </c>
      <c r="AW273" t="inlineStr">
        <is>
          <t>991001619169702656</t>
        </is>
      </c>
      <c r="AX273" t="inlineStr">
        <is>
          <t>991001619169702656</t>
        </is>
      </c>
      <c r="AY273" t="inlineStr">
        <is>
          <t>2255608960002656</t>
        </is>
      </c>
      <c r="AZ273" t="inlineStr">
        <is>
          <t>BOOK</t>
        </is>
      </c>
      <c r="BB273" t="inlineStr">
        <is>
          <t>9780939464166</t>
        </is>
      </c>
      <c r="BC273" t="inlineStr">
        <is>
          <t>32285000205822</t>
        </is>
      </c>
      <c r="BD273" t="inlineStr">
        <is>
          <t>893426703</t>
        </is>
      </c>
    </row>
    <row r="274">
      <c r="A274" t="inlineStr">
        <is>
          <t>No</t>
        </is>
      </c>
      <c r="B274" t="inlineStr">
        <is>
          <t>BT1415 .H59 1984</t>
        </is>
      </c>
      <c r="C274" t="inlineStr">
        <is>
          <t>0                      BT 1415000H  59          1984</t>
        </is>
      </c>
      <c r="D274" t="inlineStr">
        <is>
          <t>Marcion, on the restitution of Christianity : an essay on the development of radical Paulinist theology in the second century / R. Joseph Hoffmann.</t>
        </is>
      </c>
      <c r="F274" t="inlineStr">
        <is>
          <t>No</t>
        </is>
      </c>
      <c r="G274" t="inlineStr">
        <is>
          <t>1</t>
        </is>
      </c>
      <c r="H274" t="inlineStr">
        <is>
          <t>No</t>
        </is>
      </c>
      <c r="I274" t="inlineStr">
        <is>
          <t>No</t>
        </is>
      </c>
      <c r="J274" t="inlineStr">
        <is>
          <t>0</t>
        </is>
      </c>
      <c r="K274" t="inlineStr">
        <is>
          <t>Hoffmann, R. Joseph.</t>
        </is>
      </c>
      <c r="L274" t="inlineStr">
        <is>
          <t>Chico, Calif. : Scholars Press, c1984.</t>
        </is>
      </c>
      <c r="M274" t="inlineStr">
        <is>
          <t>1984</t>
        </is>
      </c>
      <c r="O274" t="inlineStr">
        <is>
          <t>eng</t>
        </is>
      </c>
      <c r="P274" t="inlineStr">
        <is>
          <t>cau</t>
        </is>
      </c>
      <c r="Q274" t="inlineStr">
        <is>
          <t>Academy series / American Academy of Religion ; 46</t>
        </is>
      </c>
      <c r="R274" t="inlineStr">
        <is>
          <t xml:space="preserve">BT </t>
        </is>
      </c>
      <c r="S274" t="n">
        <v>3</v>
      </c>
      <c r="T274" t="n">
        <v>3</v>
      </c>
      <c r="U274" t="inlineStr">
        <is>
          <t>2001-10-30</t>
        </is>
      </c>
      <c r="V274" t="inlineStr">
        <is>
          <t>2001-10-30</t>
        </is>
      </c>
      <c r="W274" t="inlineStr">
        <is>
          <t>1991-11-07</t>
        </is>
      </c>
      <c r="X274" t="inlineStr">
        <is>
          <t>1991-11-07</t>
        </is>
      </c>
      <c r="Y274" t="n">
        <v>313</v>
      </c>
      <c r="Z274" t="n">
        <v>243</v>
      </c>
      <c r="AA274" t="n">
        <v>266</v>
      </c>
      <c r="AB274" t="n">
        <v>2</v>
      </c>
      <c r="AC274" t="n">
        <v>2</v>
      </c>
      <c r="AD274" t="n">
        <v>15</v>
      </c>
      <c r="AE274" t="n">
        <v>17</v>
      </c>
      <c r="AF274" t="n">
        <v>6</v>
      </c>
      <c r="AG274" t="n">
        <v>7</v>
      </c>
      <c r="AH274" t="n">
        <v>3</v>
      </c>
      <c r="AI274" t="n">
        <v>4</v>
      </c>
      <c r="AJ274" t="n">
        <v>9</v>
      </c>
      <c r="AK274" t="n">
        <v>11</v>
      </c>
      <c r="AL274" t="n">
        <v>1</v>
      </c>
      <c r="AM274" t="n">
        <v>1</v>
      </c>
      <c r="AN274" t="n">
        <v>0</v>
      </c>
      <c r="AO274" t="n">
        <v>0</v>
      </c>
      <c r="AP274" t="inlineStr">
        <is>
          <t>No</t>
        </is>
      </c>
      <c r="AQ274" t="inlineStr">
        <is>
          <t>Yes</t>
        </is>
      </c>
      <c r="AR274">
        <f>HYPERLINK("http://catalog.hathitrust.org/Record/000376133","HathiTrust Record")</f>
        <v/>
      </c>
      <c r="AS274">
        <f>HYPERLINK("https://creighton-primo.hosted.exlibrisgroup.com/primo-explore/search?tab=default_tab&amp;search_scope=EVERYTHING&amp;vid=01CRU&amp;lang=en_US&amp;offset=0&amp;query=any,contains,991000219279702656","Catalog Record")</f>
        <v/>
      </c>
      <c r="AT274">
        <f>HYPERLINK("http://www.worldcat.org/oclc/9575554","WorldCat Record")</f>
        <v/>
      </c>
      <c r="AU274" t="inlineStr">
        <is>
          <t>43406363:eng</t>
        </is>
      </c>
      <c r="AV274" t="inlineStr">
        <is>
          <t>9575554</t>
        </is>
      </c>
      <c r="AW274" t="inlineStr">
        <is>
          <t>991000219279702656</t>
        </is>
      </c>
      <c r="AX274" t="inlineStr">
        <is>
          <t>991000219279702656</t>
        </is>
      </c>
      <c r="AY274" t="inlineStr">
        <is>
          <t>2267053950002656</t>
        </is>
      </c>
      <c r="AZ274" t="inlineStr">
        <is>
          <t>BOOK</t>
        </is>
      </c>
      <c r="BB274" t="inlineStr">
        <is>
          <t>9780891306382</t>
        </is>
      </c>
      <c r="BC274" t="inlineStr">
        <is>
          <t>32285000809466</t>
        </is>
      </c>
      <c r="BD274" t="inlineStr">
        <is>
          <t>893620313</t>
        </is>
      </c>
    </row>
    <row r="275">
      <c r="A275" t="inlineStr">
        <is>
          <t>No</t>
        </is>
      </c>
      <c r="B275" t="inlineStr">
        <is>
          <t>BT1435 .M66 1989</t>
        </is>
      </c>
      <c r="C275" t="inlineStr">
        <is>
          <t>0                      BT 1435000M  66          1989</t>
        </is>
      </c>
      <c r="D275" t="inlineStr">
        <is>
          <t>The Montanist oracles and testimonia / [edited by] Ronald E. Heine.</t>
        </is>
      </c>
      <c r="F275" t="inlineStr">
        <is>
          <t>No</t>
        </is>
      </c>
      <c r="G275" t="inlineStr">
        <is>
          <t>1</t>
        </is>
      </c>
      <c r="H275" t="inlineStr">
        <is>
          <t>No</t>
        </is>
      </c>
      <c r="I275" t="inlineStr">
        <is>
          <t>No</t>
        </is>
      </c>
      <c r="J275" t="inlineStr">
        <is>
          <t>0</t>
        </is>
      </c>
      <c r="L275" t="inlineStr">
        <is>
          <t>[Belgium] : Peeters ; Macon, GA : Mercer University Press, c1989.</t>
        </is>
      </c>
      <c r="M275" t="inlineStr">
        <is>
          <t>1989</t>
        </is>
      </c>
      <c r="O275" t="inlineStr">
        <is>
          <t>eng</t>
        </is>
      </c>
      <c r="P275" t="inlineStr">
        <is>
          <t xml:space="preserve">be </t>
        </is>
      </c>
      <c r="Q275" t="inlineStr">
        <is>
          <t>Patristic monograph series ; 14</t>
        </is>
      </c>
      <c r="R275" t="inlineStr">
        <is>
          <t xml:space="preserve">BT </t>
        </is>
      </c>
      <c r="S275" t="n">
        <v>7</v>
      </c>
      <c r="T275" t="n">
        <v>7</v>
      </c>
      <c r="U275" t="inlineStr">
        <is>
          <t>2004-10-06</t>
        </is>
      </c>
      <c r="V275" t="inlineStr">
        <is>
          <t>2004-10-06</t>
        </is>
      </c>
      <c r="W275" t="inlineStr">
        <is>
          <t>1990-02-14</t>
        </is>
      </c>
      <c r="X275" t="inlineStr">
        <is>
          <t>1990-02-14</t>
        </is>
      </c>
      <c r="Y275" t="n">
        <v>244</v>
      </c>
      <c r="Z275" t="n">
        <v>196</v>
      </c>
      <c r="AA275" t="n">
        <v>197</v>
      </c>
      <c r="AB275" t="n">
        <v>2</v>
      </c>
      <c r="AC275" t="n">
        <v>2</v>
      </c>
      <c r="AD275" t="n">
        <v>15</v>
      </c>
      <c r="AE275" t="n">
        <v>15</v>
      </c>
      <c r="AF275" t="n">
        <v>6</v>
      </c>
      <c r="AG275" t="n">
        <v>6</v>
      </c>
      <c r="AH275" t="n">
        <v>3</v>
      </c>
      <c r="AI275" t="n">
        <v>3</v>
      </c>
      <c r="AJ275" t="n">
        <v>10</v>
      </c>
      <c r="AK275" t="n">
        <v>10</v>
      </c>
      <c r="AL275" t="n">
        <v>1</v>
      </c>
      <c r="AM275" t="n">
        <v>1</v>
      </c>
      <c r="AN275" t="n">
        <v>0</v>
      </c>
      <c r="AO275" t="n">
        <v>0</v>
      </c>
      <c r="AP275" t="inlineStr">
        <is>
          <t>No</t>
        </is>
      </c>
      <c r="AQ275" t="inlineStr">
        <is>
          <t>Yes</t>
        </is>
      </c>
      <c r="AR275">
        <f>HYPERLINK("http://catalog.hathitrust.org/Record/001842822","HathiTrust Record")</f>
        <v/>
      </c>
      <c r="AS275">
        <f>HYPERLINK("https://creighton-primo.hosted.exlibrisgroup.com/primo-explore/search?tab=default_tab&amp;search_scope=EVERYTHING&amp;vid=01CRU&amp;lang=en_US&amp;offset=0&amp;query=any,contains,991001497299702656","Catalog Record")</f>
        <v/>
      </c>
      <c r="AT275">
        <f>HYPERLINK("http://www.worldcat.org/oclc/19776404","WorldCat Record")</f>
        <v/>
      </c>
      <c r="AU275" t="inlineStr">
        <is>
          <t>55218077:eng</t>
        </is>
      </c>
      <c r="AV275" t="inlineStr">
        <is>
          <t>19776404</t>
        </is>
      </c>
      <c r="AW275" t="inlineStr">
        <is>
          <t>991001497299702656</t>
        </is>
      </c>
      <c r="AX275" t="inlineStr">
        <is>
          <t>991001497299702656</t>
        </is>
      </c>
      <c r="AY275" t="inlineStr">
        <is>
          <t>2272267260002656</t>
        </is>
      </c>
      <c r="AZ275" t="inlineStr">
        <is>
          <t>BOOK</t>
        </is>
      </c>
      <c r="BB275" t="inlineStr">
        <is>
          <t>9780865543331</t>
        </is>
      </c>
      <c r="BC275" t="inlineStr">
        <is>
          <t>32285000037712</t>
        </is>
      </c>
      <c r="BD275" t="inlineStr">
        <is>
          <t>893321998</t>
        </is>
      </c>
    </row>
    <row r="276">
      <c r="A276" t="inlineStr">
        <is>
          <t>No</t>
        </is>
      </c>
      <c r="B276" t="inlineStr">
        <is>
          <t>BT1435 .T33 1997</t>
        </is>
      </c>
      <c r="C276" t="inlineStr">
        <is>
          <t>0                      BT 1435000T  33          1997</t>
        </is>
      </c>
      <c r="D276" t="inlineStr">
        <is>
          <t>Montanist inscriptions and testimonia : epigraphic sources illustrating the history of Montanism / William Tabbernee.</t>
        </is>
      </c>
      <c r="F276" t="inlineStr">
        <is>
          <t>No</t>
        </is>
      </c>
      <c r="G276" t="inlineStr">
        <is>
          <t>1</t>
        </is>
      </c>
      <c r="H276" t="inlineStr">
        <is>
          <t>No</t>
        </is>
      </c>
      <c r="I276" t="inlineStr">
        <is>
          <t>No</t>
        </is>
      </c>
      <c r="J276" t="inlineStr">
        <is>
          <t>0</t>
        </is>
      </c>
      <c r="K276" t="inlineStr">
        <is>
          <t>Tabbernee, William, 1944-</t>
        </is>
      </c>
      <c r="L276" t="inlineStr">
        <is>
          <t>Macon, Ga. : Mercer University Press, c1997.</t>
        </is>
      </c>
      <c r="M276" t="inlineStr">
        <is>
          <t>1997</t>
        </is>
      </c>
      <c r="O276" t="inlineStr">
        <is>
          <t>eng</t>
        </is>
      </c>
      <c r="P276" t="inlineStr">
        <is>
          <t>gau</t>
        </is>
      </c>
      <c r="Q276" t="inlineStr">
        <is>
          <t>Patristic monograph series ; 16</t>
        </is>
      </c>
      <c r="R276" t="inlineStr">
        <is>
          <t xml:space="preserve">BT </t>
        </is>
      </c>
      <c r="S276" t="n">
        <v>3</v>
      </c>
      <c r="T276" t="n">
        <v>3</v>
      </c>
      <c r="U276" t="inlineStr">
        <is>
          <t>2007-04-04</t>
        </is>
      </c>
      <c r="V276" t="inlineStr">
        <is>
          <t>2007-04-04</t>
        </is>
      </c>
      <c r="W276" t="inlineStr">
        <is>
          <t>1997-08-27</t>
        </is>
      </c>
      <c r="X276" t="inlineStr">
        <is>
          <t>1997-08-27</t>
        </is>
      </c>
      <c r="Y276" t="n">
        <v>232</v>
      </c>
      <c r="Z276" t="n">
        <v>170</v>
      </c>
      <c r="AA276" t="n">
        <v>170</v>
      </c>
      <c r="AB276" t="n">
        <v>1</v>
      </c>
      <c r="AC276" t="n">
        <v>1</v>
      </c>
      <c r="AD276" t="n">
        <v>11</v>
      </c>
      <c r="AE276" t="n">
        <v>11</v>
      </c>
      <c r="AF276" t="n">
        <v>4</v>
      </c>
      <c r="AG276" t="n">
        <v>4</v>
      </c>
      <c r="AH276" t="n">
        <v>2</v>
      </c>
      <c r="AI276" t="n">
        <v>2</v>
      </c>
      <c r="AJ276" t="n">
        <v>7</v>
      </c>
      <c r="AK276" t="n">
        <v>7</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HYPERLINK("https://creighton-primo.hosted.exlibrisgroup.com/primo-explore/search?tab=default_tab&amp;search_scope=EVERYTHING&amp;vid=01CRU&amp;lang=en_US&amp;offset=0&amp;query=any,contains,991002821439702656","Catalog Record")</f>
        <v/>
      </c>
      <c r="AT276">
        <f>HYPERLINK("http://www.worldcat.org/oclc/37132443","WorldCat Record")</f>
        <v/>
      </c>
      <c r="AU276" t="inlineStr">
        <is>
          <t>230749801:eng</t>
        </is>
      </c>
      <c r="AV276" t="inlineStr">
        <is>
          <t>37132443</t>
        </is>
      </c>
      <c r="AW276" t="inlineStr">
        <is>
          <t>991002821439702656</t>
        </is>
      </c>
      <c r="AX276" t="inlineStr">
        <is>
          <t>991002821439702656</t>
        </is>
      </c>
      <c r="AY276" t="inlineStr">
        <is>
          <t>2272447150002656</t>
        </is>
      </c>
      <c r="AZ276" t="inlineStr">
        <is>
          <t>BOOK</t>
        </is>
      </c>
      <c r="BB276" t="inlineStr">
        <is>
          <t>9780865545212</t>
        </is>
      </c>
      <c r="BC276" t="inlineStr">
        <is>
          <t>32285003001848</t>
        </is>
      </c>
      <c r="BD276" t="inlineStr">
        <is>
          <t>893774065</t>
        </is>
      </c>
    </row>
    <row r="277">
      <c r="A277" t="inlineStr">
        <is>
          <t>No</t>
        </is>
      </c>
      <c r="B277" t="inlineStr">
        <is>
          <t>BT1435 .T74 1996</t>
        </is>
      </c>
      <c r="C277" t="inlineStr">
        <is>
          <t>0                      BT 1435000T  74          1996</t>
        </is>
      </c>
      <c r="D277" t="inlineStr">
        <is>
          <t>Montanism : gender, authority, and the new prophecy / Christine Trevett.</t>
        </is>
      </c>
      <c r="F277" t="inlineStr">
        <is>
          <t>No</t>
        </is>
      </c>
      <c r="G277" t="inlineStr">
        <is>
          <t>1</t>
        </is>
      </c>
      <c r="H277" t="inlineStr">
        <is>
          <t>No</t>
        </is>
      </c>
      <c r="I277" t="inlineStr">
        <is>
          <t>No</t>
        </is>
      </c>
      <c r="J277" t="inlineStr">
        <is>
          <t>0</t>
        </is>
      </c>
      <c r="K277" t="inlineStr">
        <is>
          <t>Trevett, Christine.</t>
        </is>
      </c>
      <c r="L277" t="inlineStr">
        <is>
          <t>Cambridge ; New York : Cambridge University Press, 1996.</t>
        </is>
      </c>
      <c r="M277" t="inlineStr">
        <is>
          <t>1996</t>
        </is>
      </c>
      <c r="O277" t="inlineStr">
        <is>
          <t>eng</t>
        </is>
      </c>
      <c r="P277" t="inlineStr">
        <is>
          <t>enk</t>
        </is>
      </c>
      <c r="R277" t="inlineStr">
        <is>
          <t xml:space="preserve">BT </t>
        </is>
      </c>
      <c r="S277" t="n">
        <v>8</v>
      </c>
      <c r="T277" t="n">
        <v>8</v>
      </c>
      <c r="U277" t="inlineStr">
        <is>
          <t>2010-02-12</t>
        </is>
      </c>
      <c r="V277" t="inlineStr">
        <is>
          <t>2010-02-12</t>
        </is>
      </c>
      <c r="W277" t="inlineStr">
        <is>
          <t>1996-10-01</t>
        </is>
      </c>
      <c r="X277" t="inlineStr">
        <is>
          <t>1996-10-01</t>
        </is>
      </c>
      <c r="Y277" t="n">
        <v>390</v>
      </c>
      <c r="Z277" t="n">
        <v>291</v>
      </c>
      <c r="AA277" t="n">
        <v>311</v>
      </c>
      <c r="AB277" t="n">
        <v>2</v>
      </c>
      <c r="AC277" t="n">
        <v>2</v>
      </c>
      <c r="AD277" t="n">
        <v>22</v>
      </c>
      <c r="AE277" t="n">
        <v>22</v>
      </c>
      <c r="AF277" t="n">
        <v>7</v>
      </c>
      <c r="AG277" t="n">
        <v>7</v>
      </c>
      <c r="AH277" t="n">
        <v>5</v>
      </c>
      <c r="AI277" t="n">
        <v>5</v>
      </c>
      <c r="AJ277" t="n">
        <v>14</v>
      </c>
      <c r="AK277" t="n">
        <v>14</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HYPERLINK("https://creighton-primo.hosted.exlibrisgroup.com/primo-explore/search?tab=default_tab&amp;search_scope=EVERYTHING&amp;vid=01CRU&amp;lang=en_US&amp;offset=0&amp;query=any,contains,991002480199702656","Catalog Record")</f>
        <v/>
      </c>
      <c r="AT277">
        <f>HYPERLINK("http://www.worldcat.org/oclc/32276385","WorldCat Record")</f>
        <v/>
      </c>
      <c r="AU277" t="inlineStr">
        <is>
          <t>309039380:eng</t>
        </is>
      </c>
      <c r="AV277" t="inlineStr">
        <is>
          <t>32276385</t>
        </is>
      </c>
      <c r="AW277" t="inlineStr">
        <is>
          <t>991002480199702656</t>
        </is>
      </c>
      <c r="AX277" t="inlineStr">
        <is>
          <t>991002480199702656</t>
        </is>
      </c>
      <c r="AY277" t="inlineStr">
        <is>
          <t>2263509810002656</t>
        </is>
      </c>
      <c r="AZ277" t="inlineStr">
        <is>
          <t>BOOK</t>
        </is>
      </c>
      <c r="BB277" t="inlineStr">
        <is>
          <t>9780521411820</t>
        </is>
      </c>
      <c r="BC277" t="inlineStr">
        <is>
          <t>32285002321726</t>
        </is>
      </c>
      <c r="BD277" t="inlineStr">
        <is>
          <t>893316863</t>
        </is>
      </c>
    </row>
    <row r="278">
      <c r="A278" t="inlineStr">
        <is>
          <t>No</t>
        </is>
      </c>
      <c r="B278" t="inlineStr">
        <is>
          <t>BT1464 .H37 1994</t>
        </is>
      </c>
      <c r="C278" t="inlineStr">
        <is>
          <t>0                      BT 1464000H  37          1994</t>
        </is>
      </c>
      <c r="D278" t="inlineStr">
        <is>
          <t>The spirit of God : the exegesis of 1 and 2 Corinthians in the Pneumatomachian controversy of the fourth century / by Michael A.G. Haykin.</t>
        </is>
      </c>
      <c r="F278" t="inlineStr">
        <is>
          <t>No</t>
        </is>
      </c>
      <c r="G278" t="inlineStr">
        <is>
          <t>1</t>
        </is>
      </c>
      <c r="H278" t="inlineStr">
        <is>
          <t>No</t>
        </is>
      </c>
      <c r="I278" t="inlineStr">
        <is>
          <t>No</t>
        </is>
      </c>
      <c r="J278" t="inlineStr">
        <is>
          <t>0</t>
        </is>
      </c>
      <c r="K278" t="inlineStr">
        <is>
          <t>Haykin, Michael A. G.</t>
        </is>
      </c>
      <c r="L278" t="inlineStr">
        <is>
          <t>Leiden ; New York : Brill, 1994.</t>
        </is>
      </c>
      <c r="M278" t="inlineStr">
        <is>
          <t>1994</t>
        </is>
      </c>
      <c r="O278" t="inlineStr">
        <is>
          <t>eng</t>
        </is>
      </c>
      <c r="P278" t="inlineStr">
        <is>
          <t xml:space="preserve">ne </t>
        </is>
      </c>
      <c r="Q278" t="inlineStr">
        <is>
          <t>Supplements to Vigiliae Christianae, 0920-623X ; v. 27</t>
        </is>
      </c>
      <c r="R278" t="inlineStr">
        <is>
          <t xml:space="preserve">BT </t>
        </is>
      </c>
      <c r="S278" t="n">
        <v>5</v>
      </c>
      <c r="T278" t="n">
        <v>5</v>
      </c>
      <c r="U278" t="inlineStr">
        <is>
          <t>2000-11-09</t>
        </is>
      </c>
      <c r="V278" t="inlineStr">
        <is>
          <t>2000-11-09</t>
        </is>
      </c>
      <c r="W278" t="inlineStr">
        <is>
          <t>1998-10-07</t>
        </is>
      </c>
      <c r="X278" t="inlineStr">
        <is>
          <t>1998-10-07</t>
        </is>
      </c>
      <c r="Y278" t="n">
        <v>177</v>
      </c>
      <c r="Z278" t="n">
        <v>135</v>
      </c>
      <c r="AA278" t="n">
        <v>151</v>
      </c>
      <c r="AB278" t="n">
        <v>1</v>
      </c>
      <c r="AC278" t="n">
        <v>1</v>
      </c>
      <c r="AD278" t="n">
        <v>8</v>
      </c>
      <c r="AE278" t="n">
        <v>8</v>
      </c>
      <c r="AF278" t="n">
        <v>3</v>
      </c>
      <c r="AG278" t="n">
        <v>3</v>
      </c>
      <c r="AH278" t="n">
        <v>1</v>
      </c>
      <c r="AI278" t="n">
        <v>1</v>
      </c>
      <c r="AJ278" t="n">
        <v>6</v>
      </c>
      <c r="AK278" t="n">
        <v>6</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HYPERLINK("https://creighton-primo.hosted.exlibrisgroup.com/primo-explore/search?tab=default_tab&amp;search_scope=EVERYTHING&amp;vid=01CRU&amp;lang=en_US&amp;offset=0&amp;query=any,contains,991002364489702656","Catalog Record")</f>
        <v/>
      </c>
      <c r="AT278">
        <f>HYPERLINK("http://www.worldcat.org/oclc/30738629","WorldCat Record")</f>
        <v/>
      </c>
      <c r="AU278" t="inlineStr">
        <is>
          <t>809520693:eng</t>
        </is>
      </c>
      <c r="AV278" t="inlineStr">
        <is>
          <t>30738629</t>
        </is>
      </c>
      <c r="AW278" t="inlineStr">
        <is>
          <t>991002364489702656</t>
        </is>
      </c>
      <c r="AX278" t="inlineStr">
        <is>
          <t>991002364489702656</t>
        </is>
      </c>
      <c r="AY278" t="inlineStr">
        <is>
          <t>2268370310002656</t>
        </is>
      </c>
      <c r="AZ278" t="inlineStr">
        <is>
          <t>BOOK</t>
        </is>
      </c>
      <c r="BB278" t="inlineStr">
        <is>
          <t>9789004099470</t>
        </is>
      </c>
      <c r="BC278" t="inlineStr">
        <is>
          <t>32285003473625</t>
        </is>
      </c>
      <c r="BD278" t="inlineStr">
        <is>
          <t>893409018</t>
        </is>
      </c>
    </row>
    <row r="279">
      <c r="A279" t="inlineStr">
        <is>
          <t>No</t>
        </is>
      </c>
      <c r="B279" t="inlineStr">
        <is>
          <t>BT1475 .G613</t>
        </is>
      </c>
      <c r="C279" t="inlineStr">
        <is>
          <t>0                      BT 1475000G  613</t>
        </is>
      </c>
      <c r="D279" t="inlineStr">
        <is>
          <t>The Gospel of truth, a Valentinian meditation on the gospel. Translation from the Coptic and commentary by Kendrick Grobel.</t>
        </is>
      </c>
      <c r="F279" t="inlineStr">
        <is>
          <t>No</t>
        </is>
      </c>
      <c r="G279" t="inlineStr">
        <is>
          <t>1</t>
        </is>
      </c>
      <c r="H279" t="inlineStr">
        <is>
          <t>No</t>
        </is>
      </c>
      <c r="I279" t="inlineStr">
        <is>
          <t>No</t>
        </is>
      </c>
      <c r="J279" t="inlineStr">
        <is>
          <t>0</t>
        </is>
      </c>
      <c r="K279" t="inlineStr">
        <is>
          <t>Gospel of truth.</t>
        </is>
      </c>
      <c r="L279" t="inlineStr">
        <is>
          <t>New York, Abingdon Press [1960]</t>
        </is>
      </c>
      <c r="M279" t="inlineStr">
        <is>
          <t>1960</t>
        </is>
      </c>
      <c r="O279" t="inlineStr">
        <is>
          <t>eng</t>
        </is>
      </c>
      <c r="P279" t="inlineStr">
        <is>
          <t>nyu</t>
        </is>
      </c>
      <c r="R279" t="inlineStr">
        <is>
          <t xml:space="preserve">BT </t>
        </is>
      </c>
      <c r="S279" t="n">
        <v>3</v>
      </c>
      <c r="T279" t="n">
        <v>3</v>
      </c>
      <c r="U279" t="inlineStr">
        <is>
          <t>2008-12-02</t>
        </is>
      </c>
      <c r="V279" t="inlineStr">
        <is>
          <t>2008-12-02</t>
        </is>
      </c>
      <c r="W279" t="inlineStr">
        <is>
          <t>1991-11-07</t>
        </is>
      </c>
      <c r="X279" t="inlineStr">
        <is>
          <t>1991-11-07</t>
        </is>
      </c>
      <c r="Y279" t="n">
        <v>438</v>
      </c>
      <c r="Z279" t="n">
        <v>409</v>
      </c>
      <c r="AA279" t="n">
        <v>435</v>
      </c>
      <c r="AB279" t="n">
        <v>3</v>
      </c>
      <c r="AC279" t="n">
        <v>3</v>
      </c>
      <c r="AD279" t="n">
        <v>23</v>
      </c>
      <c r="AE279" t="n">
        <v>25</v>
      </c>
      <c r="AF279" t="n">
        <v>12</v>
      </c>
      <c r="AG279" t="n">
        <v>12</v>
      </c>
      <c r="AH279" t="n">
        <v>5</v>
      </c>
      <c r="AI279" t="n">
        <v>5</v>
      </c>
      <c r="AJ279" t="n">
        <v>7</v>
      </c>
      <c r="AK279" t="n">
        <v>9</v>
      </c>
      <c r="AL279" t="n">
        <v>2</v>
      </c>
      <c r="AM279" t="n">
        <v>2</v>
      </c>
      <c r="AN279" t="n">
        <v>0</v>
      </c>
      <c r="AO279" t="n">
        <v>0</v>
      </c>
      <c r="AP279" t="inlineStr">
        <is>
          <t>No</t>
        </is>
      </c>
      <c r="AQ279" t="inlineStr">
        <is>
          <t>No</t>
        </is>
      </c>
      <c r="AR279">
        <f>HYPERLINK("http://catalog.hathitrust.org/Record/001413005","HathiTrust Record")</f>
        <v/>
      </c>
      <c r="AS279">
        <f>HYPERLINK("https://creighton-primo.hosted.exlibrisgroup.com/primo-explore/search?tab=default_tab&amp;search_scope=EVERYTHING&amp;vid=01CRU&amp;lang=en_US&amp;offset=0&amp;query=any,contains,991003333399702656","Catalog Record")</f>
        <v/>
      </c>
      <c r="AT279">
        <f>HYPERLINK("http://www.worldcat.org/oclc/865048","WorldCat Record")</f>
        <v/>
      </c>
      <c r="AU279" t="inlineStr">
        <is>
          <t>54007685:eng</t>
        </is>
      </c>
      <c r="AV279" t="inlineStr">
        <is>
          <t>865048</t>
        </is>
      </c>
      <c r="AW279" t="inlineStr">
        <is>
          <t>991003333399702656</t>
        </is>
      </c>
      <c r="AX279" t="inlineStr">
        <is>
          <t>991003333399702656</t>
        </is>
      </c>
      <c r="AY279" t="inlineStr">
        <is>
          <t>2264845320002656</t>
        </is>
      </c>
      <c r="AZ279" t="inlineStr">
        <is>
          <t>BOOK</t>
        </is>
      </c>
      <c r="BC279" t="inlineStr">
        <is>
          <t>32285000809540</t>
        </is>
      </c>
      <c r="BD279" t="inlineStr">
        <is>
          <t>893499201</t>
        </is>
      </c>
    </row>
    <row r="280">
      <c r="A280" t="inlineStr">
        <is>
          <t>No</t>
        </is>
      </c>
      <c r="B280" t="inlineStr">
        <is>
          <t>BT15 .B66</t>
        </is>
      </c>
      <c r="C280" t="inlineStr">
        <is>
          <t>0                      BT 0015000B  66</t>
        </is>
      </c>
      <c r="D280" t="inlineStr">
        <is>
          <t>The futurist option / by Carl E. Braaten and Robert W. Jenson.</t>
        </is>
      </c>
      <c r="F280" t="inlineStr">
        <is>
          <t>No</t>
        </is>
      </c>
      <c r="G280" t="inlineStr">
        <is>
          <t>1</t>
        </is>
      </c>
      <c r="H280" t="inlineStr">
        <is>
          <t>No</t>
        </is>
      </c>
      <c r="I280" t="inlineStr">
        <is>
          <t>No</t>
        </is>
      </c>
      <c r="J280" t="inlineStr">
        <is>
          <t>0</t>
        </is>
      </c>
      <c r="K280" t="inlineStr">
        <is>
          <t>Braaten, Carl E., 1929-</t>
        </is>
      </c>
      <c r="L280" t="inlineStr">
        <is>
          <t>New York, Newman Press [1970]</t>
        </is>
      </c>
      <c r="M280" t="inlineStr">
        <is>
          <t>1970</t>
        </is>
      </c>
      <c r="O280" t="inlineStr">
        <is>
          <t>eng</t>
        </is>
      </c>
      <c r="P280" t="inlineStr">
        <is>
          <t>nyu</t>
        </is>
      </c>
      <c r="R280" t="inlineStr">
        <is>
          <t xml:space="preserve">BT </t>
        </is>
      </c>
      <c r="S280" t="n">
        <v>2</v>
      </c>
      <c r="T280" t="n">
        <v>2</v>
      </c>
      <c r="U280" t="inlineStr">
        <is>
          <t>2004-08-11</t>
        </is>
      </c>
      <c r="V280" t="inlineStr">
        <is>
          <t>2004-08-11</t>
        </is>
      </c>
      <c r="W280" t="inlineStr">
        <is>
          <t>1991-06-12</t>
        </is>
      </c>
      <c r="X280" t="inlineStr">
        <is>
          <t>1991-06-12</t>
        </is>
      </c>
      <c r="Y280" t="n">
        <v>303</v>
      </c>
      <c r="Z280" t="n">
        <v>270</v>
      </c>
      <c r="AA280" t="n">
        <v>277</v>
      </c>
      <c r="AB280" t="n">
        <v>4</v>
      </c>
      <c r="AC280" t="n">
        <v>4</v>
      </c>
      <c r="AD280" t="n">
        <v>33</v>
      </c>
      <c r="AE280" t="n">
        <v>33</v>
      </c>
      <c r="AF280" t="n">
        <v>11</v>
      </c>
      <c r="AG280" t="n">
        <v>11</v>
      </c>
      <c r="AH280" t="n">
        <v>7</v>
      </c>
      <c r="AI280" t="n">
        <v>7</v>
      </c>
      <c r="AJ280" t="n">
        <v>22</v>
      </c>
      <c r="AK280" t="n">
        <v>22</v>
      </c>
      <c r="AL280" t="n">
        <v>3</v>
      </c>
      <c r="AM280" t="n">
        <v>3</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HYPERLINK("https://creighton-primo.hosted.exlibrisgroup.com/primo-explore/search?tab=default_tab&amp;search_scope=EVERYTHING&amp;vid=01CRU&amp;lang=en_US&amp;offset=0&amp;query=any,contains,991000605439702656","Catalog Record")</f>
        <v/>
      </c>
      <c r="AT280">
        <f>HYPERLINK("http://www.worldcat.org/oclc/98844","WorldCat Record")</f>
        <v/>
      </c>
      <c r="AU280" t="inlineStr">
        <is>
          <t>1330761:eng</t>
        </is>
      </c>
      <c r="AV280" t="inlineStr">
        <is>
          <t>98844</t>
        </is>
      </c>
      <c r="AW280" t="inlineStr">
        <is>
          <t>991000605439702656</t>
        </is>
      </c>
      <c r="AX280" t="inlineStr">
        <is>
          <t>991000605439702656</t>
        </is>
      </c>
      <c r="AY280" t="inlineStr">
        <is>
          <t>2272147550002656</t>
        </is>
      </c>
      <c r="AZ280" t="inlineStr">
        <is>
          <t>BOOK</t>
        </is>
      </c>
      <c r="BC280" t="inlineStr">
        <is>
          <t>32285000685395</t>
        </is>
      </c>
      <c r="BD280" t="inlineStr">
        <is>
          <t>893683573</t>
        </is>
      </c>
    </row>
    <row r="281">
      <c r="A281" t="inlineStr">
        <is>
          <t>No</t>
        </is>
      </c>
      <c r="B281" t="inlineStr">
        <is>
          <t>BT15 .M62</t>
        </is>
      </c>
      <c r="C281" t="inlineStr">
        <is>
          <t>0                      BT 0015000M  62</t>
        </is>
      </c>
      <c r="D281" t="inlineStr">
        <is>
          <t>Religion, revolution, and the future / Jürgen Moltmann. Translated by M. Douglas Meeks.</t>
        </is>
      </c>
      <c r="F281" t="inlineStr">
        <is>
          <t>No</t>
        </is>
      </c>
      <c r="G281" t="inlineStr">
        <is>
          <t>1</t>
        </is>
      </c>
      <c r="H281" t="inlineStr">
        <is>
          <t>No</t>
        </is>
      </c>
      <c r="I281" t="inlineStr">
        <is>
          <t>No</t>
        </is>
      </c>
      <c r="J281" t="inlineStr">
        <is>
          <t>0</t>
        </is>
      </c>
      <c r="K281" t="inlineStr">
        <is>
          <t>Moltmann, Jürgen.</t>
        </is>
      </c>
      <c r="L281" t="inlineStr">
        <is>
          <t>New York, Scribner [1969]</t>
        </is>
      </c>
      <c r="M281" t="inlineStr">
        <is>
          <t>1969</t>
        </is>
      </c>
      <c r="O281" t="inlineStr">
        <is>
          <t>eng</t>
        </is>
      </c>
      <c r="P281" t="inlineStr">
        <is>
          <t>nyu</t>
        </is>
      </c>
      <c r="R281" t="inlineStr">
        <is>
          <t xml:space="preserve">BT </t>
        </is>
      </c>
      <c r="S281" t="n">
        <v>2</v>
      </c>
      <c r="T281" t="n">
        <v>2</v>
      </c>
      <c r="U281" t="inlineStr">
        <is>
          <t>1996-04-23</t>
        </is>
      </c>
      <c r="V281" t="inlineStr">
        <is>
          <t>1996-04-23</t>
        </is>
      </c>
      <c r="W281" t="inlineStr">
        <is>
          <t>1991-06-12</t>
        </is>
      </c>
      <c r="X281" t="inlineStr">
        <is>
          <t>1991-06-12</t>
        </is>
      </c>
      <c r="Y281" t="n">
        <v>730</v>
      </c>
      <c r="Z281" t="n">
        <v>636</v>
      </c>
      <c r="AA281" t="n">
        <v>644</v>
      </c>
      <c r="AB281" t="n">
        <v>7</v>
      </c>
      <c r="AC281" t="n">
        <v>7</v>
      </c>
      <c r="AD281" t="n">
        <v>43</v>
      </c>
      <c r="AE281" t="n">
        <v>43</v>
      </c>
      <c r="AF281" t="n">
        <v>20</v>
      </c>
      <c r="AG281" t="n">
        <v>20</v>
      </c>
      <c r="AH281" t="n">
        <v>7</v>
      </c>
      <c r="AI281" t="n">
        <v>7</v>
      </c>
      <c r="AJ281" t="n">
        <v>20</v>
      </c>
      <c r="AK281" t="n">
        <v>20</v>
      </c>
      <c r="AL281" t="n">
        <v>6</v>
      </c>
      <c r="AM281" t="n">
        <v>6</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HYPERLINK("https://creighton-primo.hosted.exlibrisgroup.com/primo-explore/search?tab=default_tab&amp;search_scope=EVERYTHING&amp;vid=01CRU&amp;lang=en_US&amp;offset=0&amp;query=any,contains,991000004509702656","Catalog Record")</f>
        <v/>
      </c>
      <c r="AT281">
        <f>HYPERLINK("http://www.worldcat.org/oclc/12676","WorldCat Record")</f>
        <v/>
      </c>
      <c r="AU281" t="inlineStr">
        <is>
          <t>1135555:eng</t>
        </is>
      </c>
      <c r="AV281" t="inlineStr">
        <is>
          <t>12676</t>
        </is>
      </c>
      <c r="AW281" t="inlineStr">
        <is>
          <t>991000004509702656</t>
        </is>
      </c>
      <c r="AX281" t="inlineStr">
        <is>
          <t>991000004509702656</t>
        </is>
      </c>
      <c r="AY281" t="inlineStr">
        <is>
          <t>2264973160002656</t>
        </is>
      </c>
      <c r="AZ281" t="inlineStr">
        <is>
          <t>BOOK</t>
        </is>
      </c>
      <c r="BC281" t="inlineStr">
        <is>
          <t>32285000685437</t>
        </is>
      </c>
      <c r="BD281" t="inlineStr">
        <is>
          <t>893601370</t>
        </is>
      </c>
    </row>
    <row r="282">
      <c r="A282" t="inlineStr">
        <is>
          <t>No</t>
        </is>
      </c>
      <c r="B282" t="inlineStr">
        <is>
          <t>BT1506 .S42 1972</t>
        </is>
      </c>
      <c r="C282" t="inlineStr">
        <is>
          <t>0                      BT 1506000S  42          1972</t>
        </is>
      </c>
      <c r="D282" t="inlineStr">
        <is>
          <t>What a modern Catholic believes about heaven and hell / by John Shea.</t>
        </is>
      </c>
      <c r="F282" t="inlineStr">
        <is>
          <t>No</t>
        </is>
      </c>
      <c r="G282" t="inlineStr">
        <is>
          <t>1</t>
        </is>
      </c>
      <c r="H282" t="inlineStr">
        <is>
          <t>No</t>
        </is>
      </c>
      <c r="I282" t="inlineStr">
        <is>
          <t>No</t>
        </is>
      </c>
      <c r="J282" t="inlineStr">
        <is>
          <t>0</t>
        </is>
      </c>
      <c r="K282" t="inlineStr">
        <is>
          <t>Shea, John, 1941-</t>
        </is>
      </c>
      <c r="L282" t="inlineStr">
        <is>
          <t>Chicago : Thomas More Press, [1972]</t>
        </is>
      </c>
      <c r="M282" t="inlineStr">
        <is>
          <t>1972</t>
        </is>
      </c>
      <c r="O282" t="inlineStr">
        <is>
          <t>eng</t>
        </is>
      </c>
      <c r="P282" t="inlineStr">
        <is>
          <t>ilu</t>
        </is>
      </c>
      <c r="R282" t="inlineStr">
        <is>
          <t xml:space="preserve">BT </t>
        </is>
      </c>
      <c r="S282" t="n">
        <v>5</v>
      </c>
      <c r="T282" t="n">
        <v>5</v>
      </c>
      <c r="U282" t="inlineStr">
        <is>
          <t>2000-10-27</t>
        </is>
      </c>
      <c r="V282" t="inlineStr">
        <is>
          <t>2000-10-27</t>
        </is>
      </c>
      <c r="W282" t="inlineStr">
        <is>
          <t>1990-04-25</t>
        </is>
      </c>
      <c r="X282" t="inlineStr">
        <is>
          <t>1990-04-25</t>
        </is>
      </c>
      <c r="Y282" t="n">
        <v>134</v>
      </c>
      <c r="Z282" t="n">
        <v>120</v>
      </c>
      <c r="AA282" t="n">
        <v>120</v>
      </c>
      <c r="AB282" t="n">
        <v>2</v>
      </c>
      <c r="AC282" t="n">
        <v>2</v>
      </c>
      <c r="AD282" t="n">
        <v>19</v>
      </c>
      <c r="AE282" t="n">
        <v>19</v>
      </c>
      <c r="AF282" t="n">
        <v>3</v>
      </c>
      <c r="AG282" t="n">
        <v>3</v>
      </c>
      <c r="AH282" t="n">
        <v>5</v>
      </c>
      <c r="AI282" t="n">
        <v>5</v>
      </c>
      <c r="AJ282" t="n">
        <v>15</v>
      </c>
      <c r="AK282" t="n">
        <v>15</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HYPERLINK("https://creighton-primo.hosted.exlibrisgroup.com/primo-explore/search?tab=default_tab&amp;search_scope=EVERYTHING&amp;vid=01CRU&amp;lang=en_US&amp;offset=0&amp;query=any,contains,991002835729702656","Catalog Record")</f>
        <v/>
      </c>
      <c r="AT282">
        <f>HYPERLINK("http://www.worldcat.org/oclc/479884","WorldCat Record")</f>
        <v/>
      </c>
      <c r="AU282" t="inlineStr">
        <is>
          <t>3770203757:eng</t>
        </is>
      </c>
      <c r="AV282" t="inlineStr">
        <is>
          <t>479884</t>
        </is>
      </c>
      <c r="AW282" t="inlineStr">
        <is>
          <t>991002835729702656</t>
        </is>
      </c>
      <c r="AX282" t="inlineStr">
        <is>
          <t>991002835729702656</t>
        </is>
      </c>
      <c r="AY282" t="inlineStr">
        <is>
          <t>2263752920002656</t>
        </is>
      </c>
      <c r="AZ282" t="inlineStr">
        <is>
          <t>BOOK</t>
        </is>
      </c>
      <c r="BC282" t="inlineStr">
        <is>
          <t>32285000132703</t>
        </is>
      </c>
      <c r="BD282" t="inlineStr">
        <is>
          <t>893428109</t>
        </is>
      </c>
    </row>
    <row r="283">
      <c r="A283" t="inlineStr">
        <is>
          <t>No</t>
        </is>
      </c>
      <c r="B283" t="inlineStr">
        <is>
          <t>BT153.F3 B69 1962</t>
        </is>
      </c>
      <c r="C283" t="inlineStr">
        <is>
          <t>0                      BT 0153000F  3                  B  69          1962</t>
        </is>
      </c>
      <c r="D283" t="inlineStr">
        <is>
          <t>God, our Father / by a Father of the Society of Jesus, P.J. Boudreaux.</t>
        </is>
      </c>
      <c r="F283" t="inlineStr">
        <is>
          <t>No</t>
        </is>
      </c>
      <c r="G283" t="inlineStr">
        <is>
          <t>1</t>
        </is>
      </c>
      <c r="H283" t="inlineStr">
        <is>
          <t>No</t>
        </is>
      </c>
      <c r="I283" t="inlineStr">
        <is>
          <t>No</t>
        </is>
      </c>
      <c r="J283" t="inlineStr">
        <is>
          <t>0</t>
        </is>
      </c>
      <c r="K283" t="inlineStr">
        <is>
          <t>Boudreaux, Florentin J.</t>
        </is>
      </c>
      <c r="L283" t="inlineStr">
        <is>
          <t>Chicago : Loyola University Press, 1962.</t>
        </is>
      </c>
      <c r="M283" t="inlineStr">
        <is>
          <t>1962</t>
        </is>
      </c>
      <c r="O283" t="inlineStr">
        <is>
          <t>eng</t>
        </is>
      </c>
      <c r="P283" t="inlineStr">
        <is>
          <t xml:space="preserve">xx </t>
        </is>
      </c>
      <c r="R283" t="inlineStr">
        <is>
          <t xml:space="preserve">BT </t>
        </is>
      </c>
      <c r="S283" t="n">
        <v>4</v>
      </c>
      <c r="T283" t="n">
        <v>4</v>
      </c>
      <c r="U283" t="inlineStr">
        <is>
          <t>1999-10-13</t>
        </is>
      </c>
      <c r="V283" t="inlineStr">
        <is>
          <t>1999-10-13</t>
        </is>
      </c>
      <c r="W283" t="inlineStr">
        <is>
          <t>1991-08-02</t>
        </is>
      </c>
      <c r="X283" t="inlineStr">
        <is>
          <t>1991-08-02</t>
        </is>
      </c>
      <c r="Y283" t="n">
        <v>33</v>
      </c>
      <c r="Z283" t="n">
        <v>33</v>
      </c>
      <c r="AA283" t="n">
        <v>69</v>
      </c>
      <c r="AB283" t="n">
        <v>1</v>
      </c>
      <c r="AC283" t="n">
        <v>1</v>
      </c>
      <c r="AD283" t="n">
        <v>10</v>
      </c>
      <c r="AE283" t="n">
        <v>19</v>
      </c>
      <c r="AF283" t="n">
        <v>4</v>
      </c>
      <c r="AG283" t="n">
        <v>5</v>
      </c>
      <c r="AH283" t="n">
        <v>1</v>
      </c>
      <c r="AI283" t="n">
        <v>4</v>
      </c>
      <c r="AJ283" t="n">
        <v>10</v>
      </c>
      <c r="AK283" t="n">
        <v>18</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HYPERLINK("https://creighton-primo.hosted.exlibrisgroup.com/primo-explore/search?tab=default_tab&amp;search_scope=EVERYTHING&amp;vid=01CRU&amp;lang=en_US&amp;offset=0&amp;query=any,contains,991003126669702656","Catalog Record")</f>
        <v/>
      </c>
      <c r="AT283">
        <f>HYPERLINK("http://www.worldcat.org/oclc/670756","WorldCat Record")</f>
        <v/>
      </c>
      <c r="AU283" t="inlineStr">
        <is>
          <t>17842922:eng</t>
        </is>
      </c>
      <c r="AV283" t="inlineStr">
        <is>
          <t>670756</t>
        </is>
      </c>
      <c r="AW283" t="inlineStr">
        <is>
          <t>991003126669702656</t>
        </is>
      </c>
      <c r="AX283" t="inlineStr">
        <is>
          <t>991003126669702656</t>
        </is>
      </c>
      <c r="AY283" t="inlineStr">
        <is>
          <t>2267757880002656</t>
        </is>
      </c>
      <c r="AZ283" t="inlineStr">
        <is>
          <t>BOOK</t>
        </is>
      </c>
      <c r="BC283" t="inlineStr">
        <is>
          <t>32285000694280</t>
        </is>
      </c>
      <c r="BD283" t="inlineStr">
        <is>
          <t>893409947</t>
        </is>
      </c>
    </row>
    <row r="284">
      <c r="A284" t="inlineStr">
        <is>
          <t>No</t>
        </is>
      </c>
      <c r="B284" t="inlineStr">
        <is>
          <t>BT153.F3 M66 1996</t>
        </is>
      </c>
      <c r="C284" t="inlineStr">
        <is>
          <t>0                      BT 0153000F  3                  M  66          1996</t>
        </is>
      </c>
      <c r="D284" t="inlineStr">
        <is>
          <t>God's gym : divine male bodies of the Bible / Stephen D. Moore.</t>
        </is>
      </c>
      <c r="F284" t="inlineStr">
        <is>
          <t>No</t>
        </is>
      </c>
      <c r="G284" t="inlineStr">
        <is>
          <t>1</t>
        </is>
      </c>
      <c r="H284" t="inlineStr">
        <is>
          <t>No</t>
        </is>
      </c>
      <c r="I284" t="inlineStr">
        <is>
          <t>No</t>
        </is>
      </c>
      <c r="J284" t="inlineStr">
        <is>
          <t>0</t>
        </is>
      </c>
      <c r="K284" t="inlineStr">
        <is>
          <t>Moore, Stephen D., 1954-</t>
        </is>
      </c>
      <c r="L284" t="inlineStr">
        <is>
          <t>New York : Routledge, 1996.</t>
        </is>
      </c>
      <c r="M284" t="inlineStr">
        <is>
          <t>1996</t>
        </is>
      </c>
      <c r="O284" t="inlineStr">
        <is>
          <t>eng</t>
        </is>
      </c>
      <c r="P284" t="inlineStr">
        <is>
          <t>nyu</t>
        </is>
      </c>
      <c r="R284" t="inlineStr">
        <is>
          <t xml:space="preserve">BT </t>
        </is>
      </c>
      <c r="S284" t="n">
        <v>3</v>
      </c>
      <c r="T284" t="n">
        <v>3</v>
      </c>
      <c r="U284" t="inlineStr">
        <is>
          <t>2004-10-27</t>
        </is>
      </c>
      <c r="V284" t="inlineStr">
        <is>
          <t>2004-10-27</t>
        </is>
      </c>
      <c r="W284" t="inlineStr">
        <is>
          <t>1996-11-19</t>
        </is>
      </c>
      <c r="X284" t="inlineStr">
        <is>
          <t>1996-11-19</t>
        </is>
      </c>
      <c r="Y284" t="n">
        <v>290</v>
      </c>
      <c r="Z284" t="n">
        <v>223</v>
      </c>
      <c r="AA284" t="n">
        <v>244</v>
      </c>
      <c r="AB284" t="n">
        <v>2</v>
      </c>
      <c r="AC284" t="n">
        <v>2</v>
      </c>
      <c r="AD284" t="n">
        <v>11</v>
      </c>
      <c r="AE284" t="n">
        <v>11</v>
      </c>
      <c r="AF284" t="n">
        <v>3</v>
      </c>
      <c r="AG284" t="n">
        <v>3</v>
      </c>
      <c r="AH284" t="n">
        <v>3</v>
      </c>
      <c r="AI284" t="n">
        <v>3</v>
      </c>
      <c r="AJ284" t="n">
        <v>5</v>
      </c>
      <c r="AK284" t="n">
        <v>5</v>
      </c>
      <c r="AL284" t="n">
        <v>1</v>
      </c>
      <c r="AM284" t="n">
        <v>1</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HYPERLINK("https://creighton-primo.hosted.exlibrisgroup.com/primo-explore/search?tab=default_tab&amp;search_scope=EVERYTHING&amp;vid=01CRU&amp;lang=en_US&amp;offset=0&amp;query=any,contains,991002561519702656","Catalog Record")</f>
        <v/>
      </c>
      <c r="AT284">
        <f>HYPERLINK("http://www.worldcat.org/oclc/33282161","WorldCat Record")</f>
        <v/>
      </c>
      <c r="AU284" t="inlineStr">
        <is>
          <t>38038652:eng</t>
        </is>
      </c>
      <c r="AV284" t="inlineStr">
        <is>
          <t>33282161</t>
        </is>
      </c>
      <c r="AW284" t="inlineStr">
        <is>
          <t>991002561519702656</t>
        </is>
      </c>
      <c r="AX284" t="inlineStr">
        <is>
          <t>991002561519702656</t>
        </is>
      </c>
      <c r="AY284" t="inlineStr">
        <is>
          <t>2267454600002656</t>
        </is>
      </c>
      <c r="AZ284" t="inlineStr">
        <is>
          <t>BOOK</t>
        </is>
      </c>
      <c r="BB284" t="inlineStr">
        <is>
          <t>9780415917568</t>
        </is>
      </c>
      <c r="BC284" t="inlineStr">
        <is>
          <t>32285002374063</t>
        </is>
      </c>
      <c r="BD284" t="inlineStr">
        <is>
          <t>893530169</t>
        </is>
      </c>
    </row>
    <row r="285">
      <c r="A285" t="inlineStr">
        <is>
          <t>No</t>
        </is>
      </c>
      <c r="B285" t="inlineStr">
        <is>
          <t>BT153.F3 R37 1995</t>
        </is>
      </c>
      <c r="C285" t="inlineStr">
        <is>
          <t>0                      BT 0153000F  3                  R  37          1995</t>
        </is>
      </c>
      <c r="D285" t="inlineStr">
        <is>
          <t>The engendering God : male and female faces of God / Carl A. Raschke, Susan Doughty Raschke.</t>
        </is>
      </c>
      <c r="F285" t="inlineStr">
        <is>
          <t>No</t>
        </is>
      </c>
      <c r="G285" t="inlineStr">
        <is>
          <t>1</t>
        </is>
      </c>
      <c r="H285" t="inlineStr">
        <is>
          <t>No</t>
        </is>
      </c>
      <c r="I285" t="inlineStr">
        <is>
          <t>No</t>
        </is>
      </c>
      <c r="J285" t="inlineStr">
        <is>
          <t>0</t>
        </is>
      </c>
      <c r="K285" t="inlineStr">
        <is>
          <t>Raschke, Carl A.</t>
        </is>
      </c>
      <c r="L285" t="inlineStr">
        <is>
          <t>Louisville, Ky. : Westminster John Knox Press, c1995.</t>
        </is>
      </c>
      <c r="M285" t="inlineStr">
        <is>
          <t>1995</t>
        </is>
      </c>
      <c r="N285" t="inlineStr">
        <is>
          <t>1st ed.</t>
        </is>
      </c>
      <c r="O285" t="inlineStr">
        <is>
          <t>eng</t>
        </is>
      </c>
      <c r="P285" t="inlineStr">
        <is>
          <t>kyu</t>
        </is>
      </c>
      <c r="R285" t="inlineStr">
        <is>
          <t xml:space="preserve">BT </t>
        </is>
      </c>
      <c r="S285" t="n">
        <v>5</v>
      </c>
      <c r="T285" t="n">
        <v>5</v>
      </c>
      <c r="U285" t="inlineStr">
        <is>
          <t>1999-11-15</t>
        </is>
      </c>
      <c r="V285" t="inlineStr">
        <is>
          <t>1999-11-15</t>
        </is>
      </c>
      <c r="W285" t="inlineStr">
        <is>
          <t>1996-06-06</t>
        </is>
      </c>
      <c r="X285" t="inlineStr">
        <is>
          <t>1996-06-06</t>
        </is>
      </c>
      <c r="Y285" t="n">
        <v>332</v>
      </c>
      <c r="Z285" t="n">
        <v>282</v>
      </c>
      <c r="AA285" t="n">
        <v>287</v>
      </c>
      <c r="AB285" t="n">
        <v>4</v>
      </c>
      <c r="AC285" t="n">
        <v>4</v>
      </c>
      <c r="AD285" t="n">
        <v>14</v>
      </c>
      <c r="AE285" t="n">
        <v>14</v>
      </c>
      <c r="AF285" t="n">
        <v>5</v>
      </c>
      <c r="AG285" t="n">
        <v>5</v>
      </c>
      <c r="AH285" t="n">
        <v>2</v>
      </c>
      <c r="AI285" t="n">
        <v>2</v>
      </c>
      <c r="AJ285" t="n">
        <v>7</v>
      </c>
      <c r="AK285" t="n">
        <v>7</v>
      </c>
      <c r="AL285" t="n">
        <v>3</v>
      </c>
      <c r="AM285" t="n">
        <v>3</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HYPERLINK("https://creighton-primo.hosted.exlibrisgroup.com/primo-explore/search?tab=default_tab&amp;search_scope=EVERYTHING&amp;vid=01CRU&amp;lang=en_US&amp;offset=0&amp;query=any,contains,991002524769702656","Catalog Record")</f>
        <v/>
      </c>
      <c r="AT285">
        <f>HYPERLINK("http://www.worldcat.org/oclc/32822204","WorldCat Record")</f>
        <v/>
      </c>
      <c r="AU285" t="inlineStr">
        <is>
          <t>36787248:eng</t>
        </is>
      </c>
      <c r="AV285" t="inlineStr">
        <is>
          <t>32822204</t>
        </is>
      </c>
      <c r="AW285" t="inlineStr">
        <is>
          <t>991002524769702656</t>
        </is>
      </c>
      <c r="AX285" t="inlineStr">
        <is>
          <t>991002524769702656</t>
        </is>
      </c>
      <c r="AY285" t="inlineStr">
        <is>
          <t>2264026050002656</t>
        </is>
      </c>
      <c r="AZ285" t="inlineStr">
        <is>
          <t>BOOK</t>
        </is>
      </c>
      <c r="BB285" t="inlineStr">
        <is>
          <t>9780664255022</t>
        </is>
      </c>
      <c r="BC285" t="inlineStr">
        <is>
          <t>32285002188703</t>
        </is>
      </c>
      <c r="BD285" t="inlineStr">
        <is>
          <t>893798698</t>
        </is>
      </c>
    </row>
    <row r="286">
      <c r="A286" t="inlineStr">
        <is>
          <t>No</t>
        </is>
      </c>
      <c r="B286" t="inlineStr">
        <is>
          <t>BT153.F3 T46 1985</t>
        </is>
      </c>
      <c r="C286" t="inlineStr">
        <is>
          <t>0                      BT 0153000F  3                  T  46          1985</t>
        </is>
      </c>
      <c r="D286" t="inlineStr">
        <is>
          <t>Is God the only reliable father? / Diane Tennis.</t>
        </is>
      </c>
      <c r="F286" t="inlineStr">
        <is>
          <t>No</t>
        </is>
      </c>
      <c r="G286" t="inlineStr">
        <is>
          <t>1</t>
        </is>
      </c>
      <c r="H286" t="inlineStr">
        <is>
          <t>No</t>
        </is>
      </c>
      <c r="I286" t="inlineStr">
        <is>
          <t>No</t>
        </is>
      </c>
      <c r="J286" t="inlineStr">
        <is>
          <t>0</t>
        </is>
      </c>
      <c r="K286" t="inlineStr">
        <is>
          <t>Tennis, Diane.</t>
        </is>
      </c>
      <c r="L286" t="inlineStr">
        <is>
          <t>Philadelphia : Westminster Press, c1985.</t>
        </is>
      </c>
      <c r="M286" t="inlineStr">
        <is>
          <t>1985</t>
        </is>
      </c>
      <c r="N286" t="inlineStr">
        <is>
          <t>1st ed.</t>
        </is>
      </c>
      <c r="O286" t="inlineStr">
        <is>
          <t>eng</t>
        </is>
      </c>
      <c r="P286" t="inlineStr">
        <is>
          <t>pau</t>
        </is>
      </c>
      <c r="R286" t="inlineStr">
        <is>
          <t xml:space="preserve">BT </t>
        </is>
      </c>
      <c r="S286" t="n">
        <v>5</v>
      </c>
      <c r="T286" t="n">
        <v>5</v>
      </c>
      <c r="U286" t="inlineStr">
        <is>
          <t>1994-11-16</t>
        </is>
      </c>
      <c r="V286" t="inlineStr">
        <is>
          <t>1994-11-16</t>
        </is>
      </c>
      <c r="W286" t="inlineStr">
        <is>
          <t>1991-08-02</t>
        </is>
      </c>
      <c r="X286" t="inlineStr">
        <is>
          <t>1991-08-02</t>
        </is>
      </c>
      <c r="Y286" t="n">
        <v>318</v>
      </c>
      <c r="Z286" t="n">
        <v>276</v>
      </c>
      <c r="AA286" t="n">
        <v>278</v>
      </c>
      <c r="AB286" t="n">
        <v>4</v>
      </c>
      <c r="AC286" t="n">
        <v>4</v>
      </c>
      <c r="AD286" t="n">
        <v>12</v>
      </c>
      <c r="AE286" t="n">
        <v>12</v>
      </c>
      <c r="AF286" t="n">
        <v>3</v>
      </c>
      <c r="AG286" t="n">
        <v>3</v>
      </c>
      <c r="AH286" t="n">
        <v>3</v>
      </c>
      <c r="AI286" t="n">
        <v>3</v>
      </c>
      <c r="AJ286" t="n">
        <v>6</v>
      </c>
      <c r="AK286" t="n">
        <v>6</v>
      </c>
      <c r="AL286" t="n">
        <v>2</v>
      </c>
      <c r="AM286" t="n">
        <v>2</v>
      </c>
      <c r="AN286" t="n">
        <v>0</v>
      </c>
      <c r="AO286" t="n">
        <v>0</v>
      </c>
      <c r="AP286" t="inlineStr">
        <is>
          <t>No</t>
        </is>
      </c>
      <c r="AQ286" t="inlineStr">
        <is>
          <t>Yes</t>
        </is>
      </c>
      <c r="AR286">
        <f>HYPERLINK("http://catalog.hathitrust.org/Record/000463433","HathiTrust Record")</f>
        <v/>
      </c>
      <c r="AS286">
        <f>HYPERLINK("https://creighton-primo.hosted.exlibrisgroup.com/primo-explore/search?tab=default_tab&amp;search_scope=EVERYTHING&amp;vid=01CRU&amp;lang=en_US&amp;offset=0&amp;query=any,contains,991000502799702656","Catalog Record")</f>
        <v/>
      </c>
      <c r="AT286">
        <f>HYPERLINK("http://www.worldcat.org/oclc/11187552","WorldCat Record")</f>
        <v/>
      </c>
      <c r="AU286" t="inlineStr">
        <is>
          <t>4157456:eng</t>
        </is>
      </c>
      <c r="AV286" t="inlineStr">
        <is>
          <t>11187552</t>
        </is>
      </c>
      <c r="AW286" t="inlineStr">
        <is>
          <t>991000502799702656</t>
        </is>
      </c>
      <c r="AX286" t="inlineStr">
        <is>
          <t>991000502799702656</t>
        </is>
      </c>
      <c r="AY286" t="inlineStr">
        <is>
          <t>2263490580002656</t>
        </is>
      </c>
      <c r="AZ286" t="inlineStr">
        <is>
          <t>BOOK</t>
        </is>
      </c>
      <c r="BB286" t="inlineStr">
        <is>
          <t>9780664245948</t>
        </is>
      </c>
      <c r="BC286" t="inlineStr">
        <is>
          <t>32285000694298</t>
        </is>
      </c>
      <c r="BD286" t="inlineStr">
        <is>
          <t>893896932</t>
        </is>
      </c>
    </row>
    <row r="287">
      <c r="A287" t="inlineStr">
        <is>
          <t>No</t>
        </is>
      </c>
      <c r="B287" t="inlineStr">
        <is>
          <t>BT153.I47 D64 1986</t>
        </is>
      </c>
      <c r="C287" t="inlineStr">
        <is>
          <t>0                      BT 0153000I  47                 D  64          1986</t>
        </is>
      </c>
      <c r="D287" t="inlineStr">
        <is>
          <t>The unchanging God of love : a study of the teaching of St. Thomas Aquinas on divine immutability in view of certain contemporary criticism of this doctrine / Michael J. Dodds.</t>
        </is>
      </c>
      <c r="F287" t="inlineStr">
        <is>
          <t>No</t>
        </is>
      </c>
      <c r="G287" t="inlineStr">
        <is>
          <t>1</t>
        </is>
      </c>
      <c r="H287" t="inlineStr">
        <is>
          <t>No</t>
        </is>
      </c>
      <c r="I287" t="inlineStr">
        <is>
          <t>No</t>
        </is>
      </c>
      <c r="J287" t="inlineStr">
        <is>
          <t>0</t>
        </is>
      </c>
      <c r="K287" t="inlineStr">
        <is>
          <t>Dodds, Michael J.</t>
        </is>
      </c>
      <c r="L287" t="inlineStr">
        <is>
          <t>Fribourg : Éditions Universitaires Fribourg Suisse, c1986.</t>
        </is>
      </c>
      <c r="M287" t="inlineStr">
        <is>
          <t>1986</t>
        </is>
      </c>
      <c r="O287" t="inlineStr">
        <is>
          <t>eng</t>
        </is>
      </c>
      <c r="P287" t="inlineStr">
        <is>
          <t xml:space="preserve">sz </t>
        </is>
      </c>
      <c r="Q287" t="inlineStr">
        <is>
          <t>Studia Friburgensia. Nouvelle série ; 66</t>
        </is>
      </c>
      <c r="R287" t="inlineStr">
        <is>
          <t xml:space="preserve">BT </t>
        </is>
      </c>
      <c r="S287" t="n">
        <v>3</v>
      </c>
      <c r="T287" t="n">
        <v>3</v>
      </c>
      <c r="U287" t="inlineStr">
        <is>
          <t>2002-04-05</t>
        </is>
      </c>
      <c r="V287" t="inlineStr">
        <is>
          <t>2002-04-05</t>
        </is>
      </c>
      <c r="W287" t="inlineStr">
        <is>
          <t>1991-08-02</t>
        </is>
      </c>
      <c r="X287" t="inlineStr">
        <is>
          <t>1991-08-02</t>
        </is>
      </c>
      <c r="Y287" t="n">
        <v>104</v>
      </c>
      <c r="Z287" t="n">
        <v>70</v>
      </c>
      <c r="AA287" t="n">
        <v>71</v>
      </c>
      <c r="AB287" t="n">
        <v>1</v>
      </c>
      <c r="AC287" t="n">
        <v>1</v>
      </c>
      <c r="AD287" t="n">
        <v>9</v>
      </c>
      <c r="AE287" t="n">
        <v>9</v>
      </c>
      <c r="AF287" t="n">
        <v>0</v>
      </c>
      <c r="AG287" t="n">
        <v>0</v>
      </c>
      <c r="AH287" t="n">
        <v>3</v>
      </c>
      <c r="AI287" t="n">
        <v>3</v>
      </c>
      <c r="AJ287" t="n">
        <v>8</v>
      </c>
      <c r="AK287" t="n">
        <v>8</v>
      </c>
      <c r="AL287" t="n">
        <v>0</v>
      </c>
      <c r="AM287" t="n">
        <v>0</v>
      </c>
      <c r="AN287" t="n">
        <v>0</v>
      </c>
      <c r="AO287" t="n">
        <v>0</v>
      </c>
      <c r="AP287" t="inlineStr">
        <is>
          <t>No</t>
        </is>
      </c>
      <c r="AQ287" t="inlineStr">
        <is>
          <t>Yes</t>
        </is>
      </c>
      <c r="AR287">
        <f>HYPERLINK("http://catalog.hathitrust.org/Record/000483821","HathiTrust Record")</f>
        <v/>
      </c>
      <c r="AS287">
        <f>HYPERLINK("https://creighton-primo.hosted.exlibrisgroup.com/primo-explore/search?tab=default_tab&amp;search_scope=EVERYTHING&amp;vid=01CRU&amp;lang=en_US&amp;offset=0&amp;query=any,contains,991000933689702656","Catalog Record")</f>
        <v/>
      </c>
      <c r="AT287">
        <f>HYPERLINK("http://www.worldcat.org/oclc/14347615","WorldCat Record")</f>
        <v/>
      </c>
      <c r="AU287" t="inlineStr">
        <is>
          <t>3759265585:eng</t>
        </is>
      </c>
      <c r="AV287" t="inlineStr">
        <is>
          <t>14347615</t>
        </is>
      </c>
      <c r="AW287" t="inlineStr">
        <is>
          <t>991000933689702656</t>
        </is>
      </c>
      <c r="AX287" t="inlineStr">
        <is>
          <t>991000933689702656</t>
        </is>
      </c>
      <c r="AY287" t="inlineStr">
        <is>
          <t>2259462790002656</t>
        </is>
      </c>
      <c r="AZ287" t="inlineStr">
        <is>
          <t>BOOK</t>
        </is>
      </c>
      <c r="BB287" t="inlineStr">
        <is>
          <t>9782827103072</t>
        </is>
      </c>
      <c r="BC287" t="inlineStr">
        <is>
          <t>32285000694314</t>
        </is>
      </c>
      <c r="BD287" t="inlineStr">
        <is>
          <t>893333908</t>
        </is>
      </c>
    </row>
    <row r="288">
      <c r="A288" t="inlineStr">
        <is>
          <t>No</t>
        </is>
      </c>
      <c r="B288" t="inlineStr">
        <is>
          <t>BT153.I47 D6713 1994</t>
        </is>
      </c>
      <c r="C288" t="inlineStr">
        <is>
          <t>0                      BT 0153000I  47                 D  6713        1994</t>
        </is>
      </c>
      <c r="D288" t="inlineStr">
        <is>
          <t>Divine immutability : a critical reconsideration / Isaak August Dorner ; translated by Robert W. Williams and Claude Welch ; with an introduction by Robert W. Williams.</t>
        </is>
      </c>
      <c r="F288" t="inlineStr">
        <is>
          <t>No</t>
        </is>
      </c>
      <c r="G288" t="inlineStr">
        <is>
          <t>1</t>
        </is>
      </c>
      <c r="H288" t="inlineStr">
        <is>
          <t>No</t>
        </is>
      </c>
      <c r="I288" t="inlineStr">
        <is>
          <t>No</t>
        </is>
      </c>
      <c r="J288" t="inlineStr">
        <is>
          <t>0</t>
        </is>
      </c>
      <c r="K288" t="inlineStr">
        <is>
          <t>Dorner, I. A. (Isaak August), 1809-1884.</t>
        </is>
      </c>
      <c r="L288" t="inlineStr">
        <is>
          <t>Minneapolis : Fortress Press, 1994.</t>
        </is>
      </c>
      <c r="M288" t="inlineStr">
        <is>
          <t>1994</t>
        </is>
      </c>
      <c r="N288" t="inlineStr">
        <is>
          <t>1st Fortress Press ed.</t>
        </is>
      </c>
      <c r="O288" t="inlineStr">
        <is>
          <t>eng</t>
        </is>
      </c>
      <c r="P288" t="inlineStr">
        <is>
          <t>mnu</t>
        </is>
      </c>
      <c r="Q288" t="inlineStr">
        <is>
          <t>Fortress texts in modern theology</t>
        </is>
      </c>
      <c r="R288" t="inlineStr">
        <is>
          <t xml:space="preserve">BT </t>
        </is>
      </c>
      <c r="S288" t="n">
        <v>8</v>
      </c>
      <c r="T288" t="n">
        <v>8</v>
      </c>
      <c r="U288" t="inlineStr">
        <is>
          <t>2001-02-21</t>
        </is>
      </c>
      <c r="V288" t="inlineStr">
        <is>
          <t>2001-02-21</t>
        </is>
      </c>
      <c r="W288" t="inlineStr">
        <is>
          <t>1995-04-10</t>
        </is>
      </c>
      <c r="X288" t="inlineStr">
        <is>
          <t>1995-04-10</t>
        </is>
      </c>
      <c r="Y288" t="n">
        <v>229</v>
      </c>
      <c r="Z288" t="n">
        <v>187</v>
      </c>
      <c r="AA288" t="n">
        <v>189</v>
      </c>
      <c r="AB288" t="n">
        <v>2</v>
      </c>
      <c r="AC288" t="n">
        <v>2</v>
      </c>
      <c r="AD288" t="n">
        <v>14</v>
      </c>
      <c r="AE288" t="n">
        <v>14</v>
      </c>
      <c r="AF288" t="n">
        <v>8</v>
      </c>
      <c r="AG288" t="n">
        <v>8</v>
      </c>
      <c r="AH288" t="n">
        <v>2</v>
      </c>
      <c r="AI288" t="n">
        <v>2</v>
      </c>
      <c r="AJ288" t="n">
        <v>8</v>
      </c>
      <c r="AK288" t="n">
        <v>8</v>
      </c>
      <c r="AL288" t="n">
        <v>0</v>
      </c>
      <c r="AM288" t="n">
        <v>0</v>
      </c>
      <c r="AN288" t="n">
        <v>0</v>
      </c>
      <c r="AO288" t="n">
        <v>0</v>
      </c>
      <c r="AP288" t="inlineStr">
        <is>
          <t>No</t>
        </is>
      </c>
      <c r="AQ288" t="inlineStr">
        <is>
          <t>Yes</t>
        </is>
      </c>
      <c r="AR288">
        <f>HYPERLINK("http://catalog.hathitrust.org/Record/002978653","HathiTrust Record")</f>
        <v/>
      </c>
      <c r="AS288">
        <f>HYPERLINK("https://creighton-primo.hosted.exlibrisgroup.com/primo-explore/search?tab=default_tab&amp;search_scope=EVERYTHING&amp;vid=01CRU&amp;lang=en_US&amp;offset=0&amp;query=any,contains,991002344199702656","Catalog Record")</f>
        <v/>
      </c>
      <c r="AT288">
        <f>HYPERLINK("http://www.worldcat.org/oclc/30518152","WorldCat Record")</f>
        <v/>
      </c>
      <c r="AU288" t="inlineStr">
        <is>
          <t>32333073:eng</t>
        </is>
      </c>
      <c r="AV288" t="inlineStr">
        <is>
          <t>30518152</t>
        </is>
      </c>
      <c r="AW288" t="inlineStr">
        <is>
          <t>991002344199702656</t>
        </is>
      </c>
      <c r="AX288" t="inlineStr">
        <is>
          <t>991002344199702656</t>
        </is>
      </c>
      <c r="AY288" t="inlineStr">
        <is>
          <t>2267151570002656</t>
        </is>
      </c>
      <c r="AZ288" t="inlineStr">
        <is>
          <t>BOOK</t>
        </is>
      </c>
      <c r="BB288" t="inlineStr">
        <is>
          <t>9780800632137</t>
        </is>
      </c>
      <c r="BC288" t="inlineStr">
        <is>
          <t>32285002017837</t>
        </is>
      </c>
      <c r="BD288" t="inlineStr">
        <is>
          <t>893529852</t>
        </is>
      </c>
    </row>
    <row r="289">
      <c r="A289" t="inlineStr">
        <is>
          <t>No</t>
        </is>
      </c>
      <c r="B289" t="inlineStr">
        <is>
          <t>BT153.I6 L3</t>
        </is>
      </c>
      <c r="C289" t="inlineStr">
        <is>
          <t>0                      BT 0153000I  6                  L  3</t>
        </is>
      </c>
      <c r="D289" t="inlineStr">
        <is>
          <t>The incomparability of Yahweh in the Old Testament / by C. J. Labuschagne.</t>
        </is>
      </c>
      <c r="F289" t="inlineStr">
        <is>
          <t>No</t>
        </is>
      </c>
      <c r="G289" t="inlineStr">
        <is>
          <t>1</t>
        </is>
      </c>
      <c r="H289" t="inlineStr">
        <is>
          <t>No</t>
        </is>
      </c>
      <c r="I289" t="inlineStr">
        <is>
          <t>No</t>
        </is>
      </c>
      <c r="J289" t="inlineStr">
        <is>
          <t>0</t>
        </is>
      </c>
      <c r="K289" t="inlineStr">
        <is>
          <t>Labuschagne, C. J.</t>
        </is>
      </c>
      <c r="L289" t="inlineStr">
        <is>
          <t>Leiden, E. J. Brill, 1966.</t>
        </is>
      </c>
      <c r="M289" t="inlineStr">
        <is>
          <t>1966</t>
        </is>
      </c>
      <c r="O289" t="inlineStr">
        <is>
          <t>eng</t>
        </is>
      </c>
      <c r="P289" t="inlineStr">
        <is>
          <t xml:space="preserve">ne </t>
        </is>
      </c>
      <c r="Q289" t="inlineStr">
        <is>
          <t>Pretoria oriental series ; v. 5</t>
        </is>
      </c>
      <c r="R289" t="inlineStr">
        <is>
          <t xml:space="preserve">BT </t>
        </is>
      </c>
      <c r="S289" t="n">
        <v>2</v>
      </c>
      <c r="T289" t="n">
        <v>2</v>
      </c>
      <c r="U289" t="inlineStr">
        <is>
          <t>1995-09-26</t>
        </is>
      </c>
      <c r="V289" t="inlineStr">
        <is>
          <t>1995-09-26</t>
        </is>
      </c>
      <c r="W289" t="inlineStr">
        <is>
          <t>1991-08-02</t>
        </is>
      </c>
      <c r="X289" t="inlineStr">
        <is>
          <t>1991-08-02</t>
        </is>
      </c>
      <c r="Y289" t="n">
        <v>351</v>
      </c>
      <c r="Z289" t="n">
        <v>275</v>
      </c>
      <c r="AA289" t="n">
        <v>280</v>
      </c>
      <c r="AB289" t="n">
        <v>2</v>
      </c>
      <c r="AC289" t="n">
        <v>2</v>
      </c>
      <c r="AD289" t="n">
        <v>21</v>
      </c>
      <c r="AE289" t="n">
        <v>21</v>
      </c>
      <c r="AF289" t="n">
        <v>6</v>
      </c>
      <c r="AG289" t="n">
        <v>6</v>
      </c>
      <c r="AH289" t="n">
        <v>5</v>
      </c>
      <c r="AI289" t="n">
        <v>5</v>
      </c>
      <c r="AJ289" t="n">
        <v>12</v>
      </c>
      <c r="AK289" t="n">
        <v>12</v>
      </c>
      <c r="AL289" t="n">
        <v>1</v>
      </c>
      <c r="AM289" t="n">
        <v>1</v>
      </c>
      <c r="AN289" t="n">
        <v>0</v>
      </c>
      <c r="AO289" t="n">
        <v>0</v>
      </c>
      <c r="AP289" t="inlineStr">
        <is>
          <t>No</t>
        </is>
      </c>
      <c r="AQ289" t="inlineStr">
        <is>
          <t>Yes</t>
        </is>
      </c>
      <c r="AR289">
        <f>HYPERLINK("http://catalog.hathitrust.org/Record/001939420","HathiTrust Record")</f>
        <v/>
      </c>
      <c r="AS289">
        <f>HYPERLINK("https://creighton-primo.hosted.exlibrisgroup.com/primo-explore/search?tab=default_tab&amp;search_scope=EVERYTHING&amp;vid=01CRU&amp;lang=en_US&amp;offset=0&amp;query=any,contains,991002994819702656","Catalog Record")</f>
        <v/>
      </c>
      <c r="AT289">
        <f>HYPERLINK("http://www.worldcat.org/oclc/562977","WorldCat Record")</f>
        <v/>
      </c>
      <c r="AU289" t="inlineStr">
        <is>
          <t>1642642:eng</t>
        </is>
      </c>
      <c r="AV289" t="inlineStr">
        <is>
          <t>562977</t>
        </is>
      </c>
      <c r="AW289" t="inlineStr">
        <is>
          <t>991002994819702656</t>
        </is>
      </c>
      <c r="AX289" t="inlineStr">
        <is>
          <t>991002994819702656</t>
        </is>
      </c>
      <c r="AY289" t="inlineStr">
        <is>
          <t>2256073640002656</t>
        </is>
      </c>
      <c r="AZ289" t="inlineStr">
        <is>
          <t>BOOK</t>
        </is>
      </c>
      <c r="BC289" t="inlineStr">
        <is>
          <t>32285000694322</t>
        </is>
      </c>
      <c r="BD289" t="inlineStr">
        <is>
          <t>893592057</t>
        </is>
      </c>
    </row>
    <row r="290">
      <c r="A290" t="inlineStr">
        <is>
          <t>No</t>
        </is>
      </c>
      <c r="B290" t="inlineStr">
        <is>
          <t>BT153.M6 F76 1992</t>
        </is>
      </c>
      <c r="C290" t="inlineStr">
        <is>
          <t>0                      BT 0153000M  6                  F  76          1992</t>
        </is>
      </c>
      <c r="D290" t="inlineStr">
        <is>
          <t>Called into her presence : praying with feminine images of God / Virginia Ann Froehle.</t>
        </is>
      </c>
      <c r="F290" t="inlineStr">
        <is>
          <t>No</t>
        </is>
      </c>
      <c r="G290" t="inlineStr">
        <is>
          <t>1</t>
        </is>
      </c>
      <c r="H290" t="inlineStr">
        <is>
          <t>No</t>
        </is>
      </c>
      <c r="I290" t="inlineStr">
        <is>
          <t>No</t>
        </is>
      </c>
      <c r="J290" t="inlineStr">
        <is>
          <t>0</t>
        </is>
      </c>
      <c r="K290" t="inlineStr">
        <is>
          <t>Froehle, Virginia Ann.</t>
        </is>
      </c>
      <c r="L290" t="inlineStr">
        <is>
          <t>Notre Dame, Ind. : Ave Maria Press, c1992.</t>
        </is>
      </c>
      <c r="M290" t="inlineStr">
        <is>
          <t>1992</t>
        </is>
      </c>
      <c r="O290" t="inlineStr">
        <is>
          <t>eng</t>
        </is>
      </c>
      <c r="P290" t="inlineStr">
        <is>
          <t>inu</t>
        </is>
      </c>
      <c r="R290" t="inlineStr">
        <is>
          <t xml:space="preserve">BT </t>
        </is>
      </c>
      <c r="S290" t="n">
        <v>8</v>
      </c>
      <c r="T290" t="n">
        <v>8</v>
      </c>
      <c r="U290" t="inlineStr">
        <is>
          <t>2003-03-06</t>
        </is>
      </c>
      <c r="V290" t="inlineStr">
        <is>
          <t>2003-03-06</t>
        </is>
      </c>
      <c r="W290" t="inlineStr">
        <is>
          <t>1992-09-09</t>
        </is>
      </c>
      <c r="X290" t="inlineStr">
        <is>
          <t>1992-09-09</t>
        </is>
      </c>
      <c r="Y290" t="n">
        <v>79</v>
      </c>
      <c r="Z290" t="n">
        <v>71</v>
      </c>
      <c r="AA290" t="n">
        <v>81</v>
      </c>
      <c r="AB290" t="n">
        <v>2</v>
      </c>
      <c r="AC290" t="n">
        <v>2</v>
      </c>
      <c r="AD290" t="n">
        <v>6</v>
      </c>
      <c r="AE290" t="n">
        <v>6</v>
      </c>
      <c r="AF290" t="n">
        <v>1</v>
      </c>
      <c r="AG290" t="n">
        <v>1</v>
      </c>
      <c r="AH290" t="n">
        <v>0</v>
      </c>
      <c r="AI290" t="n">
        <v>0</v>
      </c>
      <c r="AJ290" t="n">
        <v>4</v>
      </c>
      <c r="AK290" t="n">
        <v>4</v>
      </c>
      <c r="AL290" t="n">
        <v>1</v>
      </c>
      <c r="AM290" t="n">
        <v>1</v>
      </c>
      <c r="AN290" t="n">
        <v>0</v>
      </c>
      <c r="AO290" t="n">
        <v>0</v>
      </c>
      <c r="AP290" t="inlineStr">
        <is>
          <t>No</t>
        </is>
      </c>
      <c r="AQ290" t="inlineStr">
        <is>
          <t>Yes</t>
        </is>
      </c>
      <c r="AR290">
        <f>HYPERLINK("http://catalog.hathitrust.org/Record/003859125","HathiTrust Record")</f>
        <v/>
      </c>
      <c r="AS290">
        <f>HYPERLINK("https://creighton-primo.hosted.exlibrisgroup.com/primo-explore/search?tab=default_tab&amp;search_scope=EVERYTHING&amp;vid=01CRU&amp;lang=en_US&amp;offset=0&amp;query=any,contains,991002027979702656","Catalog Record")</f>
        <v/>
      </c>
      <c r="AT290">
        <f>HYPERLINK("http://www.worldcat.org/oclc/25789864","WorldCat Record")</f>
        <v/>
      </c>
      <c r="AU290" t="inlineStr">
        <is>
          <t>28643023:eng</t>
        </is>
      </c>
      <c r="AV290" t="inlineStr">
        <is>
          <t>25789864</t>
        </is>
      </c>
      <c r="AW290" t="inlineStr">
        <is>
          <t>991002027979702656</t>
        </is>
      </c>
      <c r="AX290" t="inlineStr">
        <is>
          <t>991002027979702656</t>
        </is>
      </c>
      <c r="AY290" t="inlineStr">
        <is>
          <t>2256725160002656</t>
        </is>
      </c>
      <c r="AZ290" t="inlineStr">
        <is>
          <t>BOOK</t>
        </is>
      </c>
      <c r="BB290" t="inlineStr">
        <is>
          <t>9780877934707</t>
        </is>
      </c>
      <c r="BC290" t="inlineStr">
        <is>
          <t>32285001286946</t>
        </is>
      </c>
      <c r="BD290" t="inlineStr">
        <is>
          <t>893621828</t>
        </is>
      </c>
    </row>
    <row r="291">
      <c r="A291" t="inlineStr">
        <is>
          <t>No</t>
        </is>
      </c>
      <c r="B291" t="inlineStr">
        <is>
          <t>BT153.M6 S65 1993</t>
        </is>
      </c>
      <c r="C291" t="inlineStr">
        <is>
          <t>0                      BT 0153000M  6                  S  65          1993</t>
        </is>
      </c>
      <c r="D291" t="inlineStr">
        <is>
          <t>Is it okay to call God "mother" : considering the feminine face of God / Paul R. Smith.</t>
        </is>
      </c>
      <c r="F291" t="inlineStr">
        <is>
          <t>No</t>
        </is>
      </c>
      <c r="G291" t="inlineStr">
        <is>
          <t>1</t>
        </is>
      </c>
      <c r="H291" t="inlineStr">
        <is>
          <t>No</t>
        </is>
      </c>
      <c r="I291" t="inlineStr">
        <is>
          <t>No</t>
        </is>
      </c>
      <c r="J291" t="inlineStr">
        <is>
          <t>0</t>
        </is>
      </c>
      <c r="K291" t="inlineStr">
        <is>
          <t>Smith, Paul R., 1937-</t>
        </is>
      </c>
      <c r="L291" t="inlineStr">
        <is>
          <t>Peabody, Mass. : Hendrickson Publishers, c1993.</t>
        </is>
      </c>
      <c r="M291" t="inlineStr">
        <is>
          <t>1993</t>
        </is>
      </c>
      <c r="O291" t="inlineStr">
        <is>
          <t>eng</t>
        </is>
      </c>
      <c r="P291" t="inlineStr">
        <is>
          <t>mau</t>
        </is>
      </c>
      <c r="R291" t="inlineStr">
        <is>
          <t xml:space="preserve">BT </t>
        </is>
      </c>
      <c r="S291" t="n">
        <v>2</v>
      </c>
      <c r="T291" t="n">
        <v>2</v>
      </c>
      <c r="U291" t="inlineStr">
        <is>
          <t>2005-04-04</t>
        </is>
      </c>
      <c r="V291" t="inlineStr">
        <is>
          <t>2005-04-04</t>
        </is>
      </c>
      <c r="W291" t="inlineStr">
        <is>
          <t>2003-04-02</t>
        </is>
      </c>
      <c r="X291" t="inlineStr">
        <is>
          <t>2003-04-02</t>
        </is>
      </c>
      <c r="Y291" t="n">
        <v>235</v>
      </c>
      <c r="Z291" t="n">
        <v>205</v>
      </c>
      <c r="AA291" t="n">
        <v>212</v>
      </c>
      <c r="AB291" t="n">
        <v>2</v>
      </c>
      <c r="AC291" t="n">
        <v>2</v>
      </c>
      <c r="AD291" t="n">
        <v>8</v>
      </c>
      <c r="AE291" t="n">
        <v>8</v>
      </c>
      <c r="AF291" t="n">
        <v>3</v>
      </c>
      <c r="AG291" t="n">
        <v>3</v>
      </c>
      <c r="AH291" t="n">
        <v>1</v>
      </c>
      <c r="AI291" t="n">
        <v>1</v>
      </c>
      <c r="AJ291" t="n">
        <v>3</v>
      </c>
      <c r="AK291" t="n">
        <v>3</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HYPERLINK("https://creighton-primo.hosted.exlibrisgroup.com/primo-explore/search?tab=default_tab&amp;search_scope=EVERYTHING&amp;vid=01CRU&amp;lang=en_US&amp;offset=0&amp;query=any,contains,991004006749702656","Catalog Record")</f>
        <v/>
      </c>
      <c r="AT291">
        <f>HYPERLINK("http://www.worldcat.org/oclc/28376354","WorldCat Record")</f>
        <v/>
      </c>
      <c r="AU291" t="inlineStr">
        <is>
          <t>30711971:eng</t>
        </is>
      </c>
      <c r="AV291" t="inlineStr">
        <is>
          <t>28376354</t>
        </is>
      </c>
      <c r="AW291" t="inlineStr">
        <is>
          <t>991004006749702656</t>
        </is>
      </c>
      <c r="AX291" t="inlineStr">
        <is>
          <t>991004006749702656</t>
        </is>
      </c>
      <c r="AY291" t="inlineStr">
        <is>
          <t>2256929950002656</t>
        </is>
      </c>
      <c r="AZ291" t="inlineStr">
        <is>
          <t>BOOK</t>
        </is>
      </c>
      <c r="BB291" t="inlineStr">
        <is>
          <t>9781565630130</t>
        </is>
      </c>
      <c r="BC291" t="inlineStr">
        <is>
          <t>32285004689112</t>
        </is>
      </c>
      <c r="BD291" t="inlineStr">
        <is>
          <t>893806535</t>
        </is>
      </c>
    </row>
    <row r="292">
      <c r="A292" t="inlineStr">
        <is>
          <t>No</t>
        </is>
      </c>
      <c r="B292" t="inlineStr">
        <is>
          <t>BT153.M6 V36 1995</t>
        </is>
      </c>
      <c r="C292" t="inlineStr">
        <is>
          <t>0                      BT 0153000M  6                  V  36          1995</t>
        </is>
      </c>
      <c r="D292" t="inlineStr">
        <is>
          <t>Reimagining God : the case for scriptural diversity / Johanna W.H. Van Wijk-Bos.</t>
        </is>
      </c>
      <c r="F292" t="inlineStr">
        <is>
          <t>No</t>
        </is>
      </c>
      <c r="G292" t="inlineStr">
        <is>
          <t>1</t>
        </is>
      </c>
      <c r="H292" t="inlineStr">
        <is>
          <t>No</t>
        </is>
      </c>
      <c r="I292" t="inlineStr">
        <is>
          <t>No</t>
        </is>
      </c>
      <c r="J292" t="inlineStr">
        <is>
          <t>0</t>
        </is>
      </c>
      <c r="K292" t="inlineStr">
        <is>
          <t>Van Wijk-Bos, Johanna W. H., 1940-</t>
        </is>
      </c>
      <c r="L292" t="inlineStr">
        <is>
          <t>Louisville, Ky. : Westminster John Knox Press, c1995.</t>
        </is>
      </c>
      <c r="M292" t="inlineStr">
        <is>
          <t>1995</t>
        </is>
      </c>
      <c r="N292" t="inlineStr">
        <is>
          <t>1st ed.</t>
        </is>
      </c>
      <c r="O292" t="inlineStr">
        <is>
          <t>eng</t>
        </is>
      </c>
      <c r="P292" t="inlineStr">
        <is>
          <t>kyu</t>
        </is>
      </c>
      <c r="R292" t="inlineStr">
        <is>
          <t xml:space="preserve">BT </t>
        </is>
      </c>
      <c r="S292" t="n">
        <v>3</v>
      </c>
      <c r="T292" t="n">
        <v>3</v>
      </c>
      <c r="U292" t="inlineStr">
        <is>
          <t>2001-03-06</t>
        </is>
      </c>
      <c r="V292" t="inlineStr">
        <is>
          <t>2001-03-06</t>
        </is>
      </c>
      <c r="W292" t="inlineStr">
        <is>
          <t>1996-01-08</t>
        </is>
      </c>
      <c r="X292" t="inlineStr">
        <is>
          <t>1996-01-08</t>
        </is>
      </c>
      <c r="Y292" t="n">
        <v>295</v>
      </c>
      <c r="Z292" t="n">
        <v>244</v>
      </c>
      <c r="AA292" t="n">
        <v>524</v>
      </c>
      <c r="AB292" t="n">
        <v>4</v>
      </c>
      <c r="AC292" t="n">
        <v>4</v>
      </c>
      <c r="AD292" t="n">
        <v>19</v>
      </c>
      <c r="AE292" t="n">
        <v>20</v>
      </c>
      <c r="AF292" t="n">
        <v>7</v>
      </c>
      <c r="AG292" t="n">
        <v>8</v>
      </c>
      <c r="AH292" t="n">
        <v>3</v>
      </c>
      <c r="AI292" t="n">
        <v>3</v>
      </c>
      <c r="AJ292" t="n">
        <v>10</v>
      </c>
      <c r="AK292" t="n">
        <v>10</v>
      </c>
      <c r="AL292" t="n">
        <v>3</v>
      </c>
      <c r="AM292" t="n">
        <v>3</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HYPERLINK("https://creighton-primo.hosted.exlibrisgroup.com/primo-explore/search?tab=default_tab&amp;search_scope=EVERYTHING&amp;vid=01CRU&amp;lang=en_US&amp;offset=0&amp;query=any,contains,991002402079702656","Catalog Record")</f>
        <v/>
      </c>
      <c r="AT292">
        <f>HYPERLINK("http://www.worldcat.org/oclc/31239151","WorldCat Record")</f>
        <v/>
      </c>
      <c r="AU292" t="inlineStr">
        <is>
          <t>1032917:eng</t>
        </is>
      </c>
      <c r="AV292" t="inlineStr">
        <is>
          <t>31239151</t>
        </is>
      </c>
      <c r="AW292" t="inlineStr">
        <is>
          <t>991002402079702656</t>
        </is>
      </c>
      <c r="AX292" t="inlineStr">
        <is>
          <t>991002402079702656</t>
        </is>
      </c>
      <c r="AY292" t="inlineStr">
        <is>
          <t>2265799580002656</t>
        </is>
      </c>
      <c r="AZ292" t="inlineStr">
        <is>
          <t>BOOK</t>
        </is>
      </c>
      <c r="BB292" t="inlineStr">
        <is>
          <t>9780664255695</t>
        </is>
      </c>
      <c r="BC292" t="inlineStr">
        <is>
          <t>32285002115268</t>
        </is>
      </c>
      <c r="BD292" t="inlineStr">
        <is>
          <t>893627113</t>
        </is>
      </c>
    </row>
    <row r="293">
      <c r="A293" t="inlineStr">
        <is>
          <t>No</t>
        </is>
      </c>
      <c r="B293" t="inlineStr">
        <is>
          <t>BT153.S5 G53 1914</t>
        </is>
      </c>
      <c r="C293" t="inlineStr">
        <is>
          <t>0                      BT 0153000S  5                  G  53          1914</t>
        </is>
      </c>
      <c r="D293" t="inlineStr">
        <is>
          <t>Simplicity according to the Gospel / Monseigneur de Gibergues.</t>
        </is>
      </c>
      <c r="F293" t="inlineStr">
        <is>
          <t>No</t>
        </is>
      </c>
      <c r="G293" t="inlineStr">
        <is>
          <t>1</t>
        </is>
      </c>
      <c r="H293" t="inlineStr">
        <is>
          <t>No</t>
        </is>
      </c>
      <c r="I293" t="inlineStr">
        <is>
          <t>No</t>
        </is>
      </c>
      <c r="J293" t="inlineStr">
        <is>
          <t>0</t>
        </is>
      </c>
      <c r="K293" t="inlineStr">
        <is>
          <t>Gibergues, Msgr. De.</t>
        </is>
      </c>
      <c r="L293" t="inlineStr">
        <is>
          <t>New York : Kennedy ; R. &amp; T. Washbourn, [1914]</t>
        </is>
      </c>
      <c r="M293" t="inlineStr">
        <is>
          <t>1914</t>
        </is>
      </c>
      <c r="O293" t="inlineStr">
        <is>
          <t>eng</t>
        </is>
      </c>
      <c r="P293" t="inlineStr">
        <is>
          <t xml:space="preserve">xx </t>
        </is>
      </c>
      <c r="R293" t="inlineStr">
        <is>
          <t xml:space="preserve">BT </t>
        </is>
      </c>
      <c r="S293" t="n">
        <v>4</v>
      </c>
      <c r="T293" t="n">
        <v>4</v>
      </c>
      <c r="U293" t="inlineStr">
        <is>
          <t>1999-01-14</t>
        </is>
      </c>
      <c r="V293" t="inlineStr">
        <is>
          <t>1999-01-14</t>
        </is>
      </c>
      <c r="W293" t="inlineStr">
        <is>
          <t>1991-08-02</t>
        </is>
      </c>
      <c r="X293" t="inlineStr">
        <is>
          <t>1991-08-02</t>
        </is>
      </c>
      <c r="Y293" t="n">
        <v>12</v>
      </c>
      <c r="Z293" t="n">
        <v>10</v>
      </c>
      <c r="AA293" t="n">
        <v>19</v>
      </c>
      <c r="AB293" t="n">
        <v>1</v>
      </c>
      <c r="AC293" t="n">
        <v>1</v>
      </c>
      <c r="AD293" t="n">
        <v>4</v>
      </c>
      <c r="AE293" t="n">
        <v>5</v>
      </c>
      <c r="AF293" t="n">
        <v>0</v>
      </c>
      <c r="AG293" t="n">
        <v>0</v>
      </c>
      <c r="AH293" t="n">
        <v>0</v>
      </c>
      <c r="AI293" t="n">
        <v>1</v>
      </c>
      <c r="AJ293" t="n">
        <v>4</v>
      </c>
      <c r="AK293" t="n">
        <v>5</v>
      </c>
      <c r="AL293" t="n">
        <v>0</v>
      </c>
      <c r="AM293" t="n">
        <v>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HYPERLINK("https://creighton-primo.hosted.exlibrisgroup.com/primo-explore/search?tab=default_tab&amp;search_scope=EVERYTHING&amp;vid=01CRU&amp;lang=en_US&amp;offset=0&amp;query=any,contains,991000886929702656","Catalog Record")</f>
        <v/>
      </c>
      <c r="AT293">
        <f>HYPERLINK("http://www.worldcat.org/oclc/13866137","WorldCat Record")</f>
        <v/>
      </c>
      <c r="AU293" t="inlineStr">
        <is>
          <t>45648102:eng</t>
        </is>
      </c>
      <c r="AV293" t="inlineStr">
        <is>
          <t>13866137</t>
        </is>
      </c>
      <c r="AW293" t="inlineStr">
        <is>
          <t>991000886929702656</t>
        </is>
      </c>
      <c r="AX293" t="inlineStr">
        <is>
          <t>991000886929702656</t>
        </is>
      </c>
      <c r="AY293" t="inlineStr">
        <is>
          <t>2255305750002656</t>
        </is>
      </c>
      <c r="AZ293" t="inlineStr">
        <is>
          <t>BOOK</t>
        </is>
      </c>
      <c r="BC293" t="inlineStr">
        <is>
          <t>32285000694363</t>
        </is>
      </c>
      <c r="BD293" t="inlineStr">
        <is>
          <t>893528469</t>
        </is>
      </c>
    </row>
    <row r="294">
      <c r="A294" t="inlineStr">
        <is>
          <t>No</t>
        </is>
      </c>
      <c r="B294" t="inlineStr">
        <is>
          <t>BT153.S8 K513</t>
        </is>
      </c>
      <c r="C294" t="inlineStr">
        <is>
          <t>0                      BT 0153000S  8                  K  513</t>
        </is>
      </c>
      <c r="D294" t="inlineStr">
        <is>
          <t>Theology of the pain of God / by Kazoh Kitamori.</t>
        </is>
      </c>
      <c r="F294" t="inlineStr">
        <is>
          <t>No</t>
        </is>
      </c>
      <c r="G294" t="inlineStr">
        <is>
          <t>1</t>
        </is>
      </c>
      <c r="H294" t="inlineStr">
        <is>
          <t>No</t>
        </is>
      </c>
      <c r="I294" t="inlineStr">
        <is>
          <t>No</t>
        </is>
      </c>
      <c r="J294" t="inlineStr">
        <is>
          <t>0</t>
        </is>
      </c>
      <c r="K294" t="inlineStr">
        <is>
          <t>Kitamori, Kazō, 1916-1998.</t>
        </is>
      </c>
      <c r="L294" t="inlineStr">
        <is>
          <t>Richmond, John Knox Press [1965]</t>
        </is>
      </c>
      <c r="M294" t="inlineStr">
        <is>
          <t>1965</t>
        </is>
      </c>
      <c r="O294" t="inlineStr">
        <is>
          <t>eng</t>
        </is>
      </c>
      <c r="P294" t="inlineStr">
        <is>
          <t>vau</t>
        </is>
      </c>
      <c r="R294" t="inlineStr">
        <is>
          <t xml:space="preserve">BT </t>
        </is>
      </c>
      <c r="S294" t="n">
        <v>7</v>
      </c>
      <c r="T294" t="n">
        <v>7</v>
      </c>
      <c r="U294" t="inlineStr">
        <is>
          <t>2004-05-25</t>
        </is>
      </c>
      <c r="V294" t="inlineStr">
        <is>
          <t>2004-05-25</t>
        </is>
      </c>
      <c r="W294" t="inlineStr">
        <is>
          <t>1991-08-02</t>
        </is>
      </c>
      <c r="X294" t="inlineStr">
        <is>
          <t>1991-08-02</t>
        </is>
      </c>
      <c r="Y294" t="n">
        <v>374</v>
      </c>
      <c r="Z294" t="n">
        <v>335</v>
      </c>
      <c r="AA294" t="n">
        <v>365</v>
      </c>
      <c r="AB294" t="n">
        <v>3</v>
      </c>
      <c r="AC294" t="n">
        <v>4</v>
      </c>
      <c r="AD294" t="n">
        <v>17</v>
      </c>
      <c r="AE294" t="n">
        <v>19</v>
      </c>
      <c r="AF294" t="n">
        <v>7</v>
      </c>
      <c r="AG294" t="n">
        <v>7</v>
      </c>
      <c r="AH294" t="n">
        <v>4</v>
      </c>
      <c r="AI294" t="n">
        <v>4</v>
      </c>
      <c r="AJ294" t="n">
        <v>12</v>
      </c>
      <c r="AK294" t="n">
        <v>13</v>
      </c>
      <c r="AL294" t="n">
        <v>1</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HYPERLINK("https://creighton-primo.hosted.exlibrisgroup.com/primo-explore/search?tab=default_tab&amp;search_scope=EVERYTHING&amp;vid=01CRU&amp;lang=en_US&amp;offset=0&amp;query=any,contains,991002639679702656","Catalog Record")</f>
        <v/>
      </c>
      <c r="AT294">
        <f>HYPERLINK("http://www.worldcat.org/oclc/383748","WorldCat Record")</f>
        <v/>
      </c>
      <c r="AU294" t="inlineStr">
        <is>
          <t>255953802:eng</t>
        </is>
      </c>
      <c r="AV294" t="inlineStr">
        <is>
          <t>383748</t>
        </is>
      </c>
      <c r="AW294" t="inlineStr">
        <is>
          <t>991002639679702656</t>
        </is>
      </c>
      <c r="AX294" t="inlineStr">
        <is>
          <t>991002639679702656</t>
        </is>
      </c>
      <c r="AY294" t="inlineStr">
        <is>
          <t>2260511100002656</t>
        </is>
      </c>
      <c r="AZ294" t="inlineStr">
        <is>
          <t>BOOK</t>
        </is>
      </c>
      <c r="BC294" t="inlineStr">
        <is>
          <t>32285000694389</t>
        </is>
      </c>
      <c r="BD294" t="inlineStr">
        <is>
          <t>893341662</t>
        </is>
      </c>
    </row>
    <row r="295">
      <c r="A295" t="inlineStr">
        <is>
          <t>No</t>
        </is>
      </c>
      <c r="B295" t="inlineStr">
        <is>
          <t>BT153.S8 M38 1985</t>
        </is>
      </c>
      <c r="C295" t="inlineStr">
        <is>
          <t>0                      BT 0153000S  8                  M  38          1985</t>
        </is>
      </c>
      <c r="D295" t="inlineStr">
        <is>
          <t>The passion of God : divine suffering in contemporary Protestant theology / Warren McWilliams.</t>
        </is>
      </c>
      <c r="F295" t="inlineStr">
        <is>
          <t>No</t>
        </is>
      </c>
      <c r="G295" t="inlineStr">
        <is>
          <t>1</t>
        </is>
      </c>
      <c r="H295" t="inlineStr">
        <is>
          <t>No</t>
        </is>
      </c>
      <c r="I295" t="inlineStr">
        <is>
          <t>No</t>
        </is>
      </c>
      <c r="J295" t="inlineStr">
        <is>
          <t>0</t>
        </is>
      </c>
      <c r="K295" t="inlineStr">
        <is>
          <t>McWilliams, Warren, 1946-</t>
        </is>
      </c>
      <c r="L295" t="inlineStr">
        <is>
          <t>Macon, GA : Mercer University Press, c1985.</t>
        </is>
      </c>
      <c r="M295" t="inlineStr">
        <is>
          <t>1985</t>
        </is>
      </c>
      <c r="O295" t="inlineStr">
        <is>
          <t>eng</t>
        </is>
      </c>
      <c r="P295" t="inlineStr">
        <is>
          <t>gau</t>
        </is>
      </c>
      <c r="R295" t="inlineStr">
        <is>
          <t xml:space="preserve">BT </t>
        </is>
      </c>
      <c r="S295" t="n">
        <v>4</v>
      </c>
      <c r="T295" t="n">
        <v>4</v>
      </c>
      <c r="U295" t="inlineStr">
        <is>
          <t>1995-03-14</t>
        </is>
      </c>
      <c r="V295" t="inlineStr">
        <is>
          <t>1995-03-14</t>
        </is>
      </c>
      <c r="W295" t="inlineStr">
        <is>
          <t>1991-08-02</t>
        </is>
      </c>
      <c r="X295" t="inlineStr">
        <is>
          <t>1991-08-02</t>
        </is>
      </c>
      <c r="Y295" t="n">
        <v>289</v>
      </c>
      <c r="Z295" t="n">
        <v>242</v>
      </c>
      <c r="AA295" t="n">
        <v>243</v>
      </c>
      <c r="AB295" t="n">
        <v>2</v>
      </c>
      <c r="AC295" t="n">
        <v>2</v>
      </c>
      <c r="AD295" t="n">
        <v>16</v>
      </c>
      <c r="AE295" t="n">
        <v>16</v>
      </c>
      <c r="AF295" t="n">
        <v>7</v>
      </c>
      <c r="AG295" t="n">
        <v>7</v>
      </c>
      <c r="AH295" t="n">
        <v>2</v>
      </c>
      <c r="AI295" t="n">
        <v>2</v>
      </c>
      <c r="AJ295" t="n">
        <v>12</v>
      </c>
      <c r="AK295" t="n">
        <v>12</v>
      </c>
      <c r="AL295" t="n">
        <v>1</v>
      </c>
      <c r="AM295" t="n">
        <v>1</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HYPERLINK("https://creighton-primo.hosted.exlibrisgroup.com/primo-explore/search?tab=default_tab&amp;search_scope=EVERYTHING&amp;vid=01CRU&amp;lang=en_US&amp;offset=0&amp;query=any,contains,991000585389702656","Catalog Record")</f>
        <v/>
      </c>
      <c r="AT295">
        <f>HYPERLINK("http://www.worldcat.org/oclc/11756233","WorldCat Record")</f>
        <v/>
      </c>
      <c r="AU295" t="inlineStr">
        <is>
          <t>152311217:eng</t>
        </is>
      </c>
      <c r="AV295" t="inlineStr">
        <is>
          <t>11756233</t>
        </is>
      </c>
      <c r="AW295" t="inlineStr">
        <is>
          <t>991000585389702656</t>
        </is>
      </c>
      <c r="AX295" t="inlineStr">
        <is>
          <t>991000585389702656</t>
        </is>
      </c>
      <c r="AY295" t="inlineStr">
        <is>
          <t>2269092380002656</t>
        </is>
      </c>
      <c r="AZ295" t="inlineStr">
        <is>
          <t>BOOK</t>
        </is>
      </c>
      <c r="BB295" t="inlineStr">
        <is>
          <t>9780865541580</t>
        </is>
      </c>
      <c r="BC295" t="inlineStr">
        <is>
          <t>32285000694397</t>
        </is>
      </c>
      <c r="BD295" t="inlineStr">
        <is>
          <t>893231232</t>
        </is>
      </c>
    </row>
    <row r="296">
      <c r="A296" t="inlineStr">
        <is>
          <t>No</t>
        </is>
      </c>
      <c r="B296" t="inlineStr">
        <is>
          <t>BT153.W7 L314 1982</t>
        </is>
      </c>
      <c r="C296" t="inlineStr">
        <is>
          <t>0                      BT 0153000W  7                  L  314         1982</t>
        </is>
      </c>
      <c r="D296" t="inlineStr">
        <is>
          <t>La colère de Dieu / Lactance ; introduction, texte critique, traduction, commentaire et index par Christiane Ingremeau.</t>
        </is>
      </c>
      <c r="F296" t="inlineStr">
        <is>
          <t>No</t>
        </is>
      </c>
      <c r="G296" t="inlineStr">
        <is>
          <t>1</t>
        </is>
      </c>
      <c r="H296" t="inlineStr">
        <is>
          <t>No</t>
        </is>
      </c>
      <c r="I296" t="inlineStr">
        <is>
          <t>No</t>
        </is>
      </c>
      <c r="J296" t="inlineStr">
        <is>
          <t>0</t>
        </is>
      </c>
      <c r="K296" t="inlineStr">
        <is>
          <t>Lactantius, approximately 240-approximately 320.</t>
        </is>
      </c>
      <c r="L296" t="inlineStr">
        <is>
          <t>Paris : Cerf, 1982.</t>
        </is>
      </c>
      <c r="M296" t="inlineStr">
        <is>
          <t>1982</t>
        </is>
      </c>
      <c r="O296" t="inlineStr">
        <is>
          <t>fre</t>
        </is>
      </c>
      <c r="P296" t="inlineStr">
        <is>
          <t xml:space="preserve">fr </t>
        </is>
      </c>
      <c r="Q296" t="inlineStr">
        <is>
          <t>Sources chrétiennes ; no 289</t>
        </is>
      </c>
      <c r="R296" t="inlineStr">
        <is>
          <t xml:space="preserve">BT </t>
        </is>
      </c>
      <c r="S296" t="n">
        <v>2</v>
      </c>
      <c r="T296" t="n">
        <v>2</v>
      </c>
      <c r="U296" t="inlineStr">
        <is>
          <t>2001-06-11</t>
        </is>
      </c>
      <c r="V296" t="inlineStr">
        <is>
          <t>2001-06-11</t>
        </is>
      </c>
      <c r="W296" t="inlineStr">
        <is>
          <t>1991-08-02</t>
        </is>
      </c>
      <c r="X296" t="inlineStr">
        <is>
          <t>1991-08-02</t>
        </is>
      </c>
      <c r="Y296" t="n">
        <v>209</v>
      </c>
      <c r="Z296" t="n">
        <v>132</v>
      </c>
      <c r="AA296" t="n">
        <v>135</v>
      </c>
      <c r="AB296" t="n">
        <v>2</v>
      </c>
      <c r="AC296" t="n">
        <v>2</v>
      </c>
      <c r="AD296" t="n">
        <v>14</v>
      </c>
      <c r="AE296" t="n">
        <v>14</v>
      </c>
      <c r="AF296" t="n">
        <v>2</v>
      </c>
      <c r="AG296" t="n">
        <v>2</v>
      </c>
      <c r="AH296" t="n">
        <v>3</v>
      </c>
      <c r="AI296" t="n">
        <v>3</v>
      </c>
      <c r="AJ296" t="n">
        <v>11</v>
      </c>
      <c r="AK296" t="n">
        <v>11</v>
      </c>
      <c r="AL296" t="n">
        <v>1</v>
      </c>
      <c r="AM296" t="n">
        <v>1</v>
      </c>
      <c r="AN296" t="n">
        <v>0</v>
      </c>
      <c r="AO296" t="n">
        <v>0</v>
      </c>
      <c r="AP296" t="inlineStr">
        <is>
          <t>No</t>
        </is>
      </c>
      <c r="AQ296" t="inlineStr">
        <is>
          <t>Yes</t>
        </is>
      </c>
      <c r="AR296">
        <f>HYPERLINK("http://catalog.hathitrust.org/Record/006662201","HathiTrust Record")</f>
        <v/>
      </c>
      <c r="AS296">
        <f>HYPERLINK("https://creighton-primo.hosted.exlibrisgroup.com/primo-explore/search?tab=default_tab&amp;search_scope=EVERYTHING&amp;vid=01CRU&amp;lang=en_US&amp;offset=0&amp;query=any,contains,991000300579702656","Catalog Record")</f>
        <v/>
      </c>
      <c r="AT296">
        <f>HYPERLINK("http://www.worldcat.org/oclc/10021515","WorldCat Record")</f>
        <v/>
      </c>
      <c r="AU296" t="inlineStr">
        <is>
          <t>1701445:fre</t>
        </is>
      </c>
      <c r="AV296" t="inlineStr">
        <is>
          <t>10021515</t>
        </is>
      </c>
      <c r="AW296" t="inlineStr">
        <is>
          <t>991000300579702656</t>
        </is>
      </c>
      <c r="AX296" t="inlineStr">
        <is>
          <t>991000300579702656</t>
        </is>
      </c>
      <c r="AY296" t="inlineStr">
        <is>
          <t>2266694480002656</t>
        </is>
      </c>
      <c r="AZ296" t="inlineStr">
        <is>
          <t>BOOK</t>
        </is>
      </c>
      <c r="BB296" t="inlineStr">
        <is>
          <t>9782204018678</t>
        </is>
      </c>
      <c r="BC296" t="inlineStr">
        <is>
          <t>32285000694413</t>
        </is>
      </c>
      <c r="BD296" t="inlineStr">
        <is>
          <t>893496110</t>
        </is>
      </c>
    </row>
    <row r="297">
      <c r="A297" t="inlineStr">
        <is>
          <t>No</t>
        </is>
      </c>
      <c r="B297" t="inlineStr">
        <is>
          <t>BT155 .B3313 1971</t>
        </is>
      </c>
      <c r="C297" t="inlineStr">
        <is>
          <t>0                      BT 0155000B  3313        1971</t>
        </is>
      </c>
      <c r="D297" t="inlineStr">
        <is>
          <t>The covenant formulary : in Old Testament, Jewish, and early Christian writings / Klaus Baltzer. Translated by David E. Green.</t>
        </is>
      </c>
      <c r="F297" t="inlineStr">
        <is>
          <t>No</t>
        </is>
      </c>
      <c r="G297" t="inlineStr">
        <is>
          <t>1</t>
        </is>
      </c>
      <c r="H297" t="inlineStr">
        <is>
          <t>No</t>
        </is>
      </c>
      <c r="I297" t="inlineStr">
        <is>
          <t>No</t>
        </is>
      </c>
      <c r="J297" t="inlineStr">
        <is>
          <t>0</t>
        </is>
      </c>
      <c r="K297" t="inlineStr">
        <is>
          <t>Baltzer, Klaus, 1928-</t>
        </is>
      </c>
      <c r="L297" t="inlineStr">
        <is>
          <t>Philadelphia, Fortress Press [c1971]</t>
        </is>
      </c>
      <c r="M297" t="inlineStr">
        <is>
          <t>1971</t>
        </is>
      </c>
      <c r="O297" t="inlineStr">
        <is>
          <t>eng</t>
        </is>
      </c>
      <c r="P297" t="inlineStr">
        <is>
          <t>pau</t>
        </is>
      </c>
      <c r="R297" t="inlineStr">
        <is>
          <t xml:space="preserve">BT </t>
        </is>
      </c>
      <c r="S297" t="n">
        <v>4</v>
      </c>
      <c r="T297" t="n">
        <v>4</v>
      </c>
      <c r="U297" t="inlineStr">
        <is>
          <t>2002-07-31</t>
        </is>
      </c>
      <c r="V297" t="inlineStr">
        <is>
          <t>2002-07-31</t>
        </is>
      </c>
      <c r="W297" t="inlineStr">
        <is>
          <t>1991-08-02</t>
        </is>
      </c>
      <c r="X297" t="inlineStr">
        <is>
          <t>1991-08-02</t>
        </is>
      </c>
      <c r="Y297" t="n">
        <v>415</v>
      </c>
      <c r="Z297" t="n">
        <v>381</v>
      </c>
      <c r="AA297" t="n">
        <v>432</v>
      </c>
      <c r="AB297" t="n">
        <v>3</v>
      </c>
      <c r="AC297" t="n">
        <v>4</v>
      </c>
      <c r="AD297" t="n">
        <v>30</v>
      </c>
      <c r="AE297" t="n">
        <v>31</v>
      </c>
      <c r="AF297" t="n">
        <v>11</v>
      </c>
      <c r="AG297" t="n">
        <v>11</v>
      </c>
      <c r="AH297" t="n">
        <v>8</v>
      </c>
      <c r="AI297" t="n">
        <v>8</v>
      </c>
      <c r="AJ297" t="n">
        <v>17</v>
      </c>
      <c r="AK297" t="n">
        <v>18</v>
      </c>
      <c r="AL297" t="n">
        <v>2</v>
      </c>
      <c r="AM297" t="n">
        <v>2</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HYPERLINK("https://creighton-primo.hosted.exlibrisgroup.com/primo-explore/search?tab=default_tab&amp;search_scope=EVERYTHING&amp;vid=01CRU&amp;lang=en_US&amp;offset=0&amp;query=any,contains,991002085809702656","Catalog Record")</f>
        <v/>
      </c>
      <c r="AT297">
        <f>HYPERLINK("http://www.worldcat.org/oclc/265261","WorldCat Record")</f>
        <v/>
      </c>
      <c r="AU297" t="inlineStr">
        <is>
          <t>4095603437:eng</t>
        </is>
      </c>
      <c r="AV297" t="inlineStr">
        <is>
          <t>265261</t>
        </is>
      </c>
      <c r="AW297" t="inlineStr">
        <is>
          <t>991002085809702656</t>
        </is>
      </c>
      <c r="AX297" t="inlineStr">
        <is>
          <t>991002085809702656</t>
        </is>
      </c>
      <c r="AY297" t="inlineStr">
        <is>
          <t>2267743790002656</t>
        </is>
      </c>
      <c r="AZ297" t="inlineStr">
        <is>
          <t>BOOK</t>
        </is>
      </c>
      <c r="BB297" t="inlineStr">
        <is>
          <t>9780800600402</t>
        </is>
      </c>
      <c r="BC297" t="inlineStr">
        <is>
          <t>32285000694439</t>
        </is>
      </c>
      <c r="BD297" t="inlineStr">
        <is>
          <t>893439753</t>
        </is>
      </c>
    </row>
    <row r="298">
      <c r="A298" t="inlineStr">
        <is>
          <t>No</t>
        </is>
      </c>
      <c r="B298" t="inlineStr">
        <is>
          <t>BT155 .B44 1961</t>
        </is>
      </c>
      <c r="C298" t="inlineStr">
        <is>
          <t>0                      BT 0155000B  44          1961</t>
        </is>
      </c>
      <c r="D298" t="inlineStr">
        <is>
          <t>The bow in the clouds : man's covenant with God / Daniel Berrigan.</t>
        </is>
      </c>
      <c r="F298" t="inlineStr">
        <is>
          <t>No</t>
        </is>
      </c>
      <c r="G298" t="inlineStr">
        <is>
          <t>1</t>
        </is>
      </c>
      <c r="H298" t="inlineStr">
        <is>
          <t>No</t>
        </is>
      </c>
      <c r="I298" t="inlineStr">
        <is>
          <t>No</t>
        </is>
      </c>
      <c r="J298" t="inlineStr">
        <is>
          <t>0</t>
        </is>
      </c>
      <c r="K298" t="inlineStr">
        <is>
          <t>Berrigan, Daniel.</t>
        </is>
      </c>
      <c r="L298" t="inlineStr">
        <is>
          <t>New York : Coward-McCann, 1961.</t>
        </is>
      </c>
      <c r="M298" t="inlineStr">
        <is>
          <t>1961</t>
        </is>
      </c>
      <c r="O298" t="inlineStr">
        <is>
          <t>eng</t>
        </is>
      </c>
      <c r="P298" t="inlineStr">
        <is>
          <t>nyu</t>
        </is>
      </c>
      <c r="R298" t="inlineStr">
        <is>
          <t xml:space="preserve">BT </t>
        </is>
      </c>
      <c r="S298" t="n">
        <v>3</v>
      </c>
      <c r="T298" t="n">
        <v>3</v>
      </c>
      <c r="U298" t="inlineStr">
        <is>
          <t>1995-01-05</t>
        </is>
      </c>
      <c r="V298" t="inlineStr">
        <is>
          <t>1995-01-05</t>
        </is>
      </c>
      <c r="W298" t="inlineStr">
        <is>
          <t>1991-08-02</t>
        </is>
      </c>
      <c r="X298" t="inlineStr">
        <is>
          <t>1991-08-02</t>
        </is>
      </c>
      <c r="Y298" t="n">
        <v>227</v>
      </c>
      <c r="Z298" t="n">
        <v>210</v>
      </c>
      <c r="AA298" t="n">
        <v>238</v>
      </c>
      <c r="AB298" t="n">
        <v>2</v>
      </c>
      <c r="AC298" t="n">
        <v>3</v>
      </c>
      <c r="AD298" t="n">
        <v>25</v>
      </c>
      <c r="AE298" t="n">
        <v>27</v>
      </c>
      <c r="AF298" t="n">
        <v>5</v>
      </c>
      <c r="AG298" t="n">
        <v>6</v>
      </c>
      <c r="AH298" t="n">
        <v>7</v>
      </c>
      <c r="AI298" t="n">
        <v>7</v>
      </c>
      <c r="AJ298" t="n">
        <v>20</v>
      </c>
      <c r="AK298" t="n">
        <v>22</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HYPERLINK("https://creighton-primo.hosted.exlibrisgroup.com/primo-explore/search?tab=default_tab&amp;search_scope=EVERYTHING&amp;vid=01CRU&amp;lang=en_US&amp;offset=0&amp;query=any,contains,991002459449702656","Catalog Record")</f>
        <v/>
      </c>
      <c r="AT298">
        <f>HYPERLINK("http://www.worldcat.org/oclc/355533","WorldCat Record")</f>
        <v/>
      </c>
      <c r="AU298" t="inlineStr">
        <is>
          <t>1398146:eng</t>
        </is>
      </c>
      <c r="AV298" t="inlineStr">
        <is>
          <t>355533</t>
        </is>
      </c>
      <c r="AW298" t="inlineStr">
        <is>
          <t>991002459449702656</t>
        </is>
      </c>
      <c r="AX298" t="inlineStr">
        <is>
          <t>991002459449702656</t>
        </is>
      </c>
      <c r="AY298" t="inlineStr">
        <is>
          <t>2264630910002656</t>
        </is>
      </c>
      <c r="AZ298" t="inlineStr">
        <is>
          <t>BOOK</t>
        </is>
      </c>
      <c r="BC298" t="inlineStr">
        <is>
          <t>32285000694447</t>
        </is>
      </c>
      <c r="BD298" t="inlineStr">
        <is>
          <t>893697811</t>
        </is>
      </c>
    </row>
    <row r="299">
      <c r="A299" t="inlineStr">
        <is>
          <t>No</t>
        </is>
      </c>
      <c r="B299" t="inlineStr">
        <is>
          <t>BT155 .S77</t>
        </is>
      </c>
      <c r="C299" t="inlineStr">
        <is>
          <t>0                      BT 0155000S  77</t>
        </is>
      </c>
      <c r="D299" t="inlineStr">
        <is>
          <t>"A faire and easie way to heaven" : covenant theology and antinomianism in early Massachusetts / William K. B. Stoever.</t>
        </is>
      </c>
      <c r="F299" t="inlineStr">
        <is>
          <t>No</t>
        </is>
      </c>
      <c r="G299" t="inlineStr">
        <is>
          <t>1</t>
        </is>
      </c>
      <c r="H299" t="inlineStr">
        <is>
          <t>No</t>
        </is>
      </c>
      <c r="I299" t="inlineStr">
        <is>
          <t>No</t>
        </is>
      </c>
      <c r="J299" t="inlineStr">
        <is>
          <t>0</t>
        </is>
      </c>
      <c r="K299" t="inlineStr">
        <is>
          <t>Stoever, William K. B., 1941-</t>
        </is>
      </c>
      <c r="L299" t="inlineStr">
        <is>
          <t>Middletown, Conn. : Wesleyan University Press, c1978.</t>
        </is>
      </c>
      <c r="M299" t="inlineStr">
        <is>
          <t>1978</t>
        </is>
      </c>
      <c r="N299" t="inlineStr">
        <is>
          <t>1st ed.</t>
        </is>
      </c>
      <c r="O299" t="inlineStr">
        <is>
          <t>eng</t>
        </is>
      </c>
      <c r="P299" t="inlineStr">
        <is>
          <t>ctu</t>
        </is>
      </c>
      <c r="R299" t="inlineStr">
        <is>
          <t xml:space="preserve">BT </t>
        </is>
      </c>
      <c r="S299" t="n">
        <v>2</v>
      </c>
      <c r="T299" t="n">
        <v>2</v>
      </c>
      <c r="U299" t="inlineStr">
        <is>
          <t>1996-02-29</t>
        </is>
      </c>
      <c r="V299" t="inlineStr">
        <is>
          <t>1996-02-29</t>
        </is>
      </c>
      <c r="W299" t="inlineStr">
        <is>
          <t>1991-08-02</t>
        </is>
      </c>
      <c r="X299" t="inlineStr">
        <is>
          <t>1991-08-02</t>
        </is>
      </c>
      <c r="Y299" t="n">
        <v>528</v>
      </c>
      <c r="Z299" t="n">
        <v>478</v>
      </c>
      <c r="AA299" t="n">
        <v>507</v>
      </c>
      <c r="AB299" t="n">
        <v>4</v>
      </c>
      <c r="AC299" t="n">
        <v>4</v>
      </c>
      <c r="AD299" t="n">
        <v>26</v>
      </c>
      <c r="AE299" t="n">
        <v>28</v>
      </c>
      <c r="AF299" t="n">
        <v>10</v>
      </c>
      <c r="AG299" t="n">
        <v>11</v>
      </c>
      <c r="AH299" t="n">
        <v>7</v>
      </c>
      <c r="AI299" t="n">
        <v>7</v>
      </c>
      <c r="AJ299" t="n">
        <v>12</v>
      </c>
      <c r="AK299" t="n">
        <v>14</v>
      </c>
      <c r="AL299" t="n">
        <v>3</v>
      </c>
      <c r="AM299" t="n">
        <v>3</v>
      </c>
      <c r="AN299" t="n">
        <v>1</v>
      </c>
      <c r="AO299" t="n">
        <v>1</v>
      </c>
      <c r="AP299" t="inlineStr">
        <is>
          <t>No</t>
        </is>
      </c>
      <c r="AQ299" t="inlineStr">
        <is>
          <t>Yes</t>
        </is>
      </c>
      <c r="AR299">
        <f>HYPERLINK("http://catalog.hathitrust.org/Record/000132291","HathiTrust Record")</f>
        <v/>
      </c>
      <c r="AS299">
        <f>HYPERLINK("https://creighton-primo.hosted.exlibrisgroup.com/primo-explore/search?tab=default_tab&amp;search_scope=EVERYTHING&amp;vid=01CRU&amp;lang=en_US&amp;offset=0&amp;query=any,contains,991004505139702656","Catalog Record")</f>
        <v/>
      </c>
      <c r="AT299">
        <f>HYPERLINK("http://www.worldcat.org/oclc/3730878","WorldCat Record")</f>
        <v/>
      </c>
      <c r="AU299" t="inlineStr">
        <is>
          <t>12444059:eng</t>
        </is>
      </c>
      <c r="AV299" t="inlineStr">
        <is>
          <t>3730878</t>
        </is>
      </c>
      <c r="AW299" t="inlineStr">
        <is>
          <t>991004505139702656</t>
        </is>
      </c>
      <c r="AX299" t="inlineStr">
        <is>
          <t>991004505139702656</t>
        </is>
      </c>
      <c r="AY299" t="inlineStr">
        <is>
          <t>2270842760002656</t>
        </is>
      </c>
      <c r="AZ299" t="inlineStr">
        <is>
          <t>BOOK</t>
        </is>
      </c>
      <c r="BB299" t="inlineStr">
        <is>
          <t>9780819550248</t>
        </is>
      </c>
      <c r="BC299" t="inlineStr">
        <is>
          <t>32285000694470</t>
        </is>
      </c>
      <c r="BD299" t="inlineStr">
        <is>
          <t>893694017</t>
        </is>
      </c>
    </row>
    <row r="300">
      <c r="A300" t="inlineStr">
        <is>
          <t>No</t>
        </is>
      </c>
      <c r="B300" t="inlineStr">
        <is>
          <t>BT160 .A97 1985</t>
        </is>
      </c>
      <c r="C300" t="inlineStr">
        <is>
          <t>0                      BT 0160000A  97          1985</t>
        </is>
      </c>
      <c r="D300" t="inlineStr">
        <is>
          <t>Mosquitoes in paradise : a new look at Genesis, Jesus, and the meaning of life / John R. Aurelio.</t>
        </is>
      </c>
      <c r="F300" t="inlineStr">
        <is>
          <t>No</t>
        </is>
      </c>
      <c r="G300" t="inlineStr">
        <is>
          <t>1</t>
        </is>
      </c>
      <c r="H300" t="inlineStr">
        <is>
          <t>No</t>
        </is>
      </c>
      <c r="I300" t="inlineStr">
        <is>
          <t>No</t>
        </is>
      </c>
      <c r="J300" t="inlineStr">
        <is>
          <t>0</t>
        </is>
      </c>
      <c r="K300" t="inlineStr">
        <is>
          <t>Aurelio, John.</t>
        </is>
      </c>
      <c r="L300" t="inlineStr">
        <is>
          <t>New York : Crossroad, 1985.</t>
        </is>
      </c>
      <c r="M300" t="inlineStr">
        <is>
          <t>1985</t>
        </is>
      </c>
      <c r="O300" t="inlineStr">
        <is>
          <t>eng</t>
        </is>
      </c>
      <c r="P300" t="inlineStr">
        <is>
          <t>nyu</t>
        </is>
      </c>
      <c r="R300" t="inlineStr">
        <is>
          <t xml:space="preserve">BT </t>
        </is>
      </c>
      <c r="S300" t="n">
        <v>8</v>
      </c>
      <c r="T300" t="n">
        <v>8</v>
      </c>
      <c r="U300" t="inlineStr">
        <is>
          <t>2007-12-06</t>
        </is>
      </c>
      <c r="V300" t="inlineStr">
        <is>
          <t>2007-12-06</t>
        </is>
      </c>
      <c r="W300" t="inlineStr">
        <is>
          <t>1991-08-02</t>
        </is>
      </c>
      <c r="X300" t="inlineStr">
        <is>
          <t>1991-08-02</t>
        </is>
      </c>
      <c r="Y300" t="n">
        <v>181</v>
      </c>
      <c r="Z300" t="n">
        <v>157</v>
      </c>
      <c r="AA300" t="n">
        <v>162</v>
      </c>
      <c r="AB300" t="n">
        <v>2</v>
      </c>
      <c r="AC300" t="n">
        <v>2</v>
      </c>
      <c r="AD300" t="n">
        <v>13</v>
      </c>
      <c r="AE300" t="n">
        <v>13</v>
      </c>
      <c r="AF300" t="n">
        <v>3</v>
      </c>
      <c r="AG300" t="n">
        <v>3</v>
      </c>
      <c r="AH300" t="n">
        <v>1</v>
      </c>
      <c r="AI300" t="n">
        <v>1</v>
      </c>
      <c r="AJ300" t="n">
        <v>11</v>
      </c>
      <c r="AK300" t="n">
        <v>11</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HYPERLINK("https://creighton-primo.hosted.exlibrisgroup.com/primo-explore/search?tab=default_tab&amp;search_scope=EVERYTHING&amp;vid=01CRU&amp;lang=en_US&amp;offset=0&amp;query=any,contains,991000653299702656","Catalog Record")</f>
        <v/>
      </c>
      <c r="AT300">
        <f>HYPERLINK("http://www.worldcat.org/oclc/12189212","WorldCat Record")</f>
        <v/>
      </c>
      <c r="AU300" t="inlineStr">
        <is>
          <t>5206276:eng</t>
        </is>
      </c>
      <c r="AV300" t="inlineStr">
        <is>
          <t>12189212</t>
        </is>
      </c>
      <c r="AW300" t="inlineStr">
        <is>
          <t>991000653299702656</t>
        </is>
      </c>
      <c r="AX300" t="inlineStr">
        <is>
          <t>991000653299702656</t>
        </is>
      </c>
      <c r="AY300" t="inlineStr">
        <is>
          <t>2255398410002656</t>
        </is>
      </c>
      <c r="AZ300" t="inlineStr">
        <is>
          <t>BOOK</t>
        </is>
      </c>
      <c r="BB300" t="inlineStr">
        <is>
          <t>9780824506988</t>
        </is>
      </c>
      <c r="BC300" t="inlineStr">
        <is>
          <t>32285000694488</t>
        </is>
      </c>
      <c r="BD300" t="inlineStr">
        <is>
          <t>893425916</t>
        </is>
      </c>
    </row>
    <row r="301">
      <c r="A301" t="inlineStr">
        <is>
          <t>No</t>
        </is>
      </c>
      <c r="B301" t="inlineStr">
        <is>
          <t>BT160 .C66 1988</t>
        </is>
      </c>
      <c r="C301" t="inlineStr">
        <is>
          <t>0                      BT 0160000C  66          1988</t>
        </is>
      </c>
      <c r="D301" t="inlineStr">
        <is>
          <t>Why, God? / Burton Z. Cooper.</t>
        </is>
      </c>
      <c r="F301" t="inlineStr">
        <is>
          <t>No</t>
        </is>
      </c>
      <c r="G301" t="inlineStr">
        <is>
          <t>1</t>
        </is>
      </c>
      <c r="H301" t="inlineStr">
        <is>
          <t>No</t>
        </is>
      </c>
      <c r="I301" t="inlineStr">
        <is>
          <t>No</t>
        </is>
      </c>
      <c r="J301" t="inlineStr">
        <is>
          <t>0</t>
        </is>
      </c>
      <c r="K301" t="inlineStr">
        <is>
          <t>Cooper, Burton Z., 1932-</t>
        </is>
      </c>
      <c r="L301" t="inlineStr">
        <is>
          <t>Atlanta : John Knox Press, c1988.</t>
        </is>
      </c>
      <c r="M301" t="inlineStr">
        <is>
          <t>1988</t>
        </is>
      </c>
      <c r="O301" t="inlineStr">
        <is>
          <t>eng</t>
        </is>
      </c>
      <c r="P301" t="inlineStr">
        <is>
          <t>gau</t>
        </is>
      </c>
      <c r="R301" t="inlineStr">
        <is>
          <t xml:space="preserve">BT </t>
        </is>
      </c>
      <c r="S301" t="n">
        <v>1</v>
      </c>
      <c r="T301" t="n">
        <v>1</v>
      </c>
      <c r="U301" t="inlineStr">
        <is>
          <t>2003-12-17</t>
        </is>
      </c>
      <c r="V301" t="inlineStr">
        <is>
          <t>2003-12-17</t>
        </is>
      </c>
      <c r="W301" t="inlineStr">
        <is>
          <t>2003-12-17</t>
        </is>
      </c>
      <c r="X301" t="inlineStr">
        <is>
          <t>2003-12-17</t>
        </is>
      </c>
      <c r="Y301" t="n">
        <v>265</v>
      </c>
      <c r="Z301" t="n">
        <v>253</v>
      </c>
      <c r="AA301" t="n">
        <v>255</v>
      </c>
      <c r="AB301" t="n">
        <v>1</v>
      </c>
      <c r="AC301" t="n">
        <v>1</v>
      </c>
      <c r="AD301" t="n">
        <v>10</v>
      </c>
      <c r="AE301" t="n">
        <v>10</v>
      </c>
      <c r="AF301" t="n">
        <v>7</v>
      </c>
      <c r="AG301" t="n">
        <v>7</v>
      </c>
      <c r="AH301" t="n">
        <v>0</v>
      </c>
      <c r="AI301" t="n">
        <v>0</v>
      </c>
      <c r="AJ301" t="n">
        <v>6</v>
      </c>
      <c r="AK301" t="n">
        <v>6</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HYPERLINK("https://creighton-primo.hosted.exlibrisgroup.com/primo-explore/search?tab=default_tab&amp;search_scope=EVERYTHING&amp;vid=01CRU&amp;lang=en_US&amp;offset=0&amp;query=any,contains,991004206699702656","Catalog Record")</f>
        <v/>
      </c>
      <c r="AT301">
        <f>HYPERLINK("http://www.worldcat.org/oclc/16471168","WorldCat Record")</f>
        <v/>
      </c>
      <c r="AU301" t="inlineStr">
        <is>
          <t>2752702:eng</t>
        </is>
      </c>
      <c r="AV301" t="inlineStr">
        <is>
          <t>16471168</t>
        </is>
      </c>
      <c r="AW301" t="inlineStr">
        <is>
          <t>991004206699702656</t>
        </is>
      </c>
      <c r="AX301" t="inlineStr">
        <is>
          <t>991004206699702656</t>
        </is>
      </c>
      <c r="AY301" t="inlineStr">
        <is>
          <t>2265683730002656</t>
        </is>
      </c>
      <c r="AZ301" t="inlineStr">
        <is>
          <t>BOOK</t>
        </is>
      </c>
      <c r="BB301" t="inlineStr">
        <is>
          <t>9780804207317</t>
        </is>
      </c>
      <c r="BC301" t="inlineStr">
        <is>
          <t>32285004847785</t>
        </is>
      </c>
      <c r="BD301" t="inlineStr">
        <is>
          <t>893506547</t>
        </is>
      </c>
    </row>
    <row r="302">
      <c r="A302" t="inlineStr">
        <is>
          <t>No</t>
        </is>
      </c>
      <c r="B302" t="inlineStr">
        <is>
          <t>BT160 .E913 1967</t>
        </is>
      </c>
      <c r="C302" t="inlineStr">
        <is>
          <t>0                      BT 0160000E  913         1967</t>
        </is>
      </c>
      <c r="D302" t="inlineStr">
        <is>
          <t>Suffering / Louis Evely. Translated by Marie-Claude Thompson.</t>
        </is>
      </c>
      <c r="F302" t="inlineStr">
        <is>
          <t>No</t>
        </is>
      </c>
      <c r="G302" t="inlineStr">
        <is>
          <t>1</t>
        </is>
      </c>
      <c r="H302" t="inlineStr">
        <is>
          <t>No</t>
        </is>
      </c>
      <c r="I302" t="inlineStr">
        <is>
          <t>No</t>
        </is>
      </c>
      <c r="J302" t="inlineStr">
        <is>
          <t>0</t>
        </is>
      </c>
      <c r="K302" t="inlineStr">
        <is>
          <t>Évely, Louis, 1910-1985.</t>
        </is>
      </c>
      <c r="L302" t="inlineStr">
        <is>
          <t>[New York] : Herder and Herder, [1967]</t>
        </is>
      </c>
      <c r="M302" t="inlineStr">
        <is>
          <t>1967</t>
        </is>
      </c>
      <c r="O302" t="inlineStr">
        <is>
          <t>eng</t>
        </is>
      </c>
      <c r="P302" t="inlineStr">
        <is>
          <t>nyu</t>
        </is>
      </c>
      <c r="R302" t="inlineStr">
        <is>
          <t xml:space="preserve">BT </t>
        </is>
      </c>
      <c r="S302" t="n">
        <v>4</v>
      </c>
      <c r="T302" t="n">
        <v>4</v>
      </c>
      <c r="U302" t="inlineStr">
        <is>
          <t>1993-07-20</t>
        </is>
      </c>
      <c r="V302" t="inlineStr">
        <is>
          <t>1993-07-20</t>
        </is>
      </c>
      <c r="W302" t="inlineStr">
        <is>
          <t>1991-08-02</t>
        </is>
      </c>
      <c r="X302" t="inlineStr">
        <is>
          <t>1991-08-02</t>
        </is>
      </c>
      <c r="Y302" t="n">
        <v>367</v>
      </c>
      <c r="Z302" t="n">
        <v>320</v>
      </c>
      <c r="AA302" t="n">
        <v>351</v>
      </c>
      <c r="AB302" t="n">
        <v>3</v>
      </c>
      <c r="AC302" t="n">
        <v>3</v>
      </c>
      <c r="AD302" t="n">
        <v>35</v>
      </c>
      <c r="AE302" t="n">
        <v>36</v>
      </c>
      <c r="AF302" t="n">
        <v>12</v>
      </c>
      <c r="AG302" t="n">
        <v>13</v>
      </c>
      <c r="AH302" t="n">
        <v>8</v>
      </c>
      <c r="AI302" t="n">
        <v>8</v>
      </c>
      <c r="AJ302" t="n">
        <v>26</v>
      </c>
      <c r="AK302" t="n">
        <v>26</v>
      </c>
      <c r="AL302" t="n">
        <v>1</v>
      </c>
      <c r="AM302" t="n">
        <v>1</v>
      </c>
      <c r="AN302" t="n">
        <v>0</v>
      </c>
      <c r="AO302" t="n">
        <v>0</v>
      </c>
      <c r="AP302" t="inlineStr">
        <is>
          <t>No</t>
        </is>
      </c>
      <c r="AQ302" t="inlineStr">
        <is>
          <t>Yes</t>
        </is>
      </c>
      <c r="AR302">
        <f>HYPERLINK("http://catalog.hathitrust.org/Record/009804738","HathiTrust Record")</f>
        <v/>
      </c>
      <c r="AS302">
        <f>HYPERLINK("https://creighton-primo.hosted.exlibrisgroup.com/primo-explore/search?tab=default_tab&amp;search_scope=EVERYTHING&amp;vid=01CRU&amp;lang=en_US&amp;offset=0&amp;query=any,contains,991004170469702656","Catalog Record")</f>
        <v/>
      </c>
      <c r="AT302">
        <f>HYPERLINK("http://www.worldcat.org/oclc/2579808","WorldCat Record")</f>
        <v/>
      </c>
      <c r="AU302" t="inlineStr">
        <is>
          <t>3372118925:eng</t>
        </is>
      </c>
      <c r="AV302" t="inlineStr">
        <is>
          <t>2579808</t>
        </is>
      </c>
      <c r="AW302" t="inlineStr">
        <is>
          <t>991004170469702656</t>
        </is>
      </c>
      <c r="AX302" t="inlineStr">
        <is>
          <t>991004170469702656</t>
        </is>
      </c>
      <c r="AY302" t="inlineStr">
        <is>
          <t>2258120710002656</t>
        </is>
      </c>
      <c r="AZ302" t="inlineStr">
        <is>
          <t>BOOK</t>
        </is>
      </c>
      <c r="BC302" t="inlineStr">
        <is>
          <t>32285000694520</t>
        </is>
      </c>
      <c r="BD302" t="inlineStr">
        <is>
          <t>893506491</t>
        </is>
      </c>
    </row>
    <row r="303">
      <c r="A303" t="inlineStr">
        <is>
          <t>No</t>
        </is>
      </c>
      <c r="B303" t="inlineStr">
        <is>
          <t>BT160 .F37 1990</t>
        </is>
      </c>
      <c r="C303" t="inlineStr">
        <is>
          <t>0                      BT 0160000F  37          1990</t>
        </is>
      </c>
      <c r="D303" t="inlineStr">
        <is>
          <t>Tragic vision and divine compassion : a contemporary theodicy / Wendy Farley.</t>
        </is>
      </c>
      <c r="F303" t="inlineStr">
        <is>
          <t>No</t>
        </is>
      </c>
      <c r="G303" t="inlineStr">
        <is>
          <t>1</t>
        </is>
      </c>
      <c r="H303" t="inlineStr">
        <is>
          <t>No</t>
        </is>
      </c>
      <c r="I303" t="inlineStr">
        <is>
          <t>No</t>
        </is>
      </c>
      <c r="J303" t="inlineStr">
        <is>
          <t>0</t>
        </is>
      </c>
      <c r="K303" t="inlineStr">
        <is>
          <t>Farley, Wendy, 1958-</t>
        </is>
      </c>
      <c r="L303" t="inlineStr">
        <is>
          <t>Louisville, Ky. : Westminster/John Knox Press, c1990.</t>
        </is>
      </c>
      <c r="M303" t="inlineStr">
        <is>
          <t>1990</t>
        </is>
      </c>
      <c r="N303" t="inlineStr">
        <is>
          <t>1st ed.</t>
        </is>
      </c>
      <c r="O303" t="inlineStr">
        <is>
          <t>eng</t>
        </is>
      </c>
      <c r="P303" t="inlineStr">
        <is>
          <t>kyu</t>
        </is>
      </c>
      <c r="R303" t="inlineStr">
        <is>
          <t xml:space="preserve">BT </t>
        </is>
      </c>
      <c r="S303" t="n">
        <v>4</v>
      </c>
      <c r="T303" t="n">
        <v>4</v>
      </c>
      <c r="U303" t="inlineStr">
        <is>
          <t>1995-10-08</t>
        </is>
      </c>
      <c r="V303" t="inlineStr">
        <is>
          <t>1995-10-08</t>
        </is>
      </c>
      <c r="W303" t="inlineStr">
        <is>
          <t>1994-02-23</t>
        </is>
      </c>
      <c r="X303" t="inlineStr">
        <is>
          <t>1994-02-23</t>
        </is>
      </c>
      <c r="Y303" t="n">
        <v>354</v>
      </c>
      <c r="Z303" t="n">
        <v>307</v>
      </c>
      <c r="AA303" t="n">
        <v>326</v>
      </c>
      <c r="AB303" t="n">
        <v>3</v>
      </c>
      <c r="AC303" t="n">
        <v>4</v>
      </c>
      <c r="AD303" t="n">
        <v>29</v>
      </c>
      <c r="AE303" t="n">
        <v>31</v>
      </c>
      <c r="AF303" t="n">
        <v>11</v>
      </c>
      <c r="AG303" t="n">
        <v>12</v>
      </c>
      <c r="AH303" t="n">
        <v>5</v>
      </c>
      <c r="AI303" t="n">
        <v>6</v>
      </c>
      <c r="AJ303" t="n">
        <v>17</v>
      </c>
      <c r="AK303" t="n">
        <v>17</v>
      </c>
      <c r="AL303" t="n">
        <v>2</v>
      </c>
      <c r="AM303" t="n">
        <v>3</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HYPERLINK("https://creighton-primo.hosted.exlibrisgroup.com/primo-explore/search?tab=default_tab&amp;search_scope=EVERYTHING&amp;vid=01CRU&amp;lang=en_US&amp;offset=0&amp;query=any,contains,991001596489702656","Catalog Record")</f>
        <v/>
      </c>
      <c r="AT303">
        <f>HYPERLINK("http://www.worldcat.org/oclc/20628912","WorldCat Record")</f>
        <v/>
      </c>
      <c r="AU303" t="inlineStr">
        <is>
          <t>198613220:eng</t>
        </is>
      </c>
      <c r="AV303" t="inlineStr">
        <is>
          <t>20628912</t>
        </is>
      </c>
      <c r="AW303" t="inlineStr">
        <is>
          <t>991001596489702656</t>
        </is>
      </c>
      <c r="AX303" t="inlineStr">
        <is>
          <t>991001596489702656</t>
        </is>
      </c>
      <c r="AY303" t="inlineStr">
        <is>
          <t>2266158300002656</t>
        </is>
      </c>
      <c r="AZ303" t="inlineStr">
        <is>
          <t>BOOK</t>
        </is>
      </c>
      <c r="BB303" t="inlineStr">
        <is>
          <t>9780664250966</t>
        </is>
      </c>
      <c r="BC303" t="inlineStr">
        <is>
          <t>32285001843340</t>
        </is>
      </c>
      <c r="BD303" t="inlineStr">
        <is>
          <t>893315878</t>
        </is>
      </c>
    </row>
    <row r="304">
      <c r="A304" t="inlineStr">
        <is>
          <t>No</t>
        </is>
      </c>
      <c r="B304" t="inlineStr">
        <is>
          <t>BT160 .F5513 1997</t>
        </is>
      </c>
      <c r="C304" t="inlineStr">
        <is>
          <t>0                      BT 0160000F  5513        1997</t>
        </is>
      </c>
      <c r="D304" t="inlineStr">
        <is>
          <t>The pillar and ground of the truth / Pavel Florensky ; translated and annotated by Boris Jakim with an introduction by Richard F. Gustafson.</t>
        </is>
      </c>
      <c r="F304" t="inlineStr">
        <is>
          <t>No</t>
        </is>
      </c>
      <c r="G304" t="inlineStr">
        <is>
          <t>1</t>
        </is>
      </c>
      <c r="H304" t="inlineStr">
        <is>
          <t>No</t>
        </is>
      </c>
      <c r="I304" t="inlineStr">
        <is>
          <t>No</t>
        </is>
      </c>
      <c r="J304" t="inlineStr">
        <is>
          <t>0</t>
        </is>
      </c>
      <c r="K304" t="inlineStr">
        <is>
          <t>Florenskiĭ, P. A. (Pavel Aleksandrovich), 1882-1937.</t>
        </is>
      </c>
      <c r="L304" t="inlineStr">
        <is>
          <t>Princeton, N.J. : Princeton University Press, c1997.</t>
        </is>
      </c>
      <c r="M304" t="inlineStr">
        <is>
          <t>1997</t>
        </is>
      </c>
      <c r="O304" t="inlineStr">
        <is>
          <t>eng</t>
        </is>
      </c>
      <c r="P304" t="inlineStr">
        <is>
          <t>nju</t>
        </is>
      </c>
      <c r="R304" t="inlineStr">
        <is>
          <t xml:space="preserve">BT </t>
        </is>
      </c>
      <c r="S304" t="n">
        <v>4</v>
      </c>
      <c r="T304" t="n">
        <v>4</v>
      </c>
      <c r="U304" t="inlineStr">
        <is>
          <t>2001-10-11</t>
        </is>
      </c>
      <c r="V304" t="inlineStr">
        <is>
          <t>2001-10-11</t>
        </is>
      </c>
      <c r="W304" t="inlineStr">
        <is>
          <t>1998-04-14</t>
        </is>
      </c>
      <c r="X304" t="inlineStr">
        <is>
          <t>1998-04-14</t>
        </is>
      </c>
      <c r="Y304" t="n">
        <v>228</v>
      </c>
      <c r="Z304" t="n">
        <v>187</v>
      </c>
      <c r="AA304" t="n">
        <v>414</v>
      </c>
      <c r="AB304" t="n">
        <v>2</v>
      </c>
      <c r="AC304" t="n">
        <v>2</v>
      </c>
      <c r="AD304" t="n">
        <v>18</v>
      </c>
      <c r="AE304" t="n">
        <v>27</v>
      </c>
      <c r="AF304" t="n">
        <v>5</v>
      </c>
      <c r="AG304" t="n">
        <v>12</v>
      </c>
      <c r="AH304" t="n">
        <v>6</v>
      </c>
      <c r="AI304" t="n">
        <v>7</v>
      </c>
      <c r="AJ304" t="n">
        <v>12</v>
      </c>
      <c r="AK304" t="n">
        <v>16</v>
      </c>
      <c r="AL304" t="n">
        <v>1</v>
      </c>
      <c r="AM304" t="n">
        <v>1</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HYPERLINK("https://creighton-primo.hosted.exlibrisgroup.com/primo-explore/search?tab=default_tab&amp;search_scope=EVERYTHING&amp;vid=01CRU&amp;lang=en_US&amp;offset=0&amp;query=any,contains,991002734809702656","Catalog Record")</f>
        <v/>
      </c>
      <c r="AT304">
        <f>HYPERLINK("http://www.worldcat.org/oclc/35885697","WorldCat Record")</f>
        <v/>
      </c>
      <c r="AU304" t="inlineStr">
        <is>
          <t>3372605763:eng</t>
        </is>
      </c>
      <c r="AV304" t="inlineStr">
        <is>
          <t>35885697</t>
        </is>
      </c>
      <c r="AW304" t="inlineStr">
        <is>
          <t>991002734809702656</t>
        </is>
      </c>
      <c r="AX304" t="inlineStr">
        <is>
          <t>991002734809702656</t>
        </is>
      </c>
      <c r="AY304" t="inlineStr">
        <is>
          <t>2262155580002656</t>
        </is>
      </c>
      <c r="AZ304" t="inlineStr">
        <is>
          <t>BOOK</t>
        </is>
      </c>
      <c r="BB304" t="inlineStr">
        <is>
          <t>9780691032436</t>
        </is>
      </c>
      <c r="BC304" t="inlineStr">
        <is>
          <t>32285003384996</t>
        </is>
      </c>
      <c r="BD304" t="inlineStr">
        <is>
          <t>893323301</t>
        </is>
      </c>
    </row>
    <row r="305">
      <c r="A305" t="inlineStr">
        <is>
          <t>No</t>
        </is>
      </c>
      <c r="B305" t="inlineStr">
        <is>
          <t>BT160 .R53 1988</t>
        </is>
      </c>
      <c r="C305" t="inlineStr">
        <is>
          <t>0                      BT 0160000R  53          1988</t>
        </is>
      </c>
      <c r="D305" t="inlineStr">
        <is>
          <t>Preaching to sufferers : God and the problem of pain / Kent D. Richmond.</t>
        </is>
      </c>
      <c r="F305" t="inlineStr">
        <is>
          <t>No</t>
        </is>
      </c>
      <c r="G305" t="inlineStr">
        <is>
          <t>1</t>
        </is>
      </c>
      <c r="H305" t="inlineStr">
        <is>
          <t>No</t>
        </is>
      </c>
      <c r="I305" t="inlineStr">
        <is>
          <t>No</t>
        </is>
      </c>
      <c r="J305" t="inlineStr">
        <is>
          <t>0</t>
        </is>
      </c>
      <c r="K305" t="inlineStr">
        <is>
          <t>Richmond, Kent D., 1939-</t>
        </is>
      </c>
      <c r="L305" t="inlineStr">
        <is>
          <t>Nashville : Abingdon Press, c1988.</t>
        </is>
      </c>
      <c r="M305" t="inlineStr">
        <is>
          <t>1988</t>
        </is>
      </c>
      <c r="O305" t="inlineStr">
        <is>
          <t>eng</t>
        </is>
      </c>
      <c r="P305" t="inlineStr">
        <is>
          <t>tnu</t>
        </is>
      </c>
      <c r="R305" t="inlineStr">
        <is>
          <t xml:space="preserve">BT </t>
        </is>
      </c>
      <c r="S305" t="n">
        <v>6</v>
      </c>
      <c r="T305" t="n">
        <v>6</v>
      </c>
      <c r="U305" t="inlineStr">
        <is>
          <t>1999-02-10</t>
        </is>
      </c>
      <c r="V305" t="inlineStr">
        <is>
          <t>1999-02-10</t>
        </is>
      </c>
      <c r="W305" t="inlineStr">
        <is>
          <t>1990-04-12</t>
        </is>
      </c>
      <c r="X305" t="inlineStr">
        <is>
          <t>1990-04-12</t>
        </is>
      </c>
      <c r="Y305" t="n">
        <v>171</v>
      </c>
      <c r="Z305" t="n">
        <v>139</v>
      </c>
      <c r="AA305" t="n">
        <v>144</v>
      </c>
      <c r="AB305" t="n">
        <v>2</v>
      </c>
      <c r="AC305" t="n">
        <v>2</v>
      </c>
      <c r="AD305" t="n">
        <v>5</v>
      </c>
      <c r="AE305" t="n">
        <v>5</v>
      </c>
      <c r="AF305" t="n">
        <v>1</v>
      </c>
      <c r="AG305" t="n">
        <v>1</v>
      </c>
      <c r="AH305" t="n">
        <v>1</v>
      </c>
      <c r="AI305" t="n">
        <v>1</v>
      </c>
      <c r="AJ305" t="n">
        <v>3</v>
      </c>
      <c r="AK305" t="n">
        <v>3</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HYPERLINK("https://creighton-primo.hosted.exlibrisgroup.com/primo-explore/search?tab=default_tab&amp;search_scope=EVERYTHING&amp;vid=01CRU&amp;lang=en_US&amp;offset=0&amp;query=any,contains,991001249919702656","Catalog Record")</f>
        <v/>
      </c>
      <c r="AT305">
        <f>HYPERLINK("http://www.worldcat.org/oclc/17674836","WorldCat Record")</f>
        <v/>
      </c>
      <c r="AU305" t="inlineStr">
        <is>
          <t>15786570:eng</t>
        </is>
      </c>
      <c r="AV305" t="inlineStr">
        <is>
          <t>17674836</t>
        </is>
      </c>
      <c r="AW305" t="inlineStr">
        <is>
          <t>991001249919702656</t>
        </is>
      </c>
      <c r="AX305" t="inlineStr">
        <is>
          <t>991001249919702656</t>
        </is>
      </c>
      <c r="AY305" t="inlineStr">
        <is>
          <t>2263670600002656</t>
        </is>
      </c>
      <c r="AZ305" t="inlineStr">
        <is>
          <t>BOOK</t>
        </is>
      </c>
      <c r="BB305" t="inlineStr">
        <is>
          <t>9780687338733</t>
        </is>
      </c>
      <c r="BC305" t="inlineStr">
        <is>
          <t>32285000100593</t>
        </is>
      </c>
      <c r="BD305" t="inlineStr">
        <is>
          <t>893596323</t>
        </is>
      </c>
    </row>
    <row r="306">
      <c r="A306" t="inlineStr">
        <is>
          <t>No</t>
        </is>
      </c>
      <c r="B306" t="inlineStr">
        <is>
          <t>BT160 .S33</t>
        </is>
      </c>
      <c r="C306" t="inlineStr">
        <is>
          <t>0                      BT 0160000S  33</t>
        </is>
      </c>
      <c r="D306" t="inlineStr">
        <is>
          <t>God and human anguish / S. Paul Schilling.</t>
        </is>
      </c>
      <c r="F306" t="inlineStr">
        <is>
          <t>No</t>
        </is>
      </c>
      <c r="G306" t="inlineStr">
        <is>
          <t>1</t>
        </is>
      </c>
      <c r="H306" t="inlineStr">
        <is>
          <t>No</t>
        </is>
      </c>
      <c r="I306" t="inlineStr">
        <is>
          <t>No</t>
        </is>
      </c>
      <c r="J306" t="inlineStr">
        <is>
          <t>0</t>
        </is>
      </c>
      <c r="K306" t="inlineStr">
        <is>
          <t>Schilling, S. Paul (Sylvester Paul), 1904-1994.</t>
        </is>
      </c>
      <c r="L306" t="inlineStr">
        <is>
          <t>Nashville : Abingdon, c1977.</t>
        </is>
      </c>
      <c r="M306" t="inlineStr">
        <is>
          <t>1977</t>
        </is>
      </c>
      <c r="O306" t="inlineStr">
        <is>
          <t>eng</t>
        </is>
      </c>
      <c r="P306" t="inlineStr">
        <is>
          <t>tnu</t>
        </is>
      </c>
      <c r="R306" t="inlineStr">
        <is>
          <t xml:space="preserve">BT </t>
        </is>
      </c>
      <c r="S306" t="n">
        <v>7</v>
      </c>
      <c r="T306" t="n">
        <v>7</v>
      </c>
      <c r="U306" t="inlineStr">
        <is>
          <t>1999-02-10</t>
        </is>
      </c>
      <c r="V306" t="inlineStr">
        <is>
          <t>1999-02-10</t>
        </is>
      </c>
      <c r="W306" t="inlineStr">
        <is>
          <t>1990-03-12</t>
        </is>
      </c>
      <c r="X306" t="inlineStr">
        <is>
          <t>1990-03-12</t>
        </is>
      </c>
      <c r="Y306" t="n">
        <v>564</v>
      </c>
      <c r="Z306" t="n">
        <v>507</v>
      </c>
      <c r="AA306" t="n">
        <v>509</v>
      </c>
      <c r="AB306" t="n">
        <v>4</v>
      </c>
      <c r="AC306" t="n">
        <v>4</v>
      </c>
      <c r="AD306" t="n">
        <v>34</v>
      </c>
      <c r="AE306" t="n">
        <v>34</v>
      </c>
      <c r="AF306" t="n">
        <v>13</v>
      </c>
      <c r="AG306" t="n">
        <v>13</v>
      </c>
      <c r="AH306" t="n">
        <v>7</v>
      </c>
      <c r="AI306" t="n">
        <v>7</v>
      </c>
      <c r="AJ306" t="n">
        <v>16</v>
      </c>
      <c r="AK306" t="n">
        <v>16</v>
      </c>
      <c r="AL306" t="n">
        <v>3</v>
      </c>
      <c r="AM306" t="n">
        <v>3</v>
      </c>
      <c r="AN306" t="n">
        <v>0</v>
      </c>
      <c r="AO306" t="n">
        <v>0</v>
      </c>
      <c r="AP306" t="inlineStr">
        <is>
          <t>No</t>
        </is>
      </c>
      <c r="AQ306" t="inlineStr">
        <is>
          <t>Yes</t>
        </is>
      </c>
      <c r="AR306">
        <f>HYPERLINK("http://catalog.hathitrust.org/Record/000739807","HathiTrust Record")</f>
        <v/>
      </c>
      <c r="AS306">
        <f>HYPERLINK("https://creighton-primo.hosted.exlibrisgroup.com/primo-explore/search?tab=default_tab&amp;search_scope=EVERYTHING&amp;vid=01CRU&amp;lang=en_US&amp;offset=0&amp;query=any,contains,991004282089702656","Catalog Record")</f>
        <v/>
      </c>
      <c r="AT306">
        <f>HYPERLINK("http://www.worldcat.org/oclc/2912300","WorldCat Record")</f>
        <v/>
      </c>
      <c r="AU306" t="inlineStr">
        <is>
          <t>6518486:eng</t>
        </is>
      </c>
      <c r="AV306" t="inlineStr">
        <is>
          <t>2912300</t>
        </is>
      </c>
      <c r="AW306" t="inlineStr">
        <is>
          <t>991004282089702656</t>
        </is>
      </c>
      <c r="AX306" t="inlineStr">
        <is>
          <t>991004282089702656</t>
        </is>
      </c>
      <c r="AY306" t="inlineStr">
        <is>
          <t>2267866620002656</t>
        </is>
      </c>
      <c r="AZ306" t="inlineStr">
        <is>
          <t>BOOK</t>
        </is>
      </c>
      <c r="BB306" t="inlineStr">
        <is>
          <t>9780687149094</t>
        </is>
      </c>
      <c r="BC306" t="inlineStr">
        <is>
          <t>32285000081843</t>
        </is>
      </c>
      <c r="BD306" t="inlineStr">
        <is>
          <t>893706183</t>
        </is>
      </c>
    </row>
    <row r="307">
      <c r="A307" t="inlineStr">
        <is>
          <t>No</t>
        </is>
      </c>
      <c r="B307" t="inlineStr">
        <is>
          <t>BT175 .L76</t>
        </is>
      </c>
      <c r="C307" t="inlineStr">
        <is>
          <t>0                      BT 0175000L  76</t>
        </is>
      </c>
      <c r="D307" t="inlineStr">
        <is>
          <t>What can you say about God? : (Except "God.") / by William A. Luijpen. Translated by Henry J. Koren.</t>
        </is>
      </c>
      <c r="F307" t="inlineStr">
        <is>
          <t>No</t>
        </is>
      </c>
      <c r="G307" t="inlineStr">
        <is>
          <t>1</t>
        </is>
      </c>
      <c r="H307" t="inlineStr">
        <is>
          <t>No</t>
        </is>
      </c>
      <c r="I307" t="inlineStr">
        <is>
          <t>No</t>
        </is>
      </c>
      <c r="J307" t="inlineStr">
        <is>
          <t>0</t>
        </is>
      </c>
      <c r="K307" t="inlineStr">
        <is>
          <t>Luijpen, W. (Wilhelmus), 1922-</t>
        </is>
      </c>
      <c r="L307" t="inlineStr">
        <is>
          <t>New York, Paulist Press [1971]</t>
        </is>
      </c>
      <c r="M307" t="inlineStr">
        <is>
          <t>1971</t>
        </is>
      </c>
      <c r="O307" t="inlineStr">
        <is>
          <t>eng</t>
        </is>
      </c>
      <c r="P307" t="inlineStr">
        <is>
          <t>nyu</t>
        </is>
      </c>
      <c r="Q307" t="inlineStr">
        <is>
          <t>Deus books</t>
        </is>
      </c>
      <c r="R307" t="inlineStr">
        <is>
          <t xml:space="preserve">BT </t>
        </is>
      </c>
      <c r="S307" t="n">
        <v>5</v>
      </c>
      <c r="T307" t="n">
        <v>5</v>
      </c>
      <c r="U307" t="inlineStr">
        <is>
          <t>1999-09-18</t>
        </is>
      </c>
      <c r="V307" t="inlineStr">
        <is>
          <t>1999-09-18</t>
        </is>
      </c>
      <c r="W307" t="inlineStr">
        <is>
          <t>1991-08-05</t>
        </is>
      </c>
      <c r="X307" t="inlineStr">
        <is>
          <t>1991-08-05</t>
        </is>
      </c>
      <c r="Y307" t="n">
        <v>119</v>
      </c>
      <c r="Z307" t="n">
        <v>102</v>
      </c>
      <c r="AA307" t="n">
        <v>102</v>
      </c>
      <c r="AB307" t="n">
        <v>1</v>
      </c>
      <c r="AC307" t="n">
        <v>1</v>
      </c>
      <c r="AD307" t="n">
        <v>19</v>
      </c>
      <c r="AE307" t="n">
        <v>19</v>
      </c>
      <c r="AF307" t="n">
        <v>5</v>
      </c>
      <c r="AG307" t="n">
        <v>5</v>
      </c>
      <c r="AH307" t="n">
        <v>3</v>
      </c>
      <c r="AI307" t="n">
        <v>3</v>
      </c>
      <c r="AJ307" t="n">
        <v>16</v>
      </c>
      <c r="AK307" t="n">
        <v>16</v>
      </c>
      <c r="AL307" t="n">
        <v>0</v>
      </c>
      <c r="AM307" t="n">
        <v>0</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HYPERLINK("https://creighton-primo.hosted.exlibrisgroup.com/primo-explore/search?tab=default_tab&amp;search_scope=EVERYTHING&amp;vid=01CRU&amp;lang=en_US&amp;offset=0&amp;query=any,contains,991001270369702656","Catalog Record")</f>
        <v/>
      </c>
      <c r="AT307">
        <f>HYPERLINK("http://www.worldcat.org/oclc/211753","WorldCat Record")</f>
        <v/>
      </c>
      <c r="AU307" t="inlineStr">
        <is>
          <t>1288611:eng</t>
        </is>
      </c>
      <c r="AV307" t="inlineStr">
        <is>
          <t>211753</t>
        </is>
      </c>
      <c r="AW307" t="inlineStr">
        <is>
          <t>991001270369702656</t>
        </is>
      </c>
      <c r="AX307" t="inlineStr">
        <is>
          <t>991001270369702656</t>
        </is>
      </c>
      <c r="AY307" t="inlineStr">
        <is>
          <t>2263958630002656</t>
        </is>
      </c>
      <c r="AZ307" t="inlineStr">
        <is>
          <t>BOOK</t>
        </is>
      </c>
      <c r="BC307" t="inlineStr">
        <is>
          <t>32285000694637</t>
        </is>
      </c>
      <c r="BD307" t="inlineStr">
        <is>
          <t>893315657</t>
        </is>
      </c>
    </row>
    <row r="308">
      <c r="A308" t="inlineStr">
        <is>
          <t>No</t>
        </is>
      </c>
      <c r="B308" t="inlineStr">
        <is>
          <t>BT18.W67 S38 1985</t>
        </is>
      </c>
      <c r="C308" t="inlineStr">
        <is>
          <t>0                      BT 0018000W  67                 S  38          1985</t>
        </is>
      </c>
      <c r="D308" t="inlineStr">
        <is>
          <t>Divine communication : word and sacrament in biblical, historical, and contemporary perspective / Hans Schwarz.</t>
        </is>
      </c>
      <c r="F308" t="inlineStr">
        <is>
          <t>No</t>
        </is>
      </c>
      <c r="G308" t="inlineStr">
        <is>
          <t>1</t>
        </is>
      </c>
      <c r="H308" t="inlineStr">
        <is>
          <t>No</t>
        </is>
      </c>
      <c r="I308" t="inlineStr">
        <is>
          <t>No</t>
        </is>
      </c>
      <c r="J308" t="inlineStr">
        <is>
          <t>0</t>
        </is>
      </c>
      <c r="K308" t="inlineStr">
        <is>
          <t>Schwarz, Hans, 1939-</t>
        </is>
      </c>
      <c r="L308" t="inlineStr">
        <is>
          <t>Philadelphia : Fortress Press, c1985.</t>
        </is>
      </c>
      <c r="M308" t="inlineStr">
        <is>
          <t>1985</t>
        </is>
      </c>
      <c r="O308" t="inlineStr">
        <is>
          <t>eng</t>
        </is>
      </c>
      <c r="P308" t="inlineStr">
        <is>
          <t>pau</t>
        </is>
      </c>
      <c r="R308" t="inlineStr">
        <is>
          <t xml:space="preserve">BT </t>
        </is>
      </c>
      <c r="S308" t="n">
        <v>7</v>
      </c>
      <c r="T308" t="n">
        <v>7</v>
      </c>
      <c r="U308" t="inlineStr">
        <is>
          <t>2004-11-21</t>
        </is>
      </c>
      <c r="V308" t="inlineStr">
        <is>
          <t>2004-11-21</t>
        </is>
      </c>
      <c r="W308" t="inlineStr">
        <is>
          <t>1991-06-12</t>
        </is>
      </c>
      <c r="X308" t="inlineStr">
        <is>
          <t>1991-06-12</t>
        </is>
      </c>
      <c r="Y308" t="n">
        <v>212</v>
      </c>
      <c r="Z308" t="n">
        <v>169</v>
      </c>
      <c r="AA308" t="n">
        <v>172</v>
      </c>
      <c r="AB308" t="n">
        <v>1</v>
      </c>
      <c r="AC308" t="n">
        <v>1</v>
      </c>
      <c r="AD308" t="n">
        <v>9</v>
      </c>
      <c r="AE308" t="n">
        <v>9</v>
      </c>
      <c r="AF308" t="n">
        <v>3</v>
      </c>
      <c r="AG308" t="n">
        <v>3</v>
      </c>
      <c r="AH308" t="n">
        <v>1</v>
      </c>
      <c r="AI308" t="n">
        <v>1</v>
      </c>
      <c r="AJ308" t="n">
        <v>8</v>
      </c>
      <c r="AK308" t="n">
        <v>8</v>
      </c>
      <c r="AL308" t="n">
        <v>0</v>
      </c>
      <c r="AM308" t="n">
        <v>0</v>
      </c>
      <c r="AN308" t="n">
        <v>0</v>
      </c>
      <c r="AO308" t="n">
        <v>0</v>
      </c>
      <c r="AP308" t="inlineStr">
        <is>
          <t>No</t>
        </is>
      </c>
      <c r="AQ308" t="inlineStr">
        <is>
          <t>Yes</t>
        </is>
      </c>
      <c r="AR308">
        <f>HYPERLINK("http://catalog.hathitrust.org/Record/000377417","HathiTrust Record")</f>
        <v/>
      </c>
      <c r="AS308">
        <f>HYPERLINK("https://creighton-primo.hosted.exlibrisgroup.com/primo-explore/search?tab=default_tab&amp;search_scope=EVERYTHING&amp;vid=01CRU&amp;lang=en_US&amp;offset=0&amp;query=any,contains,991000542009702656","Catalog Record")</f>
        <v/>
      </c>
      <c r="AT308">
        <f>HYPERLINK("http://www.worldcat.org/oclc/11495971","WorldCat Record")</f>
        <v/>
      </c>
      <c r="AU308" t="inlineStr">
        <is>
          <t>4232085:eng</t>
        </is>
      </c>
      <c r="AV308" t="inlineStr">
        <is>
          <t>11495971</t>
        </is>
      </c>
      <c r="AW308" t="inlineStr">
        <is>
          <t>991000542009702656</t>
        </is>
      </c>
      <c r="AX308" t="inlineStr">
        <is>
          <t>991000542009702656</t>
        </is>
      </c>
      <c r="AY308" t="inlineStr">
        <is>
          <t>2263841080002656</t>
        </is>
      </c>
      <c r="AZ308" t="inlineStr">
        <is>
          <t>BOOK</t>
        </is>
      </c>
      <c r="BB308" t="inlineStr">
        <is>
          <t>9780800618469</t>
        </is>
      </c>
      <c r="BC308" t="inlineStr">
        <is>
          <t>32285000685494</t>
        </is>
      </c>
      <c r="BD308" t="inlineStr">
        <is>
          <t>893896987</t>
        </is>
      </c>
    </row>
    <row r="309">
      <c r="A309" t="inlineStr">
        <is>
          <t>No</t>
        </is>
      </c>
      <c r="B309" t="inlineStr">
        <is>
          <t>BT180.J8 R6 1972</t>
        </is>
      </c>
      <c r="C309" t="inlineStr">
        <is>
          <t>0                      BT 0180000J  8                  R  6           1972</t>
        </is>
      </c>
      <c r="D309" t="inlineStr">
        <is>
          <t>Judgement in the community : a study of the relationship between eschatology and ecclesiology in Paul / [By] Calvin J. Roetzel.</t>
        </is>
      </c>
      <c r="F309" t="inlineStr">
        <is>
          <t>No</t>
        </is>
      </c>
      <c r="G309" t="inlineStr">
        <is>
          <t>1</t>
        </is>
      </c>
      <c r="H309" t="inlineStr">
        <is>
          <t>No</t>
        </is>
      </c>
      <c r="I309" t="inlineStr">
        <is>
          <t>No</t>
        </is>
      </c>
      <c r="J309" t="inlineStr">
        <is>
          <t>0</t>
        </is>
      </c>
      <c r="K309" t="inlineStr">
        <is>
          <t>Roetzel, Calvin J.</t>
        </is>
      </c>
      <c r="L309" t="inlineStr">
        <is>
          <t>Leiden, Brill, 1972.</t>
        </is>
      </c>
      <c r="M309" t="inlineStr">
        <is>
          <t>1972</t>
        </is>
      </c>
      <c r="O309" t="inlineStr">
        <is>
          <t>eng</t>
        </is>
      </c>
      <c r="P309" t="inlineStr">
        <is>
          <t xml:space="preserve">ne </t>
        </is>
      </c>
      <c r="R309" t="inlineStr">
        <is>
          <t xml:space="preserve">BT </t>
        </is>
      </c>
      <c r="S309" t="n">
        <v>2</v>
      </c>
      <c r="T309" t="n">
        <v>2</v>
      </c>
      <c r="U309" t="inlineStr">
        <is>
          <t>1995-04-22</t>
        </is>
      </c>
      <c r="V309" t="inlineStr">
        <is>
          <t>1995-04-22</t>
        </is>
      </c>
      <c r="W309" t="inlineStr">
        <is>
          <t>1991-08-05</t>
        </is>
      </c>
      <c r="X309" t="inlineStr">
        <is>
          <t>1991-08-05</t>
        </is>
      </c>
      <c r="Y309" t="n">
        <v>295</v>
      </c>
      <c r="Z309" t="n">
        <v>228</v>
      </c>
      <c r="AA309" t="n">
        <v>230</v>
      </c>
      <c r="AB309" t="n">
        <v>2</v>
      </c>
      <c r="AC309" t="n">
        <v>2</v>
      </c>
      <c r="AD309" t="n">
        <v>19</v>
      </c>
      <c r="AE309" t="n">
        <v>19</v>
      </c>
      <c r="AF309" t="n">
        <v>7</v>
      </c>
      <c r="AG309" t="n">
        <v>7</v>
      </c>
      <c r="AH309" t="n">
        <v>5</v>
      </c>
      <c r="AI309" t="n">
        <v>5</v>
      </c>
      <c r="AJ309" t="n">
        <v>11</v>
      </c>
      <c r="AK309" t="n">
        <v>11</v>
      </c>
      <c r="AL309" t="n">
        <v>1</v>
      </c>
      <c r="AM309" t="n">
        <v>1</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HYPERLINK("https://creighton-primo.hosted.exlibrisgroup.com/primo-explore/search?tab=default_tab&amp;search_scope=EVERYTHING&amp;vid=01CRU&amp;lang=en_US&amp;offset=0&amp;query=any,contains,991003082769702656","Catalog Record")</f>
        <v/>
      </c>
      <c r="AT309">
        <f>HYPERLINK("http://www.worldcat.org/oclc/634553","WorldCat Record")</f>
        <v/>
      </c>
      <c r="AU309" t="inlineStr">
        <is>
          <t>377129996:eng</t>
        </is>
      </c>
      <c r="AV309" t="inlineStr">
        <is>
          <t>634553</t>
        </is>
      </c>
      <c r="AW309" t="inlineStr">
        <is>
          <t>991003082769702656</t>
        </is>
      </c>
      <c r="AX309" t="inlineStr">
        <is>
          <t>991003082769702656</t>
        </is>
      </c>
      <c r="AY309" t="inlineStr">
        <is>
          <t>2255533190002656</t>
        </is>
      </c>
      <c r="AZ309" t="inlineStr">
        <is>
          <t>BOOK</t>
        </is>
      </c>
      <c r="BB309" t="inlineStr">
        <is>
          <t>9789004034099</t>
        </is>
      </c>
      <c r="BC309" t="inlineStr">
        <is>
          <t>32285000694652</t>
        </is>
      </c>
      <c r="BD309" t="inlineStr">
        <is>
          <t>893711028</t>
        </is>
      </c>
    </row>
    <row r="310">
      <c r="A310" t="inlineStr">
        <is>
          <t>No</t>
        </is>
      </c>
      <c r="B310" t="inlineStr">
        <is>
          <t>BT180.N2 D82 1991</t>
        </is>
      </c>
      <c r="C310" t="inlineStr">
        <is>
          <t>0                      BT 0180000N  2                  D  82          1991</t>
        </is>
      </c>
      <c r="D310" t="inlineStr">
        <is>
          <t>Gender and the name of God : the Trinitarian baptismal formula / Ruth C. Duck.</t>
        </is>
      </c>
      <c r="F310" t="inlineStr">
        <is>
          <t>No</t>
        </is>
      </c>
      <c r="G310" t="inlineStr">
        <is>
          <t>1</t>
        </is>
      </c>
      <c r="H310" t="inlineStr">
        <is>
          <t>No</t>
        </is>
      </c>
      <c r="I310" t="inlineStr">
        <is>
          <t>No</t>
        </is>
      </c>
      <c r="J310" t="inlineStr">
        <is>
          <t>0</t>
        </is>
      </c>
      <c r="K310" t="inlineStr">
        <is>
          <t>Duck, Ruth C., 1947-</t>
        </is>
      </c>
      <c r="L310" t="inlineStr">
        <is>
          <t>Cleveland, Ohio : Pilgrim Press, c1991.</t>
        </is>
      </c>
      <c r="M310" t="inlineStr">
        <is>
          <t>1991</t>
        </is>
      </c>
      <c r="O310" t="inlineStr">
        <is>
          <t>eng</t>
        </is>
      </c>
      <c r="P310" t="inlineStr">
        <is>
          <t>nyu</t>
        </is>
      </c>
      <c r="R310" t="inlineStr">
        <is>
          <t xml:space="preserve">BT </t>
        </is>
      </c>
      <c r="S310" t="n">
        <v>5</v>
      </c>
      <c r="T310" t="n">
        <v>5</v>
      </c>
      <c r="U310" t="inlineStr">
        <is>
          <t>1997-05-08</t>
        </is>
      </c>
      <c r="V310" t="inlineStr">
        <is>
          <t>1997-05-08</t>
        </is>
      </c>
      <c r="W310" t="inlineStr">
        <is>
          <t>1995-01-17</t>
        </is>
      </c>
      <c r="X310" t="inlineStr">
        <is>
          <t>1995-01-17</t>
        </is>
      </c>
      <c r="Y310" t="n">
        <v>214</v>
      </c>
      <c r="Z310" t="n">
        <v>173</v>
      </c>
      <c r="AA310" t="n">
        <v>178</v>
      </c>
      <c r="AB310" t="n">
        <v>2</v>
      </c>
      <c r="AC310" t="n">
        <v>2</v>
      </c>
      <c r="AD310" t="n">
        <v>11</v>
      </c>
      <c r="AE310" t="n">
        <v>11</v>
      </c>
      <c r="AF310" t="n">
        <v>3</v>
      </c>
      <c r="AG310" t="n">
        <v>3</v>
      </c>
      <c r="AH310" t="n">
        <v>2</v>
      </c>
      <c r="AI310" t="n">
        <v>2</v>
      </c>
      <c r="AJ310" t="n">
        <v>8</v>
      </c>
      <c r="AK310" t="n">
        <v>8</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HYPERLINK("https://creighton-primo.hosted.exlibrisgroup.com/primo-explore/search?tab=default_tab&amp;search_scope=EVERYTHING&amp;vid=01CRU&amp;lang=en_US&amp;offset=0&amp;query=any,contains,991001873109702656","Catalog Record")</f>
        <v/>
      </c>
      <c r="AT310">
        <f>HYPERLINK("http://www.worldcat.org/oclc/23650845","WorldCat Record")</f>
        <v/>
      </c>
      <c r="AU310" t="inlineStr">
        <is>
          <t>890711262:eng</t>
        </is>
      </c>
      <c r="AV310" t="inlineStr">
        <is>
          <t>23650845</t>
        </is>
      </c>
      <c r="AW310" t="inlineStr">
        <is>
          <t>991001873109702656</t>
        </is>
      </c>
      <c r="AX310" t="inlineStr">
        <is>
          <t>991001873109702656</t>
        </is>
      </c>
      <c r="AY310" t="inlineStr">
        <is>
          <t>2271373070002656</t>
        </is>
      </c>
      <c r="AZ310" t="inlineStr">
        <is>
          <t>BOOK</t>
        </is>
      </c>
      <c r="BB310" t="inlineStr">
        <is>
          <t>9780829808940</t>
        </is>
      </c>
      <c r="BC310" t="inlineStr">
        <is>
          <t>32285001992774</t>
        </is>
      </c>
      <c r="BD310" t="inlineStr">
        <is>
          <t>893690984</t>
        </is>
      </c>
    </row>
    <row r="311">
      <c r="A311" t="inlineStr">
        <is>
          <t>No</t>
        </is>
      </c>
      <c r="B311" t="inlineStr">
        <is>
          <t>BT180.W67 C76</t>
        </is>
      </c>
      <c r="C311" t="inlineStr">
        <is>
          <t>0                      BT 0180000W  67                 C  76</t>
        </is>
      </c>
      <c r="D311" t="inlineStr">
        <is>
          <t>Theology of the Christian word : a study in history / Frederick E. Crowe.</t>
        </is>
      </c>
      <c r="F311" t="inlineStr">
        <is>
          <t>No</t>
        </is>
      </c>
      <c r="G311" t="inlineStr">
        <is>
          <t>1</t>
        </is>
      </c>
      <c r="H311" t="inlineStr">
        <is>
          <t>No</t>
        </is>
      </c>
      <c r="I311" t="inlineStr">
        <is>
          <t>No</t>
        </is>
      </c>
      <c r="J311" t="inlineStr">
        <is>
          <t>0</t>
        </is>
      </c>
      <c r="K311" t="inlineStr">
        <is>
          <t>Crowe, Frederick E.</t>
        </is>
      </c>
      <c r="L311" t="inlineStr">
        <is>
          <t>New York : Paulist Press, c1978.</t>
        </is>
      </c>
      <c r="M311" t="inlineStr">
        <is>
          <t>1978</t>
        </is>
      </c>
      <c r="O311" t="inlineStr">
        <is>
          <t>eng</t>
        </is>
      </c>
      <c r="P311" t="inlineStr">
        <is>
          <t>nyu</t>
        </is>
      </c>
      <c r="R311" t="inlineStr">
        <is>
          <t xml:space="preserve">BT </t>
        </is>
      </c>
      <c r="S311" t="n">
        <v>2</v>
      </c>
      <c r="T311" t="n">
        <v>2</v>
      </c>
      <c r="U311" t="inlineStr">
        <is>
          <t>2003-04-17</t>
        </is>
      </c>
      <c r="V311" t="inlineStr">
        <is>
          <t>2003-04-17</t>
        </is>
      </c>
      <c r="W311" t="inlineStr">
        <is>
          <t>1991-08-05</t>
        </is>
      </c>
      <c r="X311" t="inlineStr">
        <is>
          <t>1991-08-05</t>
        </is>
      </c>
      <c r="Y311" t="n">
        <v>281</v>
      </c>
      <c r="Z311" t="n">
        <v>228</v>
      </c>
      <c r="AA311" t="n">
        <v>235</v>
      </c>
      <c r="AB311" t="n">
        <v>2</v>
      </c>
      <c r="AC311" t="n">
        <v>2</v>
      </c>
      <c r="AD311" t="n">
        <v>30</v>
      </c>
      <c r="AE311" t="n">
        <v>30</v>
      </c>
      <c r="AF311" t="n">
        <v>10</v>
      </c>
      <c r="AG311" t="n">
        <v>10</v>
      </c>
      <c r="AH311" t="n">
        <v>5</v>
      </c>
      <c r="AI311" t="n">
        <v>5</v>
      </c>
      <c r="AJ311" t="n">
        <v>23</v>
      </c>
      <c r="AK311" t="n">
        <v>23</v>
      </c>
      <c r="AL311" t="n">
        <v>1</v>
      </c>
      <c r="AM311" t="n">
        <v>1</v>
      </c>
      <c r="AN311" t="n">
        <v>0</v>
      </c>
      <c r="AO311" t="n">
        <v>0</v>
      </c>
      <c r="AP311" t="inlineStr">
        <is>
          <t>No</t>
        </is>
      </c>
      <c r="AQ311" t="inlineStr">
        <is>
          <t>Yes</t>
        </is>
      </c>
      <c r="AR311">
        <f>HYPERLINK("http://catalog.hathitrust.org/Record/006762628","HathiTrust Record")</f>
        <v/>
      </c>
      <c r="AS311">
        <f>HYPERLINK("https://creighton-primo.hosted.exlibrisgroup.com/primo-explore/search?tab=default_tab&amp;search_scope=EVERYTHING&amp;vid=01CRU&amp;lang=en_US&amp;offset=0&amp;query=any,contains,991004631909702656","Catalog Record")</f>
        <v/>
      </c>
      <c r="AT311">
        <f>HYPERLINK("http://www.worldcat.org/oclc/4378343","WorldCat Record")</f>
        <v/>
      </c>
      <c r="AU311" t="inlineStr">
        <is>
          <t>14707374:eng</t>
        </is>
      </c>
      <c r="AV311" t="inlineStr">
        <is>
          <t>4378343</t>
        </is>
      </c>
      <c r="AW311" t="inlineStr">
        <is>
          <t>991004631909702656</t>
        </is>
      </c>
      <c r="AX311" t="inlineStr">
        <is>
          <t>991004631909702656</t>
        </is>
      </c>
      <c r="AY311" t="inlineStr">
        <is>
          <t>2265827370002656</t>
        </is>
      </c>
      <c r="AZ311" t="inlineStr">
        <is>
          <t>BOOK</t>
        </is>
      </c>
      <c r="BB311" t="inlineStr">
        <is>
          <t>9780809121069</t>
        </is>
      </c>
      <c r="BC311" t="inlineStr">
        <is>
          <t>32285000694694</t>
        </is>
      </c>
      <c r="BD311" t="inlineStr">
        <is>
          <t>893776228</t>
        </is>
      </c>
    </row>
    <row r="312">
      <c r="A312" t="inlineStr">
        <is>
          <t>No</t>
        </is>
      </c>
      <c r="B312" t="inlineStr">
        <is>
          <t>BT1803 .F24</t>
        </is>
      </c>
      <c r="C312" t="inlineStr">
        <is>
          <t>0                      BT 1803000F  24</t>
        </is>
      </c>
      <c r="D312" t="inlineStr">
        <is>
          <t>Has sin changed? / Seán Fagan. --</t>
        </is>
      </c>
      <c r="F312" t="inlineStr">
        <is>
          <t>No</t>
        </is>
      </c>
      <c r="G312" t="inlineStr">
        <is>
          <t>1</t>
        </is>
      </c>
      <c r="H312" t="inlineStr">
        <is>
          <t>No</t>
        </is>
      </c>
      <c r="I312" t="inlineStr">
        <is>
          <t>No</t>
        </is>
      </c>
      <c r="J312" t="inlineStr">
        <is>
          <t>0</t>
        </is>
      </c>
      <c r="K312" t="inlineStr">
        <is>
          <t>Fagan, Seán.</t>
        </is>
      </c>
      <c r="L312" t="inlineStr">
        <is>
          <t>Wilmington, Delaware : Michael Glazier, Inc., 1977.</t>
        </is>
      </c>
      <c r="M312" t="inlineStr">
        <is>
          <t>1977</t>
        </is>
      </c>
      <c r="O312" t="inlineStr">
        <is>
          <t>eng</t>
        </is>
      </c>
      <c r="P312" t="inlineStr">
        <is>
          <t>deu</t>
        </is>
      </c>
      <c r="R312" t="inlineStr">
        <is>
          <t xml:space="preserve">BT </t>
        </is>
      </c>
      <c r="S312" t="n">
        <v>6</v>
      </c>
      <c r="T312" t="n">
        <v>6</v>
      </c>
      <c r="U312" t="inlineStr">
        <is>
          <t>2000-03-20</t>
        </is>
      </c>
      <c r="V312" t="inlineStr">
        <is>
          <t>2000-03-20</t>
        </is>
      </c>
      <c r="W312" t="inlineStr">
        <is>
          <t>1990-08-02</t>
        </is>
      </c>
      <c r="X312" t="inlineStr">
        <is>
          <t>1990-08-02</t>
        </is>
      </c>
      <c r="Y312" t="n">
        <v>133</v>
      </c>
      <c r="Z312" t="n">
        <v>123</v>
      </c>
      <c r="AA312" t="n">
        <v>183</v>
      </c>
      <c r="AB312" t="n">
        <v>3</v>
      </c>
      <c r="AC312" t="n">
        <v>4</v>
      </c>
      <c r="AD312" t="n">
        <v>17</v>
      </c>
      <c r="AE312" t="n">
        <v>21</v>
      </c>
      <c r="AF312" t="n">
        <v>3</v>
      </c>
      <c r="AG312" t="n">
        <v>6</v>
      </c>
      <c r="AH312" t="n">
        <v>5</v>
      </c>
      <c r="AI312" t="n">
        <v>6</v>
      </c>
      <c r="AJ312" t="n">
        <v>11</v>
      </c>
      <c r="AK312" t="n">
        <v>13</v>
      </c>
      <c r="AL312" t="n">
        <v>2</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HYPERLINK("https://creighton-primo.hosted.exlibrisgroup.com/primo-explore/search?tab=default_tab&amp;search_scope=EVERYTHING&amp;vid=01CRU&amp;lang=en_US&amp;offset=0&amp;query=any,contains,991004485339702656","Catalog Record")</f>
        <v/>
      </c>
      <c r="AT312">
        <f>HYPERLINK("http://www.worldcat.org/oclc/3640179","WorldCat Record")</f>
        <v/>
      </c>
      <c r="AU312" t="inlineStr">
        <is>
          <t>913505:eng</t>
        </is>
      </c>
      <c r="AV312" t="inlineStr">
        <is>
          <t>3640179</t>
        </is>
      </c>
      <c r="AW312" t="inlineStr">
        <is>
          <t>991004485339702656</t>
        </is>
      </c>
      <c r="AX312" t="inlineStr">
        <is>
          <t>991004485339702656</t>
        </is>
      </c>
      <c r="AY312" t="inlineStr">
        <is>
          <t>2259799160002656</t>
        </is>
      </c>
      <c r="AZ312" t="inlineStr">
        <is>
          <t>BOOK</t>
        </is>
      </c>
      <c r="BB312" t="inlineStr">
        <is>
          <t>9780894530869</t>
        </is>
      </c>
      <c r="BC312" t="inlineStr">
        <is>
          <t>32285000263425</t>
        </is>
      </c>
      <c r="BD312" t="inlineStr">
        <is>
          <t>893436337</t>
        </is>
      </c>
    </row>
    <row r="313">
      <c r="A313" t="inlineStr">
        <is>
          <t>No</t>
        </is>
      </c>
      <c r="B313" t="inlineStr">
        <is>
          <t>BT1856 .D33 1975</t>
        </is>
      </c>
      <c r="C313" t="inlineStr">
        <is>
          <t>0                      BT 1856000D  33          1975</t>
        </is>
      </c>
      <c r="D313" t="inlineStr">
        <is>
          <t>What a modern Catholic believes about the commandments / by John Deedy.</t>
        </is>
      </c>
      <c r="F313" t="inlineStr">
        <is>
          <t>No</t>
        </is>
      </c>
      <c r="G313" t="inlineStr">
        <is>
          <t>1</t>
        </is>
      </c>
      <c r="H313" t="inlineStr">
        <is>
          <t>No</t>
        </is>
      </c>
      <c r="I313" t="inlineStr">
        <is>
          <t>No</t>
        </is>
      </c>
      <c r="J313" t="inlineStr">
        <is>
          <t>0</t>
        </is>
      </c>
      <c r="K313" t="inlineStr">
        <is>
          <t>Deedy, John G.</t>
        </is>
      </c>
      <c r="L313" t="inlineStr">
        <is>
          <t>Chicago : Thomas More Press [1975]</t>
        </is>
      </c>
      <c r="M313" t="inlineStr">
        <is>
          <t>1975</t>
        </is>
      </c>
      <c r="O313" t="inlineStr">
        <is>
          <t>eng</t>
        </is>
      </c>
      <c r="P313" t="inlineStr">
        <is>
          <t>ilu</t>
        </is>
      </c>
      <c r="R313" t="inlineStr">
        <is>
          <t xml:space="preserve">BT </t>
        </is>
      </c>
      <c r="S313" t="n">
        <v>2</v>
      </c>
      <c r="T313" t="n">
        <v>2</v>
      </c>
      <c r="U313" t="inlineStr">
        <is>
          <t>2009-12-02</t>
        </is>
      </c>
      <c r="V313" t="inlineStr">
        <is>
          <t>2009-12-02</t>
        </is>
      </c>
      <c r="W313" t="inlineStr">
        <is>
          <t>1991-11-07</t>
        </is>
      </c>
      <c r="X313" t="inlineStr">
        <is>
          <t>1991-11-07</t>
        </is>
      </c>
      <c r="Y313" t="n">
        <v>88</v>
      </c>
      <c r="Z313" t="n">
        <v>76</v>
      </c>
      <c r="AA313" t="n">
        <v>81</v>
      </c>
      <c r="AB313" t="n">
        <v>3</v>
      </c>
      <c r="AC313" t="n">
        <v>3</v>
      </c>
      <c r="AD313" t="n">
        <v>12</v>
      </c>
      <c r="AE313" t="n">
        <v>12</v>
      </c>
      <c r="AF313" t="n">
        <v>3</v>
      </c>
      <c r="AG313" t="n">
        <v>3</v>
      </c>
      <c r="AH313" t="n">
        <v>3</v>
      </c>
      <c r="AI313" t="n">
        <v>3</v>
      </c>
      <c r="AJ313" t="n">
        <v>9</v>
      </c>
      <c r="AK313" t="n">
        <v>9</v>
      </c>
      <c r="AL313" t="n">
        <v>1</v>
      </c>
      <c r="AM313" t="n">
        <v>1</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HYPERLINK("https://creighton-primo.hosted.exlibrisgroup.com/primo-explore/search?tab=default_tab&amp;search_scope=EVERYTHING&amp;vid=01CRU&amp;lang=en_US&amp;offset=0&amp;query=any,contains,991003921559702656","Catalog Record")</f>
        <v/>
      </c>
      <c r="AT313">
        <f>HYPERLINK("http://www.worldcat.org/oclc/1872092","WorldCat Record")</f>
        <v/>
      </c>
      <c r="AU313" t="inlineStr">
        <is>
          <t>5164538836:eng</t>
        </is>
      </c>
      <c r="AV313" t="inlineStr">
        <is>
          <t>1872092</t>
        </is>
      </c>
      <c r="AW313" t="inlineStr">
        <is>
          <t>991003921559702656</t>
        </is>
      </c>
      <c r="AX313" t="inlineStr">
        <is>
          <t>991003921559702656</t>
        </is>
      </c>
      <c r="AY313" t="inlineStr">
        <is>
          <t>2255373540002656</t>
        </is>
      </c>
      <c r="AZ313" t="inlineStr">
        <is>
          <t>BOOK</t>
        </is>
      </c>
      <c r="BC313" t="inlineStr">
        <is>
          <t>32285000809599</t>
        </is>
      </c>
      <c r="BD313" t="inlineStr">
        <is>
          <t>893605405</t>
        </is>
      </c>
    </row>
    <row r="314">
      <c r="A314" t="inlineStr">
        <is>
          <t>No</t>
        </is>
      </c>
      <c r="B314" t="inlineStr">
        <is>
          <t>BT19 .O25</t>
        </is>
      </c>
      <c r="C314" t="inlineStr">
        <is>
          <t>0                      BT 0019000O  25</t>
        </is>
      </c>
      <c r="D314" t="inlineStr">
        <is>
          <t>The case against dogma / Gerald O'Collins.</t>
        </is>
      </c>
      <c r="F314" t="inlineStr">
        <is>
          <t>No</t>
        </is>
      </c>
      <c r="G314" t="inlineStr">
        <is>
          <t>1</t>
        </is>
      </c>
      <c r="H314" t="inlineStr">
        <is>
          <t>No</t>
        </is>
      </c>
      <c r="I314" t="inlineStr">
        <is>
          <t>No</t>
        </is>
      </c>
      <c r="J314" t="inlineStr">
        <is>
          <t>0</t>
        </is>
      </c>
      <c r="K314" t="inlineStr">
        <is>
          <t>O'Collins, Gerald.</t>
        </is>
      </c>
      <c r="L314" t="inlineStr">
        <is>
          <t>New York : Paulist Press, [1975]</t>
        </is>
      </c>
      <c r="M314" t="inlineStr">
        <is>
          <t>1975</t>
        </is>
      </c>
      <c r="O314" t="inlineStr">
        <is>
          <t>eng</t>
        </is>
      </c>
      <c r="P314" t="inlineStr">
        <is>
          <t>nyu</t>
        </is>
      </c>
      <c r="R314" t="inlineStr">
        <is>
          <t xml:space="preserve">BT </t>
        </is>
      </c>
      <c r="S314" t="n">
        <v>3</v>
      </c>
      <c r="T314" t="n">
        <v>3</v>
      </c>
      <c r="U314" t="inlineStr">
        <is>
          <t>2001-11-20</t>
        </is>
      </c>
      <c r="V314" t="inlineStr">
        <is>
          <t>2001-11-20</t>
        </is>
      </c>
      <c r="W314" t="inlineStr">
        <is>
          <t>1991-06-12</t>
        </is>
      </c>
      <c r="X314" t="inlineStr">
        <is>
          <t>1991-06-12</t>
        </is>
      </c>
      <c r="Y314" t="n">
        <v>241</v>
      </c>
      <c r="Z314" t="n">
        <v>213</v>
      </c>
      <c r="AA314" t="n">
        <v>218</v>
      </c>
      <c r="AB314" t="n">
        <v>1</v>
      </c>
      <c r="AC314" t="n">
        <v>1</v>
      </c>
      <c r="AD314" t="n">
        <v>29</v>
      </c>
      <c r="AE314" t="n">
        <v>29</v>
      </c>
      <c r="AF314" t="n">
        <v>9</v>
      </c>
      <c r="AG314" t="n">
        <v>9</v>
      </c>
      <c r="AH314" t="n">
        <v>7</v>
      </c>
      <c r="AI314" t="n">
        <v>7</v>
      </c>
      <c r="AJ314" t="n">
        <v>23</v>
      </c>
      <c r="AK314" t="n">
        <v>23</v>
      </c>
      <c r="AL314" t="n">
        <v>0</v>
      </c>
      <c r="AM314" t="n">
        <v>0</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HYPERLINK("https://creighton-primo.hosted.exlibrisgroup.com/primo-explore/search?tab=default_tab&amp;search_scope=EVERYTHING&amp;vid=01CRU&amp;lang=en_US&amp;offset=0&amp;query=any,contains,991003661639702656","Catalog Record")</f>
        <v/>
      </c>
      <c r="AT314">
        <f>HYPERLINK("http://www.worldcat.org/oclc/1272518","WorldCat Record")</f>
        <v/>
      </c>
      <c r="AU314" t="inlineStr">
        <is>
          <t>2198586:eng</t>
        </is>
      </c>
      <c r="AV314" t="inlineStr">
        <is>
          <t>1272518</t>
        </is>
      </c>
      <c r="AW314" t="inlineStr">
        <is>
          <t>991003661639702656</t>
        </is>
      </c>
      <c r="AX314" t="inlineStr">
        <is>
          <t>991003661639702656</t>
        </is>
      </c>
      <c r="AY314" t="inlineStr">
        <is>
          <t>2266589780002656</t>
        </is>
      </c>
      <c r="AZ314" t="inlineStr">
        <is>
          <t>BOOK</t>
        </is>
      </c>
      <c r="BB314" t="inlineStr">
        <is>
          <t>9780809118533</t>
        </is>
      </c>
      <c r="BC314" t="inlineStr">
        <is>
          <t>32285000685510</t>
        </is>
      </c>
      <c r="BD314" t="inlineStr">
        <is>
          <t>893868682</t>
        </is>
      </c>
    </row>
    <row r="315">
      <c r="A315" t="inlineStr">
        <is>
          <t>No</t>
        </is>
      </c>
      <c r="B315" t="inlineStr">
        <is>
          <t>BT19 .P4</t>
        </is>
      </c>
      <c r="C315" t="inlineStr">
        <is>
          <t>0                      BT 0019000P  4</t>
        </is>
      </c>
      <c r="D315" t="inlineStr">
        <is>
          <t>Development of Christian doctrine : some historical prolegomena / by Jaroslav Pelikan.</t>
        </is>
      </c>
      <c r="F315" t="inlineStr">
        <is>
          <t>No</t>
        </is>
      </c>
      <c r="G315" t="inlineStr">
        <is>
          <t>1</t>
        </is>
      </c>
      <c r="H315" t="inlineStr">
        <is>
          <t>No</t>
        </is>
      </c>
      <c r="I315" t="inlineStr">
        <is>
          <t>No</t>
        </is>
      </c>
      <c r="J315" t="inlineStr">
        <is>
          <t>0</t>
        </is>
      </c>
      <c r="K315" t="inlineStr">
        <is>
          <t>Pelikan, Jaroslav, 1923-2006.</t>
        </is>
      </c>
      <c r="L315" t="inlineStr">
        <is>
          <t>New Haven, Yale University Press, 1969.</t>
        </is>
      </c>
      <c r="M315" t="inlineStr">
        <is>
          <t>1969</t>
        </is>
      </c>
      <c r="O315" t="inlineStr">
        <is>
          <t>eng</t>
        </is>
      </c>
      <c r="P315" t="inlineStr">
        <is>
          <t>ctu</t>
        </is>
      </c>
      <c r="R315" t="inlineStr">
        <is>
          <t xml:space="preserve">BT </t>
        </is>
      </c>
      <c r="S315" t="n">
        <v>5</v>
      </c>
      <c r="T315" t="n">
        <v>5</v>
      </c>
      <c r="U315" t="inlineStr">
        <is>
          <t>2010-04-13</t>
        </is>
      </c>
      <c r="V315" t="inlineStr">
        <is>
          <t>2010-04-13</t>
        </is>
      </c>
      <c r="W315" t="inlineStr">
        <is>
          <t>1991-06-12</t>
        </is>
      </c>
      <c r="X315" t="inlineStr">
        <is>
          <t>1991-06-12</t>
        </is>
      </c>
      <c r="Y315" t="n">
        <v>787</v>
      </c>
      <c r="Z315" t="n">
        <v>674</v>
      </c>
      <c r="AA315" t="n">
        <v>678</v>
      </c>
      <c r="AB315" t="n">
        <v>6</v>
      </c>
      <c r="AC315" t="n">
        <v>6</v>
      </c>
      <c r="AD315" t="n">
        <v>45</v>
      </c>
      <c r="AE315" t="n">
        <v>45</v>
      </c>
      <c r="AF315" t="n">
        <v>17</v>
      </c>
      <c r="AG315" t="n">
        <v>17</v>
      </c>
      <c r="AH315" t="n">
        <v>9</v>
      </c>
      <c r="AI315" t="n">
        <v>9</v>
      </c>
      <c r="AJ315" t="n">
        <v>25</v>
      </c>
      <c r="AK315" t="n">
        <v>25</v>
      </c>
      <c r="AL315" t="n">
        <v>5</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HYPERLINK("https://creighton-primo.hosted.exlibrisgroup.com/primo-explore/search?tab=default_tab&amp;search_scope=EVERYTHING&amp;vid=01CRU&amp;lang=en_US&amp;offset=0&amp;query=any,contains,991005437279702656","Catalog Record")</f>
        <v/>
      </c>
      <c r="AT315">
        <f>HYPERLINK("http://www.worldcat.org/oclc/5179","WorldCat Record")</f>
        <v/>
      </c>
      <c r="AU315" t="inlineStr">
        <is>
          <t>889611856:eng</t>
        </is>
      </c>
      <c r="AV315" t="inlineStr">
        <is>
          <t>5179</t>
        </is>
      </c>
      <c r="AW315" t="inlineStr">
        <is>
          <t>991005437279702656</t>
        </is>
      </c>
      <c r="AX315" t="inlineStr">
        <is>
          <t>991005437279702656</t>
        </is>
      </c>
      <c r="AY315" t="inlineStr">
        <is>
          <t>2264556750002656</t>
        </is>
      </c>
      <c r="AZ315" t="inlineStr">
        <is>
          <t>BOOK</t>
        </is>
      </c>
      <c r="BC315" t="inlineStr">
        <is>
          <t>32285000685528</t>
        </is>
      </c>
      <c r="BD315" t="inlineStr">
        <is>
          <t>893723012</t>
        </is>
      </c>
    </row>
    <row r="316">
      <c r="A316" t="inlineStr">
        <is>
          <t>No</t>
        </is>
      </c>
      <c r="B316" t="inlineStr">
        <is>
          <t>BT19 .T4413 1985</t>
        </is>
      </c>
      <c r="C316" t="inlineStr">
        <is>
          <t>0                      BT 0019000T  4413        1985</t>
        </is>
      </c>
      <c r="D316" t="inlineStr">
        <is>
          <t>Biblical faith : an evolutionary approach / Gerd Theissen.</t>
        </is>
      </c>
      <c r="F316" t="inlineStr">
        <is>
          <t>No</t>
        </is>
      </c>
      <c r="G316" t="inlineStr">
        <is>
          <t>1</t>
        </is>
      </c>
      <c r="H316" t="inlineStr">
        <is>
          <t>No</t>
        </is>
      </c>
      <c r="I316" t="inlineStr">
        <is>
          <t>No</t>
        </is>
      </c>
      <c r="J316" t="inlineStr">
        <is>
          <t>0</t>
        </is>
      </c>
      <c r="K316" t="inlineStr">
        <is>
          <t>Theissen, Gerd.</t>
        </is>
      </c>
      <c r="L316" t="inlineStr">
        <is>
          <t>Philadelphia : Fortress Press, 1985.</t>
        </is>
      </c>
      <c r="M316" t="inlineStr">
        <is>
          <t>1985</t>
        </is>
      </c>
      <c r="N316" t="inlineStr">
        <is>
          <t>1st Fortress Press ed.</t>
        </is>
      </c>
      <c r="O316" t="inlineStr">
        <is>
          <t>eng</t>
        </is>
      </c>
      <c r="P316" t="inlineStr">
        <is>
          <t>pau</t>
        </is>
      </c>
      <c r="R316" t="inlineStr">
        <is>
          <t xml:space="preserve">BT </t>
        </is>
      </c>
      <c r="S316" t="n">
        <v>3</v>
      </c>
      <c r="T316" t="n">
        <v>3</v>
      </c>
      <c r="U316" t="inlineStr">
        <is>
          <t>1992-08-14</t>
        </is>
      </c>
      <c r="V316" t="inlineStr">
        <is>
          <t>1992-08-14</t>
        </is>
      </c>
      <c r="W316" t="inlineStr">
        <is>
          <t>1990-05-24</t>
        </is>
      </c>
      <c r="X316" t="inlineStr">
        <is>
          <t>1990-05-24</t>
        </is>
      </c>
      <c r="Y316" t="n">
        <v>363</v>
      </c>
      <c r="Z316" t="n">
        <v>321</v>
      </c>
      <c r="AA316" t="n">
        <v>352</v>
      </c>
      <c r="AB316" t="n">
        <v>3</v>
      </c>
      <c r="AC316" t="n">
        <v>3</v>
      </c>
      <c r="AD316" t="n">
        <v>26</v>
      </c>
      <c r="AE316" t="n">
        <v>27</v>
      </c>
      <c r="AF316" t="n">
        <v>9</v>
      </c>
      <c r="AG316" t="n">
        <v>10</v>
      </c>
      <c r="AH316" t="n">
        <v>7</v>
      </c>
      <c r="AI316" t="n">
        <v>7</v>
      </c>
      <c r="AJ316" t="n">
        <v>15</v>
      </c>
      <c r="AK316" t="n">
        <v>16</v>
      </c>
      <c r="AL316" t="n">
        <v>2</v>
      </c>
      <c r="AM316" t="n">
        <v>2</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HYPERLINK("https://creighton-primo.hosted.exlibrisgroup.com/primo-explore/search?tab=default_tab&amp;search_scope=EVERYTHING&amp;vid=01CRU&amp;lang=en_US&amp;offset=0&amp;query=any,contains,991000501429702656","Catalog Record")</f>
        <v/>
      </c>
      <c r="AT316">
        <f>HYPERLINK("http://www.worldcat.org/oclc/11185925","WorldCat Record")</f>
        <v/>
      </c>
      <c r="AU316" t="inlineStr">
        <is>
          <t>2517089236:eng</t>
        </is>
      </c>
      <c r="AV316" t="inlineStr">
        <is>
          <t>11185925</t>
        </is>
      </c>
      <c r="AW316" t="inlineStr">
        <is>
          <t>991000501429702656</t>
        </is>
      </c>
      <c r="AX316" t="inlineStr">
        <is>
          <t>991000501429702656</t>
        </is>
      </c>
      <c r="AY316" t="inlineStr">
        <is>
          <t>2261851660002656</t>
        </is>
      </c>
      <c r="AZ316" t="inlineStr">
        <is>
          <t>BOOK</t>
        </is>
      </c>
      <c r="BB316" t="inlineStr">
        <is>
          <t>9780800618421</t>
        </is>
      </c>
      <c r="BC316" t="inlineStr">
        <is>
          <t>32285000166321</t>
        </is>
      </c>
      <c r="BD316" t="inlineStr">
        <is>
          <t>893225039</t>
        </is>
      </c>
    </row>
    <row r="317">
      <c r="A317" t="inlineStr">
        <is>
          <t>No</t>
        </is>
      </c>
      <c r="B317" t="inlineStr">
        <is>
          <t>BT198 .B64</t>
        </is>
      </c>
      <c r="C317" t="inlineStr">
        <is>
          <t>0                      BT 0198000B  64</t>
        </is>
      </c>
      <c r="D317" t="inlineStr">
        <is>
          <t>What manner of man? Sermons on Christ by St. Bonaventure. A translation with introd. and commentary by Zachary Hayes.</t>
        </is>
      </c>
      <c r="F317" t="inlineStr">
        <is>
          <t>No</t>
        </is>
      </c>
      <c r="G317" t="inlineStr">
        <is>
          <t>1</t>
        </is>
      </c>
      <c r="H317" t="inlineStr">
        <is>
          <t>No</t>
        </is>
      </c>
      <c r="I317" t="inlineStr">
        <is>
          <t>No</t>
        </is>
      </c>
      <c r="J317" t="inlineStr">
        <is>
          <t>0</t>
        </is>
      </c>
      <c r="K317" t="inlineStr">
        <is>
          <t>Bonaventure, Saint, Cardinal, approximately 1217-1274.</t>
        </is>
      </c>
      <c r="L317" t="inlineStr">
        <is>
          <t>Chicago, Franciscan Herald Press [1974]</t>
        </is>
      </c>
      <c r="M317" t="inlineStr">
        <is>
          <t>1974</t>
        </is>
      </c>
      <c r="O317" t="inlineStr">
        <is>
          <t>eng</t>
        </is>
      </c>
      <c r="P317" t="inlineStr">
        <is>
          <t>ilu</t>
        </is>
      </c>
      <c r="R317" t="inlineStr">
        <is>
          <t xml:space="preserve">BT </t>
        </is>
      </c>
      <c r="S317" t="n">
        <v>6</v>
      </c>
      <c r="T317" t="n">
        <v>6</v>
      </c>
      <c r="U317" t="inlineStr">
        <is>
          <t>2007-12-08</t>
        </is>
      </c>
      <c r="V317" t="inlineStr">
        <is>
          <t>2007-12-08</t>
        </is>
      </c>
      <c r="W317" t="inlineStr">
        <is>
          <t>1991-08-05</t>
        </is>
      </c>
      <c r="X317" t="inlineStr">
        <is>
          <t>1991-08-05</t>
        </is>
      </c>
      <c r="Y317" t="n">
        <v>147</v>
      </c>
      <c r="Z317" t="n">
        <v>135</v>
      </c>
      <c r="AA317" t="n">
        <v>135</v>
      </c>
      <c r="AB317" t="n">
        <v>2</v>
      </c>
      <c r="AC317" t="n">
        <v>2</v>
      </c>
      <c r="AD317" t="n">
        <v>13</v>
      </c>
      <c r="AE317" t="n">
        <v>13</v>
      </c>
      <c r="AF317" t="n">
        <v>2</v>
      </c>
      <c r="AG317" t="n">
        <v>2</v>
      </c>
      <c r="AH317" t="n">
        <v>5</v>
      </c>
      <c r="AI317" t="n">
        <v>5</v>
      </c>
      <c r="AJ317" t="n">
        <v>11</v>
      </c>
      <c r="AK317" t="n">
        <v>11</v>
      </c>
      <c r="AL317" t="n">
        <v>0</v>
      </c>
      <c r="AM317" t="n">
        <v>0</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HYPERLINK("https://creighton-primo.hosted.exlibrisgroup.com/primo-explore/search?tab=default_tab&amp;search_scope=EVERYTHING&amp;vid=01CRU&amp;lang=en_US&amp;offset=0&amp;query=any,contains,991003293329702656","Catalog Record")</f>
        <v/>
      </c>
      <c r="AT317">
        <f>HYPERLINK("http://www.worldcat.org/oclc/815043","WorldCat Record")</f>
        <v/>
      </c>
      <c r="AU317" t="inlineStr">
        <is>
          <t>192105729:eng</t>
        </is>
      </c>
      <c r="AV317" t="inlineStr">
        <is>
          <t>815043</t>
        </is>
      </c>
      <c r="AW317" t="inlineStr">
        <is>
          <t>991003293329702656</t>
        </is>
      </c>
      <c r="AX317" t="inlineStr">
        <is>
          <t>991003293329702656</t>
        </is>
      </c>
      <c r="AY317" t="inlineStr">
        <is>
          <t>2272595390002656</t>
        </is>
      </c>
      <c r="AZ317" t="inlineStr">
        <is>
          <t>BOOK</t>
        </is>
      </c>
      <c r="BB317" t="inlineStr">
        <is>
          <t>9780819904973</t>
        </is>
      </c>
      <c r="BC317" t="inlineStr">
        <is>
          <t>32285000694736</t>
        </is>
      </c>
      <c r="BD317" t="inlineStr">
        <is>
          <t>893793500</t>
        </is>
      </c>
    </row>
    <row r="318">
      <c r="A318" t="inlineStr">
        <is>
          <t>No</t>
        </is>
      </c>
      <c r="B318" t="inlineStr">
        <is>
          <t>BT198 .B654</t>
        </is>
      </c>
      <c r="C318" t="inlineStr">
        <is>
          <t>0                      BT 0198000B  654</t>
        </is>
      </c>
      <c r="D318" t="inlineStr">
        <is>
          <t>Contemporary Christologies : a Jewish response / Eugene B. Borowitz.</t>
        </is>
      </c>
      <c r="F318" t="inlineStr">
        <is>
          <t>No</t>
        </is>
      </c>
      <c r="G318" t="inlineStr">
        <is>
          <t>1</t>
        </is>
      </c>
      <c r="H318" t="inlineStr">
        <is>
          <t>No</t>
        </is>
      </c>
      <c r="I318" t="inlineStr">
        <is>
          <t>No</t>
        </is>
      </c>
      <c r="J318" t="inlineStr">
        <is>
          <t>0</t>
        </is>
      </c>
      <c r="K318" t="inlineStr">
        <is>
          <t>Borowitz, Eugene B.</t>
        </is>
      </c>
      <c r="L318" t="inlineStr">
        <is>
          <t>New York : Paulist Press, c1980.</t>
        </is>
      </c>
      <c r="M318" t="inlineStr">
        <is>
          <t>1980</t>
        </is>
      </c>
      <c r="O318" t="inlineStr">
        <is>
          <t>eng</t>
        </is>
      </c>
      <c r="P318" t="inlineStr">
        <is>
          <t>nyu</t>
        </is>
      </c>
      <c r="R318" t="inlineStr">
        <is>
          <t xml:space="preserve">BT </t>
        </is>
      </c>
      <c r="S318" t="n">
        <v>4</v>
      </c>
      <c r="T318" t="n">
        <v>4</v>
      </c>
      <c r="U318" t="inlineStr">
        <is>
          <t>1994-04-19</t>
        </is>
      </c>
      <c r="V318" t="inlineStr">
        <is>
          <t>1994-04-19</t>
        </is>
      </c>
      <c r="W318" t="inlineStr">
        <is>
          <t>1991-08-05</t>
        </is>
      </c>
      <c r="X318" t="inlineStr">
        <is>
          <t>1991-08-05</t>
        </is>
      </c>
      <c r="Y318" t="n">
        <v>628</v>
      </c>
      <c r="Z318" t="n">
        <v>545</v>
      </c>
      <c r="AA318" t="n">
        <v>552</v>
      </c>
      <c r="AB318" t="n">
        <v>7</v>
      </c>
      <c r="AC318" t="n">
        <v>7</v>
      </c>
      <c r="AD318" t="n">
        <v>38</v>
      </c>
      <c r="AE318" t="n">
        <v>38</v>
      </c>
      <c r="AF318" t="n">
        <v>15</v>
      </c>
      <c r="AG318" t="n">
        <v>15</v>
      </c>
      <c r="AH318" t="n">
        <v>8</v>
      </c>
      <c r="AI318" t="n">
        <v>8</v>
      </c>
      <c r="AJ318" t="n">
        <v>23</v>
      </c>
      <c r="AK318" t="n">
        <v>23</v>
      </c>
      <c r="AL318" t="n">
        <v>5</v>
      </c>
      <c r="AM318" t="n">
        <v>5</v>
      </c>
      <c r="AN318" t="n">
        <v>0</v>
      </c>
      <c r="AO318" t="n">
        <v>0</v>
      </c>
      <c r="AP318" t="inlineStr">
        <is>
          <t>No</t>
        </is>
      </c>
      <c r="AQ318" t="inlineStr">
        <is>
          <t>Yes</t>
        </is>
      </c>
      <c r="AR318">
        <f>HYPERLINK("http://catalog.hathitrust.org/Record/000227507","HathiTrust Record")</f>
        <v/>
      </c>
      <c r="AS318">
        <f>HYPERLINK("https://creighton-primo.hosted.exlibrisgroup.com/primo-explore/search?tab=default_tab&amp;search_scope=EVERYTHING&amp;vid=01CRU&amp;lang=en_US&amp;offset=0&amp;query=any,contains,991005073439702656","Catalog Record")</f>
        <v/>
      </c>
      <c r="AT318">
        <f>HYPERLINK("http://www.worldcat.org/oclc/7069055","WorldCat Record")</f>
        <v/>
      </c>
      <c r="AU318" t="inlineStr">
        <is>
          <t>24806539:eng</t>
        </is>
      </c>
      <c r="AV318" t="inlineStr">
        <is>
          <t>7069055</t>
        </is>
      </c>
      <c r="AW318" t="inlineStr">
        <is>
          <t>991005073439702656</t>
        </is>
      </c>
      <c r="AX318" t="inlineStr">
        <is>
          <t>991005073439702656</t>
        </is>
      </c>
      <c r="AY318" t="inlineStr">
        <is>
          <t>2264836340002656</t>
        </is>
      </c>
      <c r="AZ318" t="inlineStr">
        <is>
          <t>BOOK</t>
        </is>
      </c>
      <c r="BB318" t="inlineStr">
        <is>
          <t>9780809123056</t>
        </is>
      </c>
      <c r="BC318" t="inlineStr">
        <is>
          <t>32285000694744</t>
        </is>
      </c>
      <c r="BD318" t="inlineStr">
        <is>
          <t>893526844</t>
        </is>
      </c>
    </row>
    <row r="319">
      <c r="A319" t="inlineStr">
        <is>
          <t>No</t>
        </is>
      </c>
      <c r="B319" t="inlineStr">
        <is>
          <t>BT198 .B76</t>
        </is>
      </c>
      <c r="C319" t="inlineStr">
        <is>
          <t>0                      BT 0198000B  76</t>
        </is>
      </c>
      <c r="D319" t="inlineStr">
        <is>
          <t>Which Jesus? / by John Wick Bowman.</t>
        </is>
      </c>
      <c r="F319" t="inlineStr">
        <is>
          <t>No</t>
        </is>
      </c>
      <c r="G319" t="inlineStr">
        <is>
          <t>1</t>
        </is>
      </c>
      <c r="H319" t="inlineStr">
        <is>
          <t>No</t>
        </is>
      </c>
      <c r="I319" t="inlineStr">
        <is>
          <t>No</t>
        </is>
      </c>
      <c r="J319" t="inlineStr">
        <is>
          <t>0</t>
        </is>
      </c>
      <c r="K319" t="inlineStr">
        <is>
          <t>Bowman, John W.</t>
        </is>
      </c>
      <c r="L319" t="inlineStr">
        <is>
          <t>Philadelphia, Westminster Press [1970]</t>
        </is>
      </c>
      <c r="M319" t="inlineStr">
        <is>
          <t>1970</t>
        </is>
      </c>
      <c r="O319" t="inlineStr">
        <is>
          <t>eng</t>
        </is>
      </c>
      <c r="P319" t="inlineStr">
        <is>
          <t>pau</t>
        </is>
      </c>
      <c r="R319" t="inlineStr">
        <is>
          <t xml:space="preserve">BT </t>
        </is>
      </c>
      <c r="S319" t="n">
        <v>9</v>
      </c>
      <c r="T319" t="n">
        <v>9</v>
      </c>
      <c r="U319" t="inlineStr">
        <is>
          <t>2001-02-07</t>
        </is>
      </c>
      <c r="V319" t="inlineStr">
        <is>
          <t>2001-02-07</t>
        </is>
      </c>
      <c r="W319" t="inlineStr">
        <is>
          <t>1990-03-29</t>
        </is>
      </c>
      <c r="X319" t="inlineStr">
        <is>
          <t>1990-03-29</t>
        </is>
      </c>
      <c r="Y319" t="n">
        <v>369</v>
      </c>
      <c r="Z319" t="n">
        <v>336</v>
      </c>
      <c r="AA319" t="n">
        <v>345</v>
      </c>
      <c r="AB319" t="n">
        <v>3</v>
      </c>
      <c r="AC319" t="n">
        <v>3</v>
      </c>
      <c r="AD319" t="n">
        <v>25</v>
      </c>
      <c r="AE319" t="n">
        <v>26</v>
      </c>
      <c r="AF319" t="n">
        <v>8</v>
      </c>
      <c r="AG319" t="n">
        <v>9</v>
      </c>
      <c r="AH319" t="n">
        <v>6</v>
      </c>
      <c r="AI319" t="n">
        <v>6</v>
      </c>
      <c r="AJ319" t="n">
        <v>17</v>
      </c>
      <c r="AK319" t="n">
        <v>17</v>
      </c>
      <c r="AL319" t="n">
        <v>2</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HYPERLINK("https://creighton-primo.hosted.exlibrisgroup.com/primo-explore/search?tab=default_tab&amp;search_scope=EVERYTHING&amp;vid=01CRU&amp;lang=en_US&amp;offset=0&amp;query=any,contains,991001214919702656","Catalog Record")</f>
        <v/>
      </c>
      <c r="AT319">
        <f>HYPERLINK("http://www.worldcat.org/oclc/193661","WorldCat Record")</f>
        <v/>
      </c>
      <c r="AU319" t="inlineStr">
        <is>
          <t>1357473:eng</t>
        </is>
      </c>
      <c r="AV319" t="inlineStr">
        <is>
          <t>193661</t>
        </is>
      </c>
      <c r="AW319" t="inlineStr">
        <is>
          <t>991001214919702656</t>
        </is>
      </c>
      <c r="AX319" t="inlineStr">
        <is>
          <t>991001214919702656</t>
        </is>
      </c>
      <c r="AY319" t="inlineStr">
        <is>
          <t>2268830150002656</t>
        </is>
      </c>
      <c r="AZ319" t="inlineStr">
        <is>
          <t>BOOK</t>
        </is>
      </c>
      <c r="BB319" t="inlineStr">
        <is>
          <t>9780664248796</t>
        </is>
      </c>
      <c r="BC319" t="inlineStr">
        <is>
          <t>32285000106632</t>
        </is>
      </c>
      <c r="BD319" t="inlineStr">
        <is>
          <t>893407952</t>
        </is>
      </c>
    </row>
    <row r="320">
      <c r="A320" t="inlineStr">
        <is>
          <t>No</t>
        </is>
      </c>
      <c r="B320" t="inlineStr">
        <is>
          <t>BT198 .B826 1985</t>
        </is>
      </c>
      <c r="C320" t="inlineStr">
        <is>
          <t>0                      BT 0198000B  826         1985</t>
        </is>
      </c>
      <c r="D320" t="inlineStr">
        <is>
          <t>Jesus in European Protestant thought, 1778-1860 / Colin Brown.</t>
        </is>
      </c>
      <c r="F320" t="inlineStr">
        <is>
          <t>No</t>
        </is>
      </c>
      <c r="G320" t="inlineStr">
        <is>
          <t>1</t>
        </is>
      </c>
      <c r="H320" t="inlineStr">
        <is>
          <t>No</t>
        </is>
      </c>
      <c r="I320" t="inlineStr">
        <is>
          <t>No</t>
        </is>
      </c>
      <c r="J320" t="inlineStr">
        <is>
          <t>0</t>
        </is>
      </c>
      <c r="K320" t="inlineStr">
        <is>
          <t>Brown, Colin, 1932-</t>
        </is>
      </c>
      <c r="L320" t="inlineStr">
        <is>
          <t>Durham, N.C. : Labyrinth Press, c1985.</t>
        </is>
      </c>
      <c r="M320" t="inlineStr">
        <is>
          <t>1984</t>
        </is>
      </c>
      <c r="O320" t="inlineStr">
        <is>
          <t>eng</t>
        </is>
      </c>
      <c r="P320" t="inlineStr">
        <is>
          <t>ncu</t>
        </is>
      </c>
      <c r="Q320" t="inlineStr">
        <is>
          <t>Studies in historical theology ; 1</t>
        </is>
      </c>
      <c r="R320" t="inlineStr">
        <is>
          <t xml:space="preserve">BT </t>
        </is>
      </c>
      <c r="S320" t="n">
        <v>2</v>
      </c>
      <c r="T320" t="n">
        <v>2</v>
      </c>
      <c r="U320" t="inlineStr">
        <is>
          <t>1992-02-20</t>
        </is>
      </c>
      <c r="V320" t="inlineStr">
        <is>
          <t>1992-02-20</t>
        </is>
      </c>
      <c r="W320" t="inlineStr">
        <is>
          <t>1991-08-05</t>
        </is>
      </c>
      <c r="X320" t="inlineStr">
        <is>
          <t>1991-08-05</t>
        </is>
      </c>
      <c r="Y320" t="n">
        <v>309</v>
      </c>
      <c r="Z320" t="n">
        <v>264</v>
      </c>
      <c r="AA320" t="n">
        <v>359</v>
      </c>
      <c r="AB320" t="n">
        <v>2</v>
      </c>
      <c r="AC320" t="n">
        <v>2</v>
      </c>
      <c r="AD320" t="n">
        <v>14</v>
      </c>
      <c r="AE320" t="n">
        <v>19</v>
      </c>
      <c r="AF320" t="n">
        <v>5</v>
      </c>
      <c r="AG320" t="n">
        <v>8</v>
      </c>
      <c r="AH320" t="n">
        <v>3</v>
      </c>
      <c r="AI320" t="n">
        <v>4</v>
      </c>
      <c r="AJ320" t="n">
        <v>9</v>
      </c>
      <c r="AK320" t="n">
        <v>13</v>
      </c>
      <c r="AL320" t="n">
        <v>0</v>
      </c>
      <c r="AM320" t="n">
        <v>0</v>
      </c>
      <c r="AN320" t="n">
        <v>0</v>
      </c>
      <c r="AO320" t="n">
        <v>0</v>
      </c>
      <c r="AP320" t="inlineStr">
        <is>
          <t>No</t>
        </is>
      </c>
      <c r="AQ320" t="inlineStr">
        <is>
          <t>Yes</t>
        </is>
      </c>
      <c r="AR320">
        <f>HYPERLINK("http://catalog.hathitrust.org/Record/000668568","HathiTrust Record")</f>
        <v/>
      </c>
      <c r="AS320">
        <f>HYPERLINK("https://creighton-primo.hosted.exlibrisgroup.com/primo-explore/search?tab=default_tab&amp;search_scope=EVERYTHING&amp;vid=01CRU&amp;lang=en_US&amp;offset=0&amp;query=any,contains,991000498399702656","Catalog Record")</f>
        <v/>
      </c>
      <c r="AT320">
        <f>HYPERLINK("http://www.worldcat.org/oclc/11158930","WorldCat Record")</f>
        <v/>
      </c>
      <c r="AU320" t="inlineStr">
        <is>
          <t>3831338:eng</t>
        </is>
      </c>
      <c r="AV320" t="inlineStr">
        <is>
          <t>11158930</t>
        </is>
      </c>
      <c r="AW320" t="inlineStr">
        <is>
          <t>991000498399702656</t>
        </is>
      </c>
      <c r="AX320" t="inlineStr">
        <is>
          <t>991000498399702656</t>
        </is>
      </c>
      <c r="AY320" t="inlineStr">
        <is>
          <t>2254876190002656</t>
        </is>
      </c>
      <c r="AZ320" t="inlineStr">
        <is>
          <t>BOOK</t>
        </is>
      </c>
      <c r="BB320" t="inlineStr">
        <is>
          <t>9780939464180</t>
        </is>
      </c>
      <c r="BC320" t="inlineStr">
        <is>
          <t>32285000694769</t>
        </is>
      </c>
      <c r="BD320" t="inlineStr">
        <is>
          <t>893225032</t>
        </is>
      </c>
    </row>
    <row r="321">
      <c r="A321" t="inlineStr">
        <is>
          <t>No</t>
        </is>
      </c>
      <c r="B321" t="inlineStr">
        <is>
          <t>BT198 .B84 1972</t>
        </is>
      </c>
      <c r="C321" t="inlineStr">
        <is>
          <t>0                      BT 0198000B  84          1972</t>
        </is>
      </c>
      <c r="D321" t="inlineStr">
        <is>
          <t>The christological awareness of Clement of Rome and its sources.</t>
        </is>
      </c>
      <c r="F321" t="inlineStr">
        <is>
          <t>No</t>
        </is>
      </c>
      <c r="G321" t="inlineStr">
        <is>
          <t>1</t>
        </is>
      </c>
      <c r="H321" t="inlineStr">
        <is>
          <t>No</t>
        </is>
      </c>
      <c r="I321" t="inlineStr">
        <is>
          <t>No</t>
        </is>
      </c>
      <c r="J321" t="inlineStr">
        <is>
          <t>0</t>
        </is>
      </c>
      <c r="K321" t="inlineStr">
        <is>
          <t>Bumpus, Harold Bertram.</t>
        </is>
      </c>
      <c r="L321" t="inlineStr">
        <is>
          <t>[Cambridge, Mass.] University Press of Cambridge, 1972.</t>
        </is>
      </c>
      <c r="M321" t="inlineStr">
        <is>
          <t>1972</t>
        </is>
      </c>
      <c r="O321" t="inlineStr">
        <is>
          <t>eng</t>
        </is>
      </c>
      <c r="P321" t="inlineStr">
        <is>
          <t>___</t>
        </is>
      </c>
      <c r="R321" t="inlineStr">
        <is>
          <t xml:space="preserve">BT </t>
        </is>
      </c>
      <c r="S321" t="n">
        <v>2</v>
      </c>
      <c r="T321" t="n">
        <v>2</v>
      </c>
      <c r="U321" t="inlineStr">
        <is>
          <t>1994-04-19</t>
        </is>
      </c>
      <c r="V321" t="inlineStr">
        <is>
          <t>1994-04-19</t>
        </is>
      </c>
      <c r="W321" t="inlineStr">
        <is>
          <t>1991-08-05</t>
        </is>
      </c>
      <c r="X321" t="inlineStr">
        <is>
          <t>1991-08-05</t>
        </is>
      </c>
      <c r="Y321" t="n">
        <v>51</v>
      </c>
      <c r="Z321" t="n">
        <v>40</v>
      </c>
      <c r="AA321" t="n">
        <v>40</v>
      </c>
      <c r="AB321" t="n">
        <v>1</v>
      </c>
      <c r="AC321" t="n">
        <v>1</v>
      </c>
      <c r="AD321" t="n">
        <v>5</v>
      </c>
      <c r="AE321" t="n">
        <v>5</v>
      </c>
      <c r="AF321" t="n">
        <v>2</v>
      </c>
      <c r="AG321" t="n">
        <v>2</v>
      </c>
      <c r="AH321" t="n">
        <v>0</v>
      </c>
      <c r="AI321" t="n">
        <v>0</v>
      </c>
      <c r="AJ321" t="n">
        <v>5</v>
      </c>
      <c r="AK321" t="n">
        <v>5</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HYPERLINK("https://creighton-primo.hosted.exlibrisgroup.com/primo-explore/search?tab=default_tab&amp;search_scope=EVERYTHING&amp;vid=01CRU&amp;lang=en_US&amp;offset=0&amp;query=any,contains,991003321659702656","Catalog Record")</f>
        <v/>
      </c>
      <c r="AT321">
        <f>HYPERLINK("http://www.worldcat.org/oclc/849679","WorldCat Record")</f>
        <v/>
      </c>
      <c r="AU321" t="inlineStr">
        <is>
          <t>1818654:eng</t>
        </is>
      </c>
      <c r="AV321" t="inlineStr">
        <is>
          <t>849679</t>
        </is>
      </c>
      <c r="AW321" t="inlineStr">
        <is>
          <t>991003321659702656</t>
        </is>
      </c>
      <c r="AX321" t="inlineStr">
        <is>
          <t>991003321659702656</t>
        </is>
      </c>
      <c r="AY321" t="inlineStr">
        <is>
          <t>2269334800002656</t>
        </is>
      </c>
      <c r="AZ321" t="inlineStr">
        <is>
          <t>BOOK</t>
        </is>
      </c>
      <c r="BC321" t="inlineStr">
        <is>
          <t>32285000694777</t>
        </is>
      </c>
      <c r="BD321" t="inlineStr">
        <is>
          <t>893505471</t>
        </is>
      </c>
    </row>
    <row r="322">
      <c r="A322" t="inlineStr">
        <is>
          <t>No</t>
        </is>
      </c>
      <c r="B322" t="inlineStr">
        <is>
          <t>BT198 .C32 1997</t>
        </is>
      </c>
      <c r="C322" t="inlineStr">
        <is>
          <t>0                      BT 0198000C  32          1997</t>
        </is>
      </c>
      <c r="D322" t="inlineStr">
        <is>
          <t>Jesus and the angels : angelology and the christology of the Apocalypse of John / Peter R. Carrell.</t>
        </is>
      </c>
      <c r="F322" t="inlineStr">
        <is>
          <t>No</t>
        </is>
      </c>
      <c r="G322" t="inlineStr">
        <is>
          <t>1</t>
        </is>
      </c>
      <c r="H322" t="inlineStr">
        <is>
          <t>No</t>
        </is>
      </c>
      <c r="I322" t="inlineStr">
        <is>
          <t>No</t>
        </is>
      </c>
      <c r="J322" t="inlineStr">
        <is>
          <t>0</t>
        </is>
      </c>
      <c r="K322" t="inlineStr">
        <is>
          <t>Carrell, Peter R.</t>
        </is>
      </c>
      <c r="L322" t="inlineStr">
        <is>
          <t>Cambridge ; New York : Cambridge University Press, 1997.</t>
        </is>
      </c>
      <c r="M322" t="inlineStr">
        <is>
          <t>1997</t>
        </is>
      </c>
      <c r="O322" t="inlineStr">
        <is>
          <t>eng</t>
        </is>
      </c>
      <c r="P322" t="inlineStr">
        <is>
          <t>enk</t>
        </is>
      </c>
      <c r="Q322" t="inlineStr">
        <is>
          <t>Society for New Testament Studies. Monograph series ; 95</t>
        </is>
      </c>
      <c r="R322" t="inlineStr">
        <is>
          <t xml:space="preserve">BT </t>
        </is>
      </c>
      <c r="S322" t="n">
        <v>5</v>
      </c>
      <c r="T322" t="n">
        <v>5</v>
      </c>
      <c r="U322" t="inlineStr">
        <is>
          <t>2007-04-01</t>
        </is>
      </c>
      <c r="V322" t="inlineStr">
        <is>
          <t>2007-04-01</t>
        </is>
      </c>
      <c r="W322" t="inlineStr">
        <is>
          <t>1997-09-10</t>
        </is>
      </c>
      <c r="X322" t="inlineStr">
        <is>
          <t>1997-09-10</t>
        </is>
      </c>
      <c r="Y322" t="n">
        <v>396</v>
      </c>
      <c r="Z322" t="n">
        <v>300</v>
      </c>
      <c r="AA322" t="n">
        <v>306</v>
      </c>
      <c r="AB322" t="n">
        <v>2</v>
      </c>
      <c r="AC322" t="n">
        <v>2</v>
      </c>
      <c r="AD322" t="n">
        <v>24</v>
      </c>
      <c r="AE322" t="n">
        <v>24</v>
      </c>
      <c r="AF322" t="n">
        <v>12</v>
      </c>
      <c r="AG322" t="n">
        <v>12</v>
      </c>
      <c r="AH322" t="n">
        <v>5</v>
      </c>
      <c r="AI322" t="n">
        <v>5</v>
      </c>
      <c r="AJ322" t="n">
        <v>13</v>
      </c>
      <c r="AK322" t="n">
        <v>13</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HYPERLINK("https://creighton-primo.hosted.exlibrisgroup.com/primo-explore/search?tab=default_tab&amp;search_scope=EVERYTHING&amp;vid=01CRU&amp;lang=en_US&amp;offset=0&amp;query=any,contains,991002727739702656","Catalog Record")</f>
        <v/>
      </c>
      <c r="AT322">
        <f>HYPERLINK("http://www.worldcat.org/oclc/35770994","WorldCat Record")</f>
        <v/>
      </c>
      <c r="AU322" t="inlineStr">
        <is>
          <t>806962938:eng</t>
        </is>
      </c>
      <c r="AV322" t="inlineStr">
        <is>
          <t>35770994</t>
        </is>
      </c>
      <c r="AW322" t="inlineStr">
        <is>
          <t>991002727739702656</t>
        </is>
      </c>
      <c r="AX322" t="inlineStr">
        <is>
          <t>991002727739702656</t>
        </is>
      </c>
      <c r="AY322" t="inlineStr">
        <is>
          <t>2270901290002656</t>
        </is>
      </c>
      <c r="AZ322" t="inlineStr">
        <is>
          <t>BOOK</t>
        </is>
      </c>
      <c r="BB322" t="inlineStr">
        <is>
          <t>9780521590112</t>
        </is>
      </c>
      <c r="BC322" t="inlineStr">
        <is>
          <t>32285003004826</t>
        </is>
      </c>
      <c r="BD322" t="inlineStr">
        <is>
          <t>893773963</t>
        </is>
      </c>
    </row>
    <row r="323">
      <c r="A323" t="inlineStr">
        <is>
          <t>No</t>
        </is>
      </c>
      <c r="B323" t="inlineStr">
        <is>
          <t>BT198 .C43</t>
        </is>
      </c>
      <c r="C323" t="inlineStr">
        <is>
          <t>0                      BT 0198000C  43</t>
        </is>
      </c>
      <c r="D323" t="inlineStr">
        <is>
          <t>Christ and spirit in the New Testament / Edited by Barnabas Lindars and Stephen S. Smalley in honour of Charles Francis Digby Moule.</t>
        </is>
      </c>
      <c r="F323" t="inlineStr">
        <is>
          <t>No</t>
        </is>
      </c>
      <c r="G323" t="inlineStr">
        <is>
          <t>1</t>
        </is>
      </c>
      <c r="H323" t="inlineStr">
        <is>
          <t>No</t>
        </is>
      </c>
      <c r="I323" t="inlineStr">
        <is>
          <t>No</t>
        </is>
      </c>
      <c r="J323" t="inlineStr">
        <is>
          <t>0</t>
        </is>
      </c>
      <c r="L323" t="inlineStr">
        <is>
          <t>Cambridge [Eng.] University Press, 1973.</t>
        </is>
      </c>
      <c r="M323" t="inlineStr">
        <is>
          <t>1973</t>
        </is>
      </c>
      <c r="O323" t="inlineStr">
        <is>
          <t>eng</t>
        </is>
      </c>
      <c r="P323" t="inlineStr">
        <is>
          <t>enk</t>
        </is>
      </c>
      <c r="R323" t="inlineStr">
        <is>
          <t xml:space="preserve">BT </t>
        </is>
      </c>
      <c r="S323" t="n">
        <v>6</v>
      </c>
      <c r="T323" t="n">
        <v>6</v>
      </c>
      <c r="U323" t="inlineStr">
        <is>
          <t>2000-03-19</t>
        </is>
      </c>
      <c r="V323" t="inlineStr">
        <is>
          <t>2000-03-19</t>
        </is>
      </c>
      <c r="W323" t="inlineStr">
        <is>
          <t>1991-08-05</t>
        </is>
      </c>
      <c r="X323" t="inlineStr">
        <is>
          <t>1991-08-05</t>
        </is>
      </c>
      <c r="Y323" t="n">
        <v>557</v>
      </c>
      <c r="Z323" t="n">
        <v>405</v>
      </c>
      <c r="AA323" t="n">
        <v>408</v>
      </c>
      <c r="AB323" t="n">
        <v>3</v>
      </c>
      <c r="AC323" t="n">
        <v>3</v>
      </c>
      <c r="AD323" t="n">
        <v>32</v>
      </c>
      <c r="AE323" t="n">
        <v>32</v>
      </c>
      <c r="AF323" t="n">
        <v>12</v>
      </c>
      <c r="AG323" t="n">
        <v>12</v>
      </c>
      <c r="AH323" t="n">
        <v>8</v>
      </c>
      <c r="AI323" t="n">
        <v>8</v>
      </c>
      <c r="AJ323" t="n">
        <v>18</v>
      </c>
      <c r="AK323" t="n">
        <v>18</v>
      </c>
      <c r="AL323" t="n">
        <v>2</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HYPERLINK("https://creighton-primo.hosted.exlibrisgroup.com/primo-explore/search?tab=default_tab&amp;search_scope=EVERYTHING&amp;vid=01CRU&amp;lang=en_US&amp;offset=0&amp;query=any,contains,991003292499702656","Catalog Record")</f>
        <v/>
      </c>
      <c r="AT323">
        <f>HYPERLINK("http://www.worldcat.org/oclc/814434","WorldCat Record")</f>
        <v/>
      </c>
      <c r="AU323" t="inlineStr">
        <is>
          <t>350026338:eng</t>
        </is>
      </c>
      <c r="AV323" t="inlineStr">
        <is>
          <t>814434</t>
        </is>
      </c>
      <c r="AW323" t="inlineStr">
        <is>
          <t>991003292499702656</t>
        </is>
      </c>
      <c r="AX323" t="inlineStr">
        <is>
          <t>991003292499702656</t>
        </is>
      </c>
      <c r="AY323" t="inlineStr">
        <is>
          <t>2270138940002656</t>
        </is>
      </c>
      <c r="AZ323" t="inlineStr">
        <is>
          <t>BOOK</t>
        </is>
      </c>
      <c r="BB323" t="inlineStr">
        <is>
          <t>9780521201483</t>
        </is>
      </c>
      <c r="BC323" t="inlineStr">
        <is>
          <t>32285000694793</t>
        </is>
      </c>
      <c r="BD323" t="inlineStr">
        <is>
          <t>893805631</t>
        </is>
      </c>
    </row>
    <row r="324">
      <c r="A324" t="inlineStr">
        <is>
          <t>No</t>
        </is>
      </c>
      <c r="B324" t="inlineStr">
        <is>
          <t>BT198 .F88 1994</t>
        </is>
      </c>
      <c r="C324" t="inlineStr">
        <is>
          <t>0                      BT 0198000F  88          1994</t>
        </is>
      </c>
      <c r="D324" t="inlineStr">
        <is>
          <t>Christ and Christianity : studies in the formation of Christology / Reginald H. Fuller ; compiled, edited, and with an introduction by Robert Kahl.</t>
        </is>
      </c>
      <c r="F324" t="inlineStr">
        <is>
          <t>No</t>
        </is>
      </c>
      <c r="G324" t="inlineStr">
        <is>
          <t>1</t>
        </is>
      </c>
      <c r="H324" t="inlineStr">
        <is>
          <t>No</t>
        </is>
      </c>
      <c r="I324" t="inlineStr">
        <is>
          <t>No</t>
        </is>
      </c>
      <c r="J324" t="inlineStr">
        <is>
          <t>0</t>
        </is>
      </c>
      <c r="K324" t="inlineStr">
        <is>
          <t>Fuller, Reginald H. (Reginald Horace), 1915-2007.</t>
        </is>
      </c>
      <c r="L324" t="inlineStr">
        <is>
          <t>Valley Forge, Pa. : Trinity Press International, 1994.</t>
        </is>
      </c>
      <c r="M324" t="inlineStr">
        <is>
          <t>1994</t>
        </is>
      </c>
      <c r="N324" t="inlineStr">
        <is>
          <t>1st ed.</t>
        </is>
      </c>
      <c r="O324" t="inlineStr">
        <is>
          <t>eng</t>
        </is>
      </c>
      <c r="P324" t="inlineStr">
        <is>
          <t>pau</t>
        </is>
      </c>
      <c r="R324" t="inlineStr">
        <is>
          <t xml:space="preserve">BT </t>
        </is>
      </c>
      <c r="S324" t="n">
        <v>9</v>
      </c>
      <c r="T324" t="n">
        <v>9</v>
      </c>
      <c r="U324" t="inlineStr">
        <is>
          <t>2000-11-29</t>
        </is>
      </c>
      <c r="V324" t="inlineStr">
        <is>
          <t>2000-11-29</t>
        </is>
      </c>
      <c r="W324" t="inlineStr">
        <is>
          <t>1994-10-11</t>
        </is>
      </c>
      <c r="X324" t="inlineStr">
        <is>
          <t>1994-10-11</t>
        </is>
      </c>
      <c r="Y324" t="n">
        <v>252</v>
      </c>
      <c r="Z324" t="n">
        <v>207</v>
      </c>
      <c r="AA324" t="n">
        <v>207</v>
      </c>
      <c r="AB324" t="n">
        <v>1</v>
      </c>
      <c r="AC324" t="n">
        <v>1</v>
      </c>
      <c r="AD324" t="n">
        <v>19</v>
      </c>
      <c r="AE324" t="n">
        <v>19</v>
      </c>
      <c r="AF324" t="n">
        <v>11</v>
      </c>
      <c r="AG324" t="n">
        <v>11</v>
      </c>
      <c r="AH324" t="n">
        <v>4</v>
      </c>
      <c r="AI324" t="n">
        <v>4</v>
      </c>
      <c r="AJ324" t="n">
        <v>12</v>
      </c>
      <c r="AK324" t="n">
        <v>12</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HYPERLINK("https://creighton-primo.hosted.exlibrisgroup.com/primo-explore/search?tab=default_tab&amp;search_scope=EVERYTHING&amp;vid=01CRU&amp;lang=en_US&amp;offset=0&amp;query=any,contains,991002333189702656","Catalog Record")</f>
        <v/>
      </c>
      <c r="AT324">
        <f>HYPERLINK("http://www.worldcat.org/oclc/30359043","WorldCat Record")</f>
        <v/>
      </c>
      <c r="AU324" t="inlineStr">
        <is>
          <t>32080067:eng</t>
        </is>
      </c>
      <c r="AV324" t="inlineStr">
        <is>
          <t>30359043</t>
        </is>
      </c>
      <c r="AW324" t="inlineStr">
        <is>
          <t>991002333189702656</t>
        </is>
      </c>
      <c r="AX324" t="inlineStr">
        <is>
          <t>991002333189702656</t>
        </is>
      </c>
      <c r="AY324" t="inlineStr">
        <is>
          <t>2256901990002656</t>
        </is>
      </c>
      <c r="AZ324" t="inlineStr">
        <is>
          <t>BOOK</t>
        </is>
      </c>
      <c r="BB324" t="inlineStr">
        <is>
          <t>9781563380761</t>
        </is>
      </c>
      <c r="BC324" t="inlineStr">
        <is>
          <t>32285001949212</t>
        </is>
      </c>
      <c r="BD324" t="inlineStr">
        <is>
          <t>893257163</t>
        </is>
      </c>
    </row>
    <row r="325">
      <c r="A325" t="inlineStr">
        <is>
          <t>No</t>
        </is>
      </c>
      <c r="B325" t="inlineStr">
        <is>
          <t>BT198 .F95 1993</t>
        </is>
      </c>
      <c r="C325" t="inlineStr">
        <is>
          <t>0                      BT 0198000F  95          1993</t>
        </is>
      </c>
      <c r="D325" t="inlineStr">
        <is>
          <t>Jesus according to Paul / Victor Paul Furnish.</t>
        </is>
      </c>
      <c r="F325" t="inlineStr">
        <is>
          <t>No</t>
        </is>
      </c>
      <c r="G325" t="inlineStr">
        <is>
          <t>1</t>
        </is>
      </c>
      <c r="H325" t="inlineStr">
        <is>
          <t>No</t>
        </is>
      </c>
      <c r="I325" t="inlineStr">
        <is>
          <t>No</t>
        </is>
      </c>
      <c r="J325" t="inlineStr">
        <is>
          <t>0</t>
        </is>
      </c>
      <c r="K325" t="inlineStr">
        <is>
          <t>Furnish, Victor Paul.</t>
        </is>
      </c>
      <c r="L325" t="inlineStr">
        <is>
          <t>Cambridge ; New York : Cambridge University Press, 1993.</t>
        </is>
      </c>
      <c r="M325" t="inlineStr">
        <is>
          <t>1993</t>
        </is>
      </c>
      <c r="O325" t="inlineStr">
        <is>
          <t>eng</t>
        </is>
      </c>
      <c r="P325" t="inlineStr">
        <is>
          <t>enk</t>
        </is>
      </c>
      <c r="Q325" t="inlineStr">
        <is>
          <t>Understanding Jesus today</t>
        </is>
      </c>
      <c r="R325" t="inlineStr">
        <is>
          <t xml:space="preserve">BT </t>
        </is>
      </c>
      <c r="S325" t="n">
        <v>4</v>
      </c>
      <c r="T325" t="n">
        <v>4</v>
      </c>
      <c r="U325" t="inlineStr">
        <is>
          <t>1998-10-19</t>
        </is>
      </c>
      <c r="V325" t="inlineStr">
        <is>
          <t>1998-10-19</t>
        </is>
      </c>
      <c r="W325" t="inlineStr">
        <is>
          <t>1994-09-07</t>
        </is>
      </c>
      <c r="X325" t="inlineStr">
        <is>
          <t>1994-09-07</t>
        </is>
      </c>
      <c r="Y325" t="n">
        <v>446</v>
      </c>
      <c r="Z325" t="n">
        <v>332</v>
      </c>
      <c r="AA325" t="n">
        <v>344</v>
      </c>
      <c r="AB325" t="n">
        <v>5</v>
      </c>
      <c r="AC325" t="n">
        <v>5</v>
      </c>
      <c r="AD325" t="n">
        <v>30</v>
      </c>
      <c r="AE325" t="n">
        <v>30</v>
      </c>
      <c r="AF325" t="n">
        <v>11</v>
      </c>
      <c r="AG325" t="n">
        <v>11</v>
      </c>
      <c r="AH325" t="n">
        <v>5</v>
      </c>
      <c r="AI325" t="n">
        <v>5</v>
      </c>
      <c r="AJ325" t="n">
        <v>16</v>
      </c>
      <c r="AK325" t="n">
        <v>16</v>
      </c>
      <c r="AL325" t="n">
        <v>4</v>
      </c>
      <c r="AM325" t="n">
        <v>4</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HYPERLINK("https://creighton-primo.hosted.exlibrisgroup.com/primo-explore/search?tab=default_tab&amp;search_scope=EVERYTHING&amp;vid=01CRU&amp;lang=en_US&amp;offset=0&amp;query=any,contains,991002162109702656","Catalog Record")</f>
        <v/>
      </c>
      <c r="AT325">
        <f>HYPERLINK("http://www.worldcat.org/oclc/27814798","WorldCat Record")</f>
        <v/>
      </c>
      <c r="AU325" t="inlineStr">
        <is>
          <t>343419:eng</t>
        </is>
      </c>
      <c r="AV325" t="inlineStr">
        <is>
          <t>27814798</t>
        </is>
      </c>
      <c r="AW325" t="inlineStr">
        <is>
          <t>991002162109702656</t>
        </is>
      </c>
      <c r="AX325" t="inlineStr">
        <is>
          <t>991002162109702656</t>
        </is>
      </c>
      <c r="AY325" t="inlineStr">
        <is>
          <t>2259472100002656</t>
        </is>
      </c>
      <c r="AZ325" t="inlineStr">
        <is>
          <t>BOOK</t>
        </is>
      </c>
      <c r="BB325" t="inlineStr">
        <is>
          <t>9780521451932</t>
        </is>
      </c>
      <c r="BC325" t="inlineStr">
        <is>
          <t>32285001945095</t>
        </is>
      </c>
      <c r="BD325" t="inlineStr">
        <is>
          <t>893529616</t>
        </is>
      </c>
    </row>
    <row r="326">
      <c r="A326" t="inlineStr">
        <is>
          <t>No</t>
        </is>
      </c>
      <c r="B326" t="inlineStr">
        <is>
          <t>BT198 .G485 1998</t>
        </is>
      </c>
      <c r="C326" t="inlineStr">
        <is>
          <t>0                      BT 0198000G  485         1998</t>
        </is>
      </c>
      <c r="D326" t="inlineStr">
        <is>
          <t>Angelomorphic christology : antecedents and early evidence / by Charles A. Gieschen.</t>
        </is>
      </c>
      <c r="F326" t="inlineStr">
        <is>
          <t>No</t>
        </is>
      </c>
      <c r="G326" t="inlineStr">
        <is>
          <t>1</t>
        </is>
      </c>
      <c r="H326" t="inlineStr">
        <is>
          <t>No</t>
        </is>
      </c>
      <c r="I326" t="inlineStr">
        <is>
          <t>No</t>
        </is>
      </c>
      <c r="J326" t="inlineStr">
        <is>
          <t>0</t>
        </is>
      </c>
      <c r="K326" t="inlineStr">
        <is>
          <t>Gieschen, Charles A.</t>
        </is>
      </c>
      <c r="L326" t="inlineStr">
        <is>
          <t>Leiden ; Boston : Brill, 1998.</t>
        </is>
      </c>
      <c r="M326" t="inlineStr">
        <is>
          <t>1998</t>
        </is>
      </c>
      <c r="O326" t="inlineStr">
        <is>
          <t>eng</t>
        </is>
      </c>
      <c r="P326" t="inlineStr">
        <is>
          <t xml:space="preserve">ne </t>
        </is>
      </c>
      <c r="Q326" t="inlineStr">
        <is>
          <t>Arbeiten zur Geschichte des antiken Judentums und des Urchristentums, 0169-734X ; 42</t>
        </is>
      </c>
      <c r="R326" t="inlineStr">
        <is>
          <t xml:space="preserve">BT </t>
        </is>
      </c>
      <c r="S326" t="n">
        <v>2</v>
      </c>
      <c r="T326" t="n">
        <v>2</v>
      </c>
      <c r="U326" t="inlineStr">
        <is>
          <t>1999-05-14</t>
        </is>
      </c>
      <c r="V326" t="inlineStr">
        <is>
          <t>1999-05-14</t>
        </is>
      </c>
      <c r="W326" t="inlineStr">
        <is>
          <t>1999-04-27</t>
        </is>
      </c>
      <c r="X326" t="inlineStr">
        <is>
          <t>1999-04-27</t>
        </is>
      </c>
      <c r="Y326" t="n">
        <v>190</v>
      </c>
      <c r="Z326" t="n">
        <v>126</v>
      </c>
      <c r="AA326" t="n">
        <v>151</v>
      </c>
      <c r="AB326" t="n">
        <v>2</v>
      </c>
      <c r="AC326" t="n">
        <v>2</v>
      </c>
      <c r="AD326" t="n">
        <v>12</v>
      </c>
      <c r="AE326" t="n">
        <v>12</v>
      </c>
      <c r="AF326" t="n">
        <v>4</v>
      </c>
      <c r="AG326" t="n">
        <v>4</v>
      </c>
      <c r="AH326" t="n">
        <v>2</v>
      </c>
      <c r="AI326" t="n">
        <v>2</v>
      </c>
      <c r="AJ326" t="n">
        <v>8</v>
      </c>
      <c r="AK326" t="n">
        <v>8</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HYPERLINK("https://creighton-primo.hosted.exlibrisgroup.com/primo-explore/search?tab=default_tab&amp;search_scope=EVERYTHING&amp;vid=01CRU&amp;lang=en_US&amp;offset=0&amp;query=any,contains,991002884769702656","Catalog Record")</f>
        <v/>
      </c>
      <c r="AT326">
        <f>HYPERLINK("http://www.worldcat.org/oclc/38014247","WorldCat Record")</f>
        <v/>
      </c>
      <c r="AU326" t="inlineStr">
        <is>
          <t>890246196:eng</t>
        </is>
      </c>
      <c r="AV326" t="inlineStr">
        <is>
          <t>38014247</t>
        </is>
      </c>
      <c r="AW326" t="inlineStr">
        <is>
          <t>991002884769702656</t>
        </is>
      </c>
      <c r="AX326" t="inlineStr">
        <is>
          <t>991002884769702656</t>
        </is>
      </c>
      <c r="AY326" t="inlineStr">
        <is>
          <t>2268244310002656</t>
        </is>
      </c>
      <c r="AZ326" t="inlineStr">
        <is>
          <t>BOOK</t>
        </is>
      </c>
      <c r="BB326" t="inlineStr">
        <is>
          <t>9789004108400</t>
        </is>
      </c>
      <c r="BC326" t="inlineStr">
        <is>
          <t>32285003556494</t>
        </is>
      </c>
      <c r="BD326" t="inlineStr">
        <is>
          <t>893893125</t>
        </is>
      </c>
    </row>
    <row r="327">
      <c r="A327" t="inlineStr">
        <is>
          <t>No</t>
        </is>
      </c>
      <c r="B327" t="inlineStr">
        <is>
          <t>BT198 .G715 1990</t>
        </is>
      </c>
      <c r="C327" t="inlineStr">
        <is>
          <t>0                      BT 0198000G  715         1990</t>
        </is>
      </c>
      <c r="D327" t="inlineStr">
        <is>
          <t>Jesus after the Gospels : the Christ of the second century / Robert M. Grant.</t>
        </is>
      </c>
      <c r="F327" t="inlineStr">
        <is>
          <t>No</t>
        </is>
      </c>
      <c r="G327" t="inlineStr">
        <is>
          <t>1</t>
        </is>
      </c>
      <c r="H327" t="inlineStr">
        <is>
          <t>No</t>
        </is>
      </c>
      <c r="I327" t="inlineStr">
        <is>
          <t>No</t>
        </is>
      </c>
      <c r="J327" t="inlineStr">
        <is>
          <t>0</t>
        </is>
      </c>
      <c r="K327" t="inlineStr">
        <is>
          <t>Grant, Robert M. (Robert McQueen), 1917-2014.</t>
        </is>
      </c>
      <c r="L327" t="inlineStr">
        <is>
          <t>Louisville, Ky. : Westminster/John Knox Press, c1990.</t>
        </is>
      </c>
      <c r="M327" t="inlineStr">
        <is>
          <t>1990</t>
        </is>
      </c>
      <c r="N327" t="inlineStr">
        <is>
          <t>1st ed.</t>
        </is>
      </c>
      <c r="O327" t="inlineStr">
        <is>
          <t>eng</t>
        </is>
      </c>
      <c r="P327" t="inlineStr">
        <is>
          <t>kyu</t>
        </is>
      </c>
      <c r="R327" t="inlineStr">
        <is>
          <t xml:space="preserve">BT </t>
        </is>
      </c>
      <c r="S327" t="n">
        <v>4</v>
      </c>
      <c r="T327" t="n">
        <v>4</v>
      </c>
      <c r="U327" t="inlineStr">
        <is>
          <t>2007-09-15</t>
        </is>
      </c>
      <c r="V327" t="inlineStr">
        <is>
          <t>2007-09-15</t>
        </is>
      </c>
      <c r="W327" t="inlineStr">
        <is>
          <t>1991-02-22</t>
        </is>
      </c>
      <c r="X327" t="inlineStr">
        <is>
          <t>1991-02-22</t>
        </is>
      </c>
      <c r="Y327" t="n">
        <v>479</v>
      </c>
      <c r="Z327" t="n">
        <v>414</v>
      </c>
      <c r="AA327" t="n">
        <v>424</v>
      </c>
      <c r="AB327" t="n">
        <v>4</v>
      </c>
      <c r="AC327" t="n">
        <v>4</v>
      </c>
      <c r="AD327" t="n">
        <v>28</v>
      </c>
      <c r="AE327" t="n">
        <v>28</v>
      </c>
      <c r="AF327" t="n">
        <v>8</v>
      </c>
      <c r="AG327" t="n">
        <v>8</v>
      </c>
      <c r="AH327" t="n">
        <v>7</v>
      </c>
      <c r="AI327" t="n">
        <v>7</v>
      </c>
      <c r="AJ327" t="n">
        <v>16</v>
      </c>
      <c r="AK327" t="n">
        <v>16</v>
      </c>
      <c r="AL327" t="n">
        <v>3</v>
      </c>
      <c r="AM327" t="n">
        <v>3</v>
      </c>
      <c r="AN327" t="n">
        <v>0</v>
      </c>
      <c r="AO327" t="n">
        <v>0</v>
      </c>
      <c r="AP327" t="inlineStr">
        <is>
          <t>No</t>
        </is>
      </c>
      <c r="AQ327" t="inlineStr">
        <is>
          <t>Yes</t>
        </is>
      </c>
      <c r="AR327">
        <f>HYPERLINK("http://catalog.hathitrust.org/Record/002165559","HathiTrust Record")</f>
        <v/>
      </c>
      <c r="AS327">
        <f>HYPERLINK("https://creighton-primo.hosted.exlibrisgroup.com/primo-explore/search?tab=default_tab&amp;search_scope=EVERYTHING&amp;vid=01CRU&amp;lang=en_US&amp;offset=0&amp;query=any,contains,991001594299702656","Catalog Record")</f>
        <v/>
      </c>
      <c r="AT327">
        <f>HYPERLINK("http://www.worldcat.org/oclc/20596013","WorldCat Record")</f>
        <v/>
      </c>
      <c r="AU327" t="inlineStr">
        <is>
          <t>289347089:eng</t>
        </is>
      </c>
      <c r="AV327" t="inlineStr">
        <is>
          <t>20596013</t>
        </is>
      </c>
      <c r="AW327" t="inlineStr">
        <is>
          <t>991001594299702656</t>
        </is>
      </c>
      <c r="AX327" t="inlineStr">
        <is>
          <t>991001594299702656</t>
        </is>
      </c>
      <c r="AY327" t="inlineStr">
        <is>
          <t>2268882330002656</t>
        </is>
      </c>
      <c r="AZ327" t="inlineStr">
        <is>
          <t>BOOK</t>
        </is>
      </c>
      <c r="BB327" t="inlineStr">
        <is>
          <t>9780664219192</t>
        </is>
      </c>
      <c r="BC327" t="inlineStr">
        <is>
          <t>32285000492800</t>
        </is>
      </c>
      <c r="BD327" t="inlineStr">
        <is>
          <t>893903470</t>
        </is>
      </c>
    </row>
    <row r="328">
      <c r="A328" t="inlineStr">
        <is>
          <t>No</t>
        </is>
      </c>
      <c r="B328" t="inlineStr">
        <is>
          <t>BT198 .H34 1973</t>
        </is>
      </c>
      <c r="C328" t="inlineStr">
        <is>
          <t>0                      BT 0198000H  34          1973</t>
        </is>
      </c>
      <c r="D328" t="inlineStr">
        <is>
          <t>Christ and the universe : Teilhard de Chardin and the cosmos / by Robert Hale. Edited by Michael Meilach.</t>
        </is>
      </c>
      <c r="F328" t="inlineStr">
        <is>
          <t>No</t>
        </is>
      </c>
      <c r="G328" t="inlineStr">
        <is>
          <t>1</t>
        </is>
      </c>
      <c r="H328" t="inlineStr">
        <is>
          <t>No</t>
        </is>
      </c>
      <c r="I328" t="inlineStr">
        <is>
          <t>No</t>
        </is>
      </c>
      <c r="J328" t="inlineStr">
        <is>
          <t>0</t>
        </is>
      </c>
      <c r="K328" t="inlineStr">
        <is>
          <t>Hale, Robert, 1937-</t>
        </is>
      </c>
      <c r="L328" t="inlineStr">
        <is>
          <t>Chicago, Franciscan Herald Press [1973]</t>
        </is>
      </c>
      <c r="M328" t="inlineStr">
        <is>
          <t>1973</t>
        </is>
      </c>
      <c r="O328" t="inlineStr">
        <is>
          <t>eng</t>
        </is>
      </c>
      <c r="P328" t="inlineStr">
        <is>
          <t>ilu</t>
        </is>
      </c>
      <c r="R328" t="inlineStr">
        <is>
          <t xml:space="preserve">BT </t>
        </is>
      </c>
      <c r="S328" t="n">
        <v>8</v>
      </c>
      <c r="T328" t="n">
        <v>8</v>
      </c>
      <c r="U328" t="inlineStr">
        <is>
          <t>1999-02-04</t>
        </is>
      </c>
      <c r="V328" t="inlineStr">
        <is>
          <t>1999-02-04</t>
        </is>
      </c>
      <c r="W328" t="inlineStr">
        <is>
          <t>1991-08-05</t>
        </is>
      </c>
      <c r="X328" t="inlineStr">
        <is>
          <t>1991-08-05</t>
        </is>
      </c>
      <c r="Y328" t="n">
        <v>211</v>
      </c>
      <c r="Z328" t="n">
        <v>180</v>
      </c>
      <c r="AA328" t="n">
        <v>181</v>
      </c>
      <c r="AB328" t="n">
        <v>4</v>
      </c>
      <c r="AC328" t="n">
        <v>4</v>
      </c>
      <c r="AD328" t="n">
        <v>23</v>
      </c>
      <c r="AE328" t="n">
        <v>23</v>
      </c>
      <c r="AF328" t="n">
        <v>5</v>
      </c>
      <c r="AG328" t="n">
        <v>5</v>
      </c>
      <c r="AH328" t="n">
        <v>4</v>
      </c>
      <c r="AI328" t="n">
        <v>4</v>
      </c>
      <c r="AJ328" t="n">
        <v>18</v>
      </c>
      <c r="AK328" t="n">
        <v>18</v>
      </c>
      <c r="AL328" t="n">
        <v>2</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HYPERLINK("https://creighton-primo.hosted.exlibrisgroup.com/primo-explore/search?tab=default_tab&amp;search_scope=EVERYTHING&amp;vid=01CRU&amp;lang=en_US&amp;offset=0&amp;query=any,contains,991002951179702656","Catalog Record")</f>
        <v/>
      </c>
      <c r="AT328">
        <f>HYPERLINK("http://www.worldcat.org/oclc/538903","WorldCat Record")</f>
        <v/>
      </c>
      <c r="AU328" t="inlineStr">
        <is>
          <t>484506:eng</t>
        </is>
      </c>
      <c r="AV328" t="inlineStr">
        <is>
          <t>538903</t>
        </is>
      </c>
      <c r="AW328" t="inlineStr">
        <is>
          <t>991002951179702656</t>
        </is>
      </c>
      <c r="AX328" t="inlineStr">
        <is>
          <t>991002951179702656</t>
        </is>
      </c>
      <c r="AY328" t="inlineStr">
        <is>
          <t>2262480190002656</t>
        </is>
      </c>
      <c r="AZ328" t="inlineStr">
        <is>
          <t>BOOK</t>
        </is>
      </c>
      <c r="BB328" t="inlineStr">
        <is>
          <t>9780819904492</t>
        </is>
      </c>
      <c r="BC328" t="inlineStr">
        <is>
          <t>32285000694975</t>
        </is>
      </c>
      <c r="BD328" t="inlineStr">
        <is>
          <t>893717133</t>
        </is>
      </c>
    </row>
    <row r="329">
      <c r="A329" t="inlineStr">
        <is>
          <t>No</t>
        </is>
      </c>
      <c r="B329" t="inlineStr">
        <is>
          <t>BT198 .H465 1995</t>
        </is>
      </c>
      <c r="C329" t="inlineStr">
        <is>
          <t>0                      BT 0198000H  465         1995</t>
        </is>
      </c>
      <c r="D329" t="inlineStr">
        <is>
          <t>Studies in early christology / Martin Hengel.</t>
        </is>
      </c>
      <c r="F329" t="inlineStr">
        <is>
          <t>No</t>
        </is>
      </c>
      <c r="G329" t="inlineStr">
        <is>
          <t>1</t>
        </is>
      </c>
      <c r="H329" t="inlineStr">
        <is>
          <t>No</t>
        </is>
      </c>
      <c r="I329" t="inlineStr">
        <is>
          <t>No</t>
        </is>
      </c>
      <c r="J329" t="inlineStr">
        <is>
          <t>0</t>
        </is>
      </c>
      <c r="K329" t="inlineStr">
        <is>
          <t>Hengel, Martin.</t>
        </is>
      </c>
      <c r="L329" t="inlineStr">
        <is>
          <t>Edinburgh : T&amp;T Clark, 1995.</t>
        </is>
      </c>
      <c r="M329" t="inlineStr">
        <is>
          <t>1995</t>
        </is>
      </c>
      <c r="O329" t="inlineStr">
        <is>
          <t>eng</t>
        </is>
      </c>
      <c r="P329" t="inlineStr">
        <is>
          <t>stk</t>
        </is>
      </c>
      <c r="R329" t="inlineStr">
        <is>
          <t xml:space="preserve">BT </t>
        </is>
      </c>
      <c r="S329" t="n">
        <v>5</v>
      </c>
      <c r="T329" t="n">
        <v>5</v>
      </c>
      <c r="U329" t="inlineStr">
        <is>
          <t>2007-09-15</t>
        </is>
      </c>
      <c r="V329" t="inlineStr">
        <is>
          <t>2007-09-15</t>
        </is>
      </c>
      <c r="W329" t="inlineStr">
        <is>
          <t>1995-12-01</t>
        </is>
      </c>
      <c r="X329" t="inlineStr">
        <is>
          <t>1995-12-01</t>
        </is>
      </c>
      <c r="Y329" t="n">
        <v>392</v>
      </c>
      <c r="Z329" t="n">
        <v>286</v>
      </c>
      <c r="AA329" t="n">
        <v>298</v>
      </c>
      <c r="AB329" t="n">
        <v>1</v>
      </c>
      <c r="AC329" t="n">
        <v>1</v>
      </c>
      <c r="AD329" t="n">
        <v>20</v>
      </c>
      <c r="AE329" t="n">
        <v>21</v>
      </c>
      <c r="AF329" t="n">
        <v>8</v>
      </c>
      <c r="AG329" t="n">
        <v>8</v>
      </c>
      <c r="AH329" t="n">
        <v>6</v>
      </c>
      <c r="AI329" t="n">
        <v>6</v>
      </c>
      <c r="AJ329" t="n">
        <v>12</v>
      </c>
      <c r="AK329" t="n">
        <v>13</v>
      </c>
      <c r="AL329" t="n">
        <v>0</v>
      </c>
      <c r="AM329" t="n">
        <v>0</v>
      </c>
      <c r="AN329" t="n">
        <v>0</v>
      </c>
      <c r="AO329" t="n">
        <v>0</v>
      </c>
      <c r="AP329" t="inlineStr">
        <is>
          <t>No</t>
        </is>
      </c>
      <c r="AQ329" t="inlineStr">
        <is>
          <t>Yes</t>
        </is>
      </c>
      <c r="AR329">
        <f>HYPERLINK("http://catalog.hathitrust.org/Record/003018441","HathiTrust Record")</f>
        <v/>
      </c>
      <c r="AS329">
        <f>HYPERLINK("https://creighton-primo.hosted.exlibrisgroup.com/primo-explore/search?tab=default_tab&amp;search_scope=EVERYTHING&amp;vid=01CRU&amp;lang=en_US&amp;offset=0&amp;query=any,contains,991002568409702656","Catalog Record")</f>
        <v/>
      </c>
      <c r="AT329">
        <f>HYPERLINK("http://www.worldcat.org/oclc/33373941","WorldCat Record")</f>
        <v/>
      </c>
      <c r="AU329" t="inlineStr">
        <is>
          <t>37937087:eng</t>
        </is>
      </c>
      <c r="AV329" t="inlineStr">
        <is>
          <t>33373941</t>
        </is>
      </c>
      <c r="AW329" t="inlineStr">
        <is>
          <t>991002568409702656</t>
        </is>
      </c>
      <c r="AX329" t="inlineStr">
        <is>
          <t>991002568409702656</t>
        </is>
      </c>
      <c r="AY329" t="inlineStr">
        <is>
          <t>2263888510002656</t>
        </is>
      </c>
      <c r="AZ329" t="inlineStr">
        <is>
          <t>BOOK</t>
        </is>
      </c>
      <c r="BB329" t="inlineStr">
        <is>
          <t>9780567097057</t>
        </is>
      </c>
      <c r="BC329" t="inlineStr">
        <is>
          <t>32285002107919</t>
        </is>
      </c>
      <c r="BD329" t="inlineStr">
        <is>
          <t>893710437</t>
        </is>
      </c>
    </row>
    <row r="330">
      <c r="A330" t="inlineStr">
        <is>
          <t>No</t>
        </is>
      </c>
      <c r="B330" t="inlineStr">
        <is>
          <t>BT198 .H84 1987</t>
        </is>
      </c>
      <c r="C330" t="inlineStr">
        <is>
          <t>0                      BT 0198000H  84          1987</t>
        </is>
      </c>
      <c r="D330" t="inlineStr">
        <is>
          <t>Christ and his benefits : Christology and redemption in the New Testament / Arland J. Hultgren.</t>
        </is>
      </c>
      <c r="F330" t="inlineStr">
        <is>
          <t>No</t>
        </is>
      </c>
      <c r="G330" t="inlineStr">
        <is>
          <t>1</t>
        </is>
      </c>
      <c r="H330" t="inlineStr">
        <is>
          <t>No</t>
        </is>
      </c>
      <c r="I330" t="inlineStr">
        <is>
          <t>No</t>
        </is>
      </c>
      <c r="J330" t="inlineStr">
        <is>
          <t>0</t>
        </is>
      </c>
      <c r="K330" t="inlineStr">
        <is>
          <t>Hultgren, Arland J.</t>
        </is>
      </c>
      <c r="L330" t="inlineStr">
        <is>
          <t>Philadelphia : Fortress Press, c1987.</t>
        </is>
      </c>
      <c r="M330" t="inlineStr">
        <is>
          <t>1987</t>
        </is>
      </c>
      <c r="O330" t="inlineStr">
        <is>
          <t>eng</t>
        </is>
      </c>
      <c r="P330" t="inlineStr">
        <is>
          <t>pau</t>
        </is>
      </c>
      <c r="R330" t="inlineStr">
        <is>
          <t xml:space="preserve">BT </t>
        </is>
      </c>
      <c r="S330" t="n">
        <v>7</v>
      </c>
      <c r="T330" t="n">
        <v>7</v>
      </c>
      <c r="U330" t="inlineStr">
        <is>
          <t>2000-02-03</t>
        </is>
      </c>
      <c r="V330" t="inlineStr">
        <is>
          <t>2000-02-03</t>
        </is>
      </c>
      <c r="W330" t="inlineStr">
        <is>
          <t>1990-02-16</t>
        </is>
      </c>
      <c r="X330" t="inlineStr">
        <is>
          <t>1990-02-16</t>
        </is>
      </c>
      <c r="Y330" t="n">
        <v>335</v>
      </c>
      <c r="Z330" t="n">
        <v>251</v>
      </c>
      <c r="AA330" t="n">
        <v>259</v>
      </c>
      <c r="AB330" t="n">
        <v>1</v>
      </c>
      <c r="AC330" t="n">
        <v>1</v>
      </c>
      <c r="AD330" t="n">
        <v>15</v>
      </c>
      <c r="AE330" t="n">
        <v>15</v>
      </c>
      <c r="AF330" t="n">
        <v>7</v>
      </c>
      <c r="AG330" t="n">
        <v>7</v>
      </c>
      <c r="AH330" t="n">
        <v>4</v>
      </c>
      <c r="AI330" t="n">
        <v>4</v>
      </c>
      <c r="AJ330" t="n">
        <v>10</v>
      </c>
      <c r="AK330" t="n">
        <v>10</v>
      </c>
      <c r="AL330" t="n">
        <v>0</v>
      </c>
      <c r="AM330" t="n">
        <v>0</v>
      </c>
      <c r="AN330" t="n">
        <v>0</v>
      </c>
      <c r="AO330" t="n">
        <v>0</v>
      </c>
      <c r="AP330" t="inlineStr">
        <is>
          <t>No</t>
        </is>
      </c>
      <c r="AQ330" t="inlineStr">
        <is>
          <t>Yes</t>
        </is>
      </c>
      <c r="AR330">
        <f>HYPERLINK("http://catalog.hathitrust.org/Record/000831017","HathiTrust Record")</f>
        <v/>
      </c>
      <c r="AS330">
        <f>HYPERLINK("https://creighton-primo.hosted.exlibrisgroup.com/primo-explore/search?tab=default_tab&amp;search_scope=EVERYTHING&amp;vid=01CRU&amp;lang=en_US&amp;offset=0&amp;query=any,contains,991000988029702656","Catalog Record")</f>
        <v/>
      </c>
      <c r="AT330">
        <f>HYPERLINK("http://www.worldcat.org/oclc/15084049","WorldCat Record")</f>
        <v/>
      </c>
      <c r="AU330" t="inlineStr">
        <is>
          <t>9073746:eng</t>
        </is>
      </c>
      <c r="AV330" t="inlineStr">
        <is>
          <t>15084049</t>
        </is>
      </c>
      <c r="AW330" t="inlineStr">
        <is>
          <t>991000988029702656</t>
        </is>
      </c>
      <c r="AX330" t="inlineStr">
        <is>
          <t>991000988029702656</t>
        </is>
      </c>
      <c r="AY330" t="inlineStr">
        <is>
          <t>2254721420002656</t>
        </is>
      </c>
      <c r="AZ330" t="inlineStr">
        <is>
          <t>BOOK</t>
        </is>
      </c>
      <c r="BB330" t="inlineStr">
        <is>
          <t>9780800608613</t>
        </is>
      </c>
      <c r="BC330" t="inlineStr">
        <is>
          <t>32285000038785</t>
        </is>
      </c>
      <c r="BD330" t="inlineStr">
        <is>
          <t>893351735</t>
        </is>
      </c>
    </row>
    <row r="331">
      <c r="A331" t="inlineStr">
        <is>
          <t>No</t>
        </is>
      </c>
      <c r="B331" t="inlineStr">
        <is>
          <t>BT198 .J477 1995</t>
        </is>
      </c>
      <c r="C331" t="inlineStr">
        <is>
          <t>0                      BT 0198000J  477         1995</t>
        </is>
      </c>
      <c r="D331" t="inlineStr">
        <is>
          <t>Jesus under fire / Michael J. Wilkins, J.P. Moreland, general editors.</t>
        </is>
      </c>
      <c r="F331" t="inlineStr">
        <is>
          <t>No</t>
        </is>
      </c>
      <c r="G331" t="inlineStr">
        <is>
          <t>1</t>
        </is>
      </c>
      <c r="H331" t="inlineStr">
        <is>
          <t>No</t>
        </is>
      </c>
      <c r="I331" t="inlineStr">
        <is>
          <t>No</t>
        </is>
      </c>
      <c r="J331" t="inlineStr">
        <is>
          <t>0</t>
        </is>
      </c>
      <c r="L331" t="inlineStr">
        <is>
          <t>Grand Rapids, Mich. : Zondervan, c1995.</t>
        </is>
      </c>
      <c r="M331" t="inlineStr">
        <is>
          <t>1995</t>
        </is>
      </c>
      <c r="O331" t="inlineStr">
        <is>
          <t>eng</t>
        </is>
      </c>
      <c r="P331" t="inlineStr">
        <is>
          <t>miu</t>
        </is>
      </c>
      <c r="R331" t="inlineStr">
        <is>
          <t xml:space="preserve">BT </t>
        </is>
      </c>
      <c r="S331" t="n">
        <v>6</v>
      </c>
      <c r="T331" t="n">
        <v>6</v>
      </c>
      <c r="U331" t="inlineStr">
        <is>
          <t>2002-05-28</t>
        </is>
      </c>
      <c r="V331" t="inlineStr">
        <is>
          <t>2002-05-28</t>
        </is>
      </c>
      <c r="W331" t="inlineStr">
        <is>
          <t>1995-12-27</t>
        </is>
      </c>
      <c r="X331" t="inlineStr">
        <is>
          <t>1995-12-27</t>
        </is>
      </c>
      <c r="Y331" t="n">
        <v>480</v>
      </c>
      <c r="Z331" t="n">
        <v>433</v>
      </c>
      <c r="AA331" t="n">
        <v>501</v>
      </c>
      <c r="AB331" t="n">
        <v>4</v>
      </c>
      <c r="AC331" t="n">
        <v>5</v>
      </c>
      <c r="AD331" t="n">
        <v>20</v>
      </c>
      <c r="AE331" t="n">
        <v>23</v>
      </c>
      <c r="AF331" t="n">
        <v>11</v>
      </c>
      <c r="AG331" t="n">
        <v>12</v>
      </c>
      <c r="AH331" t="n">
        <v>2</v>
      </c>
      <c r="AI331" t="n">
        <v>4</v>
      </c>
      <c r="AJ331" t="n">
        <v>10</v>
      </c>
      <c r="AK331" t="n">
        <v>10</v>
      </c>
      <c r="AL331" t="n">
        <v>2</v>
      </c>
      <c r="AM331" t="n">
        <v>3</v>
      </c>
      <c r="AN331" t="n">
        <v>0</v>
      </c>
      <c r="AO331" t="n">
        <v>0</v>
      </c>
      <c r="AP331" t="inlineStr">
        <is>
          <t>No</t>
        </is>
      </c>
      <c r="AQ331" t="inlineStr">
        <is>
          <t>Yes</t>
        </is>
      </c>
      <c r="AR331">
        <f>HYPERLINK("http://catalog.hathitrust.org/Record/003014837","HathiTrust Record")</f>
        <v/>
      </c>
      <c r="AS331">
        <f>HYPERLINK("https://creighton-primo.hosted.exlibrisgroup.com/primo-explore/search?tab=default_tab&amp;search_scope=EVERYTHING&amp;vid=01CRU&amp;lang=en_US&amp;offset=0&amp;query=any,contains,991002425529702656","Catalog Record")</f>
        <v/>
      </c>
      <c r="AT331">
        <f>HYPERLINK("http://www.worldcat.org/oclc/31607330","WorldCat Record")</f>
        <v/>
      </c>
      <c r="AU331" t="inlineStr">
        <is>
          <t>473850661:eng</t>
        </is>
      </c>
      <c r="AV331" t="inlineStr">
        <is>
          <t>31607330</t>
        </is>
      </c>
      <c r="AW331" t="inlineStr">
        <is>
          <t>991002425529702656</t>
        </is>
      </c>
      <c r="AX331" t="inlineStr">
        <is>
          <t>991002425529702656</t>
        </is>
      </c>
      <c r="AY331" t="inlineStr">
        <is>
          <t>2264816480002656</t>
        </is>
      </c>
      <c r="AZ331" t="inlineStr">
        <is>
          <t>BOOK</t>
        </is>
      </c>
      <c r="BB331" t="inlineStr">
        <is>
          <t>9780310617006</t>
        </is>
      </c>
      <c r="BC331" t="inlineStr">
        <is>
          <t>32285002112828</t>
        </is>
      </c>
      <c r="BD331" t="inlineStr">
        <is>
          <t>893873499</t>
        </is>
      </c>
    </row>
    <row r="332">
      <c r="A332" t="inlineStr">
        <is>
          <t>No</t>
        </is>
      </c>
      <c r="B332" t="inlineStr">
        <is>
          <t>BT198 .J643 1998</t>
        </is>
      </c>
      <c r="C332" t="inlineStr">
        <is>
          <t>0                      BT 0198000J  643         1998</t>
        </is>
      </c>
      <c r="D332" t="inlineStr">
        <is>
          <t>God's final envoy : early Christology and Jesus' own view of his mission / Marinus de Jonge.</t>
        </is>
      </c>
      <c r="F332" t="inlineStr">
        <is>
          <t>No</t>
        </is>
      </c>
      <c r="G332" t="inlineStr">
        <is>
          <t>1</t>
        </is>
      </c>
      <c r="H332" t="inlineStr">
        <is>
          <t>No</t>
        </is>
      </c>
      <c r="I332" t="inlineStr">
        <is>
          <t>No</t>
        </is>
      </c>
      <c r="J332" t="inlineStr">
        <is>
          <t>0</t>
        </is>
      </c>
      <c r="K332" t="inlineStr">
        <is>
          <t>Jonge, M. de (Marinus), 1925-</t>
        </is>
      </c>
      <c r="L332" t="inlineStr">
        <is>
          <t>Grand Rapids, Mich. : W.B. Eerdmans Pub., c1998.</t>
        </is>
      </c>
      <c r="M332" t="inlineStr">
        <is>
          <t>1998</t>
        </is>
      </c>
      <c r="O332" t="inlineStr">
        <is>
          <t>eng</t>
        </is>
      </c>
      <c r="P332" t="inlineStr">
        <is>
          <t>miu</t>
        </is>
      </c>
      <c r="Q332" t="inlineStr">
        <is>
          <t>Studying the historical Jesus</t>
        </is>
      </c>
      <c r="R332" t="inlineStr">
        <is>
          <t xml:space="preserve">BT </t>
        </is>
      </c>
      <c r="S332" t="n">
        <v>3</v>
      </c>
      <c r="T332" t="n">
        <v>3</v>
      </c>
      <c r="U332" t="inlineStr">
        <is>
          <t>2006-08-22</t>
        </is>
      </c>
      <c r="V332" t="inlineStr">
        <is>
          <t>2006-08-22</t>
        </is>
      </c>
      <c r="W332" t="inlineStr">
        <is>
          <t>1999-09-02</t>
        </is>
      </c>
      <c r="X332" t="inlineStr">
        <is>
          <t>1999-09-02</t>
        </is>
      </c>
      <c r="Y332" t="n">
        <v>467</v>
      </c>
      <c r="Z332" t="n">
        <v>389</v>
      </c>
      <c r="AA332" t="n">
        <v>392</v>
      </c>
      <c r="AB332" t="n">
        <v>5</v>
      </c>
      <c r="AC332" t="n">
        <v>5</v>
      </c>
      <c r="AD332" t="n">
        <v>35</v>
      </c>
      <c r="AE332" t="n">
        <v>35</v>
      </c>
      <c r="AF332" t="n">
        <v>14</v>
      </c>
      <c r="AG332" t="n">
        <v>14</v>
      </c>
      <c r="AH332" t="n">
        <v>8</v>
      </c>
      <c r="AI332" t="n">
        <v>8</v>
      </c>
      <c r="AJ332" t="n">
        <v>21</v>
      </c>
      <c r="AK332" t="n">
        <v>21</v>
      </c>
      <c r="AL332" t="n">
        <v>4</v>
      </c>
      <c r="AM332" t="n">
        <v>4</v>
      </c>
      <c r="AN332" t="n">
        <v>0</v>
      </c>
      <c r="AO332" t="n">
        <v>0</v>
      </c>
      <c r="AP332" t="inlineStr">
        <is>
          <t>No</t>
        </is>
      </c>
      <c r="AQ332" t="inlineStr">
        <is>
          <t>Yes</t>
        </is>
      </c>
      <c r="AR332">
        <f>HYPERLINK("http://catalog.hathitrust.org/Record/004002308","HathiTrust Record")</f>
        <v/>
      </c>
      <c r="AS332">
        <f>HYPERLINK("https://creighton-primo.hosted.exlibrisgroup.com/primo-explore/search?tab=default_tab&amp;search_scope=EVERYTHING&amp;vid=01CRU&amp;lang=en_US&amp;offset=0&amp;query=any,contains,991002945849702656","Catalog Record")</f>
        <v/>
      </c>
      <c r="AT332">
        <f>HYPERLINK("http://www.worldcat.org/oclc/39223644","WorldCat Record")</f>
        <v/>
      </c>
      <c r="AU332" t="inlineStr">
        <is>
          <t>345750468:eng</t>
        </is>
      </c>
      <c r="AV332" t="inlineStr">
        <is>
          <t>39223644</t>
        </is>
      </c>
      <c r="AW332" t="inlineStr">
        <is>
          <t>991002945849702656</t>
        </is>
      </c>
      <c r="AX332" t="inlineStr">
        <is>
          <t>991002945849702656</t>
        </is>
      </c>
      <c r="AY332" t="inlineStr">
        <is>
          <t>2270641710002656</t>
        </is>
      </c>
      <c r="AZ332" t="inlineStr">
        <is>
          <t>BOOK</t>
        </is>
      </c>
      <c r="BB332" t="inlineStr">
        <is>
          <t>9780802844828</t>
        </is>
      </c>
      <c r="BC332" t="inlineStr">
        <is>
          <t>32285003586376</t>
        </is>
      </c>
      <c r="BD332" t="inlineStr">
        <is>
          <t>893434487</t>
        </is>
      </c>
    </row>
    <row r="333">
      <c r="A333" t="inlineStr">
        <is>
          <t>No</t>
        </is>
      </c>
      <c r="B333" t="inlineStr">
        <is>
          <t>BT198 .J78 1988</t>
        </is>
      </c>
      <c r="C333" t="inlineStr">
        <is>
          <t>0                      BT 0198000J  78          1988</t>
        </is>
      </c>
      <c r="D333" t="inlineStr">
        <is>
          <t>Messianic exegesis : christological interpretation of the Old Testament in early Christianity / Donald Juel.</t>
        </is>
      </c>
      <c r="F333" t="inlineStr">
        <is>
          <t>No</t>
        </is>
      </c>
      <c r="G333" t="inlineStr">
        <is>
          <t>1</t>
        </is>
      </c>
      <c r="H333" t="inlineStr">
        <is>
          <t>No</t>
        </is>
      </c>
      <c r="I333" t="inlineStr">
        <is>
          <t>No</t>
        </is>
      </c>
      <c r="J333" t="inlineStr">
        <is>
          <t>0</t>
        </is>
      </c>
      <c r="K333" t="inlineStr">
        <is>
          <t>Juel, Donald H. (Donald Harrisville)</t>
        </is>
      </c>
      <c r="L333" t="inlineStr">
        <is>
          <t>Philadelphia : Fortress Press, c1988.</t>
        </is>
      </c>
      <c r="M333" t="inlineStr">
        <is>
          <t>1988</t>
        </is>
      </c>
      <c r="O333" t="inlineStr">
        <is>
          <t>eng</t>
        </is>
      </c>
      <c r="P333" t="inlineStr">
        <is>
          <t>pau</t>
        </is>
      </c>
      <c r="R333" t="inlineStr">
        <is>
          <t xml:space="preserve">BT </t>
        </is>
      </c>
      <c r="S333" t="n">
        <v>7</v>
      </c>
      <c r="T333" t="n">
        <v>7</v>
      </c>
      <c r="U333" t="inlineStr">
        <is>
          <t>2006-11-15</t>
        </is>
      </c>
      <c r="V333" t="inlineStr">
        <is>
          <t>2006-11-15</t>
        </is>
      </c>
      <c r="W333" t="inlineStr">
        <is>
          <t>1991-08-05</t>
        </is>
      </c>
      <c r="X333" t="inlineStr">
        <is>
          <t>1991-08-05</t>
        </is>
      </c>
      <c r="Y333" t="n">
        <v>496</v>
      </c>
      <c r="Z333" t="n">
        <v>381</v>
      </c>
      <c r="AA333" t="n">
        <v>435</v>
      </c>
      <c r="AB333" t="n">
        <v>3</v>
      </c>
      <c r="AC333" t="n">
        <v>4</v>
      </c>
      <c r="AD333" t="n">
        <v>29</v>
      </c>
      <c r="AE333" t="n">
        <v>31</v>
      </c>
      <c r="AF333" t="n">
        <v>12</v>
      </c>
      <c r="AG333" t="n">
        <v>14</v>
      </c>
      <c r="AH333" t="n">
        <v>6</v>
      </c>
      <c r="AI333" t="n">
        <v>6</v>
      </c>
      <c r="AJ333" t="n">
        <v>17</v>
      </c>
      <c r="AK333" t="n">
        <v>18</v>
      </c>
      <c r="AL333" t="n">
        <v>2</v>
      </c>
      <c r="AM333" t="n">
        <v>2</v>
      </c>
      <c r="AN333" t="n">
        <v>0</v>
      </c>
      <c r="AO333" t="n">
        <v>0</v>
      </c>
      <c r="AP333" t="inlineStr">
        <is>
          <t>No</t>
        </is>
      </c>
      <c r="AQ333" t="inlineStr">
        <is>
          <t>Yes</t>
        </is>
      </c>
      <c r="AR333">
        <f>HYPERLINK("http://catalog.hathitrust.org/Record/000884749","HathiTrust Record")</f>
        <v/>
      </c>
      <c r="AS333">
        <f>HYPERLINK("https://creighton-primo.hosted.exlibrisgroup.com/primo-explore/search?tab=default_tab&amp;search_scope=EVERYTHING&amp;vid=01CRU&amp;lang=en_US&amp;offset=0&amp;query=any,contains,991001064439702656","Catalog Record")</f>
        <v/>
      </c>
      <c r="AT333">
        <f>HYPERLINK("http://www.worldcat.org/oclc/15792376","WorldCat Record")</f>
        <v/>
      </c>
      <c r="AU333" t="inlineStr">
        <is>
          <t>351131:eng</t>
        </is>
      </c>
      <c r="AV333" t="inlineStr">
        <is>
          <t>15792376</t>
        </is>
      </c>
      <c r="AW333" t="inlineStr">
        <is>
          <t>991001064439702656</t>
        </is>
      </c>
      <c r="AX333" t="inlineStr">
        <is>
          <t>991001064439702656</t>
        </is>
      </c>
      <c r="AY333" t="inlineStr">
        <is>
          <t>2261426270002656</t>
        </is>
      </c>
      <c r="AZ333" t="inlineStr">
        <is>
          <t>BOOK</t>
        </is>
      </c>
      <c r="BB333" t="inlineStr">
        <is>
          <t>9780800608408</t>
        </is>
      </c>
      <c r="BC333" t="inlineStr">
        <is>
          <t>32285000710045</t>
        </is>
      </c>
      <c r="BD333" t="inlineStr">
        <is>
          <t>893683990</t>
        </is>
      </c>
    </row>
    <row r="334">
      <c r="A334" t="inlineStr">
        <is>
          <t>No</t>
        </is>
      </c>
      <c r="B334" t="inlineStr">
        <is>
          <t>BT198 .K53 1993</t>
        </is>
      </c>
      <c r="C334" t="inlineStr">
        <is>
          <t>0                      BT 0198000K  53          1993</t>
        </is>
      </c>
      <c r="D334" t="inlineStr">
        <is>
          <t>Ace of freedoms : Thomas Merton's Christ / George Kilcourse.</t>
        </is>
      </c>
      <c r="F334" t="inlineStr">
        <is>
          <t>No</t>
        </is>
      </c>
      <c r="G334" t="inlineStr">
        <is>
          <t>1</t>
        </is>
      </c>
      <c r="H334" t="inlineStr">
        <is>
          <t>No</t>
        </is>
      </c>
      <c r="I334" t="inlineStr">
        <is>
          <t>No</t>
        </is>
      </c>
      <c r="J334" t="inlineStr">
        <is>
          <t>0</t>
        </is>
      </c>
      <c r="K334" t="inlineStr">
        <is>
          <t>Kilcourse, George, 1947-</t>
        </is>
      </c>
      <c r="L334" t="inlineStr">
        <is>
          <t>Notre Dame, Ind. : University of Notre Dame Press, c1993.</t>
        </is>
      </c>
      <c r="M334" t="inlineStr">
        <is>
          <t>1993</t>
        </is>
      </c>
      <c r="O334" t="inlineStr">
        <is>
          <t>eng</t>
        </is>
      </c>
      <c r="P334" t="inlineStr">
        <is>
          <t>inu</t>
        </is>
      </c>
      <c r="R334" t="inlineStr">
        <is>
          <t xml:space="preserve">BT </t>
        </is>
      </c>
      <c r="S334" t="n">
        <v>5</v>
      </c>
      <c r="T334" t="n">
        <v>5</v>
      </c>
      <c r="U334" t="inlineStr">
        <is>
          <t>1997-12-12</t>
        </is>
      </c>
      <c r="V334" t="inlineStr">
        <is>
          <t>1997-12-12</t>
        </is>
      </c>
      <c r="W334" t="inlineStr">
        <is>
          <t>1994-05-17</t>
        </is>
      </c>
      <c r="X334" t="inlineStr">
        <is>
          <t>1994-05-17</t>
        </is>
      </c>
      <c r="Y334" t="n">
        <v>383</v>
      </c>
      <c r="Z334" t="n">
        <v>334</v>
      </c>
      <c r="AA334" t="n">
        <v>341</v>
      </c>
      <c r="AB334" t="n">
        <v>3</v>
      </c>
      <c r="AC334" t="n">
        <v>3</v>
      </c>
      <c r="AD334" t="n">
        <v>29</v>
      </c>
      <c r="AE334" t="n">
        <v>29</v>
      </c>
      <c r="AF334" t="n">
        <v>11</v>
      </c>
      <c r="AG334" t="n">
        <v>11</v>
      </c>
      <c r="AH334" t="n">
        <v>7</v>
      </c>
      <c r="AI334" t="n">
        <v>7</v>
      </c>
      <c r="AJ334" t="n">
        <v>18</v>
      </c>
      <c r="AK334" t="n">
        <v>18</v>
      </c>
      <c r="AL334" t="n">
        <v>2</v>
      </c>
      <c r="AM334" t="n">
        <v>2</v>
      </c>
      <c r="AN334" t="n">
        <v>0</v>
      </c>
      <c r="AO334" t="n">
        <v>0</v>
      </c>
      <c r="AP334" t="inlineStr">
        <is>
          <t>No</t>
        </is>
      </c>
      <c r="AQ334" t="inlineStr">
        <is>
          <t>Yes</t>
        </is>
      </c>
      <c r="AR334">
        <f>HYPERLINK("http://catalog.hathitrust.org/Record/002648132","HathiTrust Record")</f>
        <v/>
      </c>
      <c r="AS334">
        <f>HYPERLINK("https://creighton-primo.hosted.exlibrisgroup.com/primo-explore/search?tab=default_tab&amp;search_scope=EVERYTHING&amp;vid=01CRU&amp;lang=en_US&amp;offset=0&amp;query=any,contains,991002139499702656","Catalog Record")</f>
        <v/>
      </c>
      <c r="AT334">
        <f>HYPERLINK("http://www.worldcat.org/oclc/27430917","WorldCat Record")</f>
        <v/>
      </c>
      <c r="AU334" t="inlineStr">
        <is>
          <t>141696586:eng</t>
        </is>
      </c>
      <c r="AV334" t="inlineStr">
        <is>
          <t>27430917</t>
        </is>
      </c>
      <c r="AW334" t="inlineStr">
        <is>
          <t>991002139499702656</t>
        </is>
      </c>
      <c r="AX334" t="inlineStr">
        <is>
          <t>991002139499702656</t>
        </is>
      </c>
      <c r="AY334" t="inlineStr">
        <is>
          <t>2266049210002656</t>
        </is>
      </c>
      <c r="AZ334" t="inlineStr">
        <is>
          <t>BOOK</t>
        </is>
      </c>
      <c r="BB334" t="inlineStr">
        <is>
          <t>9780268006365</t>
        </is>
      </c>
      <c r="BC334" t="inlineStr">
        <is>
          <t>32285001896629</t>
        </is>
      </c>
      <c r="BD334" t="inlineStr">
        <is>
          <t>893873154</t>
        </is>
      </c>
    </row>
    <row r="335">
      <c r="A335" t="inlineStr">
        <is>
          <t>No</t>
        </is>
      </c>
      <c r="B335" t="inlineStr">
        <is>
          <t>BT198 .K8713 1992</t>
        </is>
      </c>
      <c r="C335" t="inlineStr">
        <is>
          <t>0                      BT 0198000K  8713        1992</t>
        </is>
      </c>
      <c r="D335" t="inlineStr">
        <is>
          <t>Born before all time? : the dispute over Christ's origin / Karl-Josef Kuschel.</t>
        </is>
      </c>
      <c r="F335" t="inlineStr">
        <is>
          <t>No</t>
        </is>
      </c>
      <c r="G335" t="inlineStr">
        <is>
          <t>1</t>
        </is>
      </c>
      <c r="H335" t="inlineStr">
        <is>
          <t>No</t>
        </is>
      </c>
      <c r="I335" t="inlineStr">
        <is>
          <t>No</t>
        </is>
      </c>
      <c r="J335" t="inlineStr">
        <is>
          <t>0</t>
        </is>
      </c>
      <c r="K335" t="inlineStr">
        <is>
          <t>Kuschel, Karl-Josef, 1948-</t>
        </is>
      </c>
      <c r="L335" t="inlineStr">
        <is>
          <t>New York : Crossroad, 1992.</t>
        </is>
      </c>
      <c r="M335" t="inlineStr">
        <is>
          <t>1992</t>
        </is>
      </c>
      <c r="O335" t="inlineStr">
        <is>
          <t>eng</t>
        </is>
      </c>
      <c r="P335" t="inlineStr">
        <is>
          <t>nyu</t>
        </is>
      </c>
      <c r="R335" t="inlineStr">
        <is>
          <t xml:space="preserve">BT </t>
        </is>
      </c>
      <c r="S335" t="n">
        <v>2</v>
      </c>
      <c r="T335" t="n">
        <v>2</v>
      </c>
      <c r="U335" t="inlineStr">
        <is>
          <t>1993-07-11</t>
        </is>
      </c>
      <c r="V335" t="inlineStr">
        <is>
          <t>1993-07-11</t>
        </is>
      </c>
      <c r="W335" t="inlineStr">
        <is>
          <t>1993-06-10</t>
        </is>
      </c>
      <c r="X335" t="inlineStr">
        <is>
          <t>1993-06-10</t>
        </is>
      </c>
      <c r="Y335" t="n">
        <v>277</v>
      </c>
      <c r="Z335" t="n">
        <v>253</v>
      </c>
      <c r="AA335" t="n">
        <v>257</v>
      </c>
      <c r="AB335" t="n">
        <v>2</v>
      </c>
      <c r="AC335" t="n">
        <v>2</v>
      </c>
      <c r="AD335" t="n">
        <v>25</v>
      </c>
      <c r="AE335" t="n">
        <v>25</v>
      </c>
      <c r="AF335" t="n">
        <v>11</v>
      </c>
      <c r="AG335" t="n">
        <v>11</v>
      </c>
      <c r="AH335" t="n">
        <v>6</v>
      </c>
      <c r="AI335" t="n">
        <v>6</v>
      </c>
      <c r="AJ335" t="n">
        <v>16</v>
      </c>
      <c r="AK335" t="n">
        <v>16</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HYPERLINK("https://creighton-primo.hosted.exlibrisgroup.com/primo-explore/search?tab=default_tab&amp;search_scope=EVERYTHING&amp;vid=01CRU&amp;lang=en_US&amp;offset=0&amp;query=any,contains,991002103379702656","Catalog Record")</f>
        <v/>
      </c>
      <c r="AT335">
        <f>HYPERLINK("http://www.worldcat.org/oclc/26992814","WorldCat Record")</f>
        <v/>
      </c>
      <c r="AU335" t="inlineStr">
        <is>
          <t>9490275494:eng</t>
        </is>
      </c>
      <c r="AV335" t="inlineStr">
        <is>
          <t>26992814</t>
        </is>
      </c>
      <c r="AW335" t="inlineStr">
        <is>
          <t>991002103379702656</t>
        </is>
      </c>
      <c r="AX335" t="inlineStr">
        <is>
          <t>991002103379702656</t>
        </is>
      </c>
      <c r="AY335" t="inlineStr">
        <is>
          <t>2269899870002656</t>
        </is>
      </c>
      <c r="AZ335" t="inlineStr">
        <is>
          <t>BOOK</t>
        </is>
      </c>
      <c r="BB335" t="inlineStr">
        <is>
          <t>9780824512071</t>
        </is>
      </c>
      <c r="BC335" t="inlineStr">
        <is>
          <t>32285001584936</t>
        </is>
      </c>
      <c r="BD335" t="inlineStr">
        <is>
          <t>893873108</t>
        </is>
      </c>
    </row>
    <row r="336">
      <c r="A336" t="inlineStr">
        <is>
          <t>No</t>
        </is>
      </c>
      <c r="B336" t="inlineStr">
        <is>
          <t>BT198 .M295 1990</t>
        </is>
      </c>
      <c r="C336" t="inlineStr">
        <is>
          <t>0                      BT 0198000M  295         1990</t>
        </is>
      </c>
      <c r="D336" t="inlineStr">
        <is>
          <t>Jesus Christ in modern thought / John Macquarrie.</t>
        </is>
      </c>
      <c r="F336" t="inlineStr">
        <is>
          <t>No</t>
        </is>
      </c>
      <c r="G336" t="inlineStr">
        <is>
          <t>1</t>
        </is>
      </c>
      <c r="H336" t="inlineStr">
        <is>
          <t>No</t>
        </is>
      </c>
      <c r="I336" t="inlineStr">
        <is>
          <t>No</t>
        </is>
      </c>
      <c r="J336" t="inlineStr">
        <is>
          <t>0</t>
        </is>
      </c>
      <c r="K336" t="inlineStr">
        <is>
          <t>Macquarrie, John.</t>
        </is>
      </c>
      <c r="L336" t="inlineStr">
        <is>
          <t>London : SCM Press ; Philadelphia : Trinity Press International, 1990.</t>
        </is>
      </c>
      <c r="M336" t="inlineStr">
        <is>
          <t>1990</t>
        </is>
      </c>
      <c r="O336" t="inlineStr">
        <is>
          <t>eng</t>
        </is>
      </c>
      <c r="P336" t="inlineStr">
        <is>
          <t>enk</t>
        </is>
      </c>
      <c r="R336" t="inlineStr">
        <is>
          <t xml:space="preserve">BT </t>
        </is>
      </c>
      <c r="S336" t="n">
        <v>9</v>
      </c>
      <c r="T336" t="n">
        <v>9</v>
      </c>
      <c r="U336" t="inlineStr">
        <is>
          <t>2000-09-17</t>
        </is>
      </c>
      <c r="V336" t="inlineStr">
        <is>
          <t>2000-09-17</t>
        </is>
      </c>
      <c r="W336" t="inlineStr">
        <is>
          <t>1991-03-14</t>
        </is>
      </c>
      <c r="X336" t="inlineStr">
        <is>
          <t>1991-03-14</t>
        </is>
      </c>
      <c r="Y336" t="n">
        <v>711</v>
      </c>
      <c r="Z336" t="n">
        <v>536</v>
      </c>
      <c r="AA336" t="n">
        <v>549</v>
      </c>
      <c r="AB336" t="n">
        <v>6</v>
      </c>
      <c r="AC336" t="n">
        <v>6</v>
      </c>
      <c r="AD336" t="n">
        <v>43</v>
      </c>
      <c r="AE336" t="n">
        <v>43</v>
      </c>
      <c r="AF336" t="n">
        <v>16</v>
      </c>
      <c r="AG336" t="n">
        <v>16</v>
      </c>
      <c r="AH336" t="n">
        <v>9</v>
      </c>
      <c r="AI336" t="n">
        <v>9</v>
      </c>
      <c r="AJ336" t="n">
        <v>25</v>
      </c>
      <c r="AK336" t="n">
        <v>25</v>
      </c>
      <c r="AL336" t="n">
        <v>5</v>
      </c>
      <c r="AM336" t="n">
        <v>5</v>
      </c>
      <c r="AN336" t="n">
        <v>0</v>
      </c>
      <c r="AO336" t="n">
        <v>0</v>
      </c>
      <c r="AP336" t="inlineStr">
        <is>
          <t>No</t>
        </is>
      </c>
      <c r="AQ336" t="inlineStr">
        <is>
          <t>Yes</t>
        </is>
      </c>
      <c r="AR336">
        <f>HYPERLINK("http://catalog.hathitrust.org/Record/002171153","HathiTrust Record")</f>
        <v/>
      </c>
      <c r="AS336">
        <f>HYPERLINK("https://creighton-primo.hosted.exlibrisgroup.com/primo-explore/search?tab=default_tab&amp;search_scope=EVERYTHING&amp;vid=01CRU&amp;lang=en_US&amp;offset=0&amp;query=any,contains,991001648429702656","Catalog Record")</f>
        <v/>
      </c>
      <c r="AT336">
        <f>HYPERLINK("http://www.worldcat.org/oclc/21077740","WorldCat Record")</f>
        <v/>
      </c>
      <c r="AU336" t="inlineStr">
        <is>
          <t>10208467:eng</t>
        </is>
      </c>
      <c r="AV336" t="inlineStr">
        <is>
          <t>21077740</t>
        </is>
      </c>
      <c r="AW336" t="inlineStr">
        <is>
          <t>991001648429702656</t>
        </is>
      </c>
      <c r="AX336" t="inlineStr">
        <is>
          <t>991001648429702656</t>
        </is>
      </c>
      <c r="AY336" t="inlineStr">
        <is>
          <t>2270092620002656</t>
        </is>
      </c>
      <c r="AZ336" t="inlineStr">
        <is>
          <t>BOOK</t>
        </is>
      </c>
      <c r="BB336" t="inlineStr">
        <is>
          <t>9780334024460</t>
        </is>
      </c>
      <c r="BC336" t="inlineStr">
        <is>
          <t>32285000511997</t>
        </is>
      </c>
      <c r="BD336" t="inlineStr">
        <is>
          <t>893432982</t>
        </is>
      </c>
    </row>
    <row r="337">
      <c r="A337" t="inlineStr">
        <is>
          <t>No</t>
        </is>
      </c>
      <c r="B337" t="inlineStr">
        <is>
          <t>BT198 .M36</t>
        </is>
      </c>
      <c r="C337" t="inlineStr">
        <is>
          <t>0                      BT 0198000M  36</t>
        </is>
      </c>
      <c r="D337" t="inlineStr">
        <is>
          <t>The cosmic Christ : from Paul to Teilhard / [by] George A. Maloney.</t>
        </is>
      </c>
      <c r="F337" t="inlineStr">
        <is>
          <t>No</t>
        </is>
      </c>
      <c r="G337" t="inlineStr">
        <is>
          <t>1</t>
        </is>
      </c>
      <c r="H337" t="inlineStr">
        <is>
          <t>No</t>
        </is>
      </c>
      <c r="I337" t="inlineStr">
        <is>
          <t>No</t>
        </is>
      </c>
      <c r="J337" t="inlineStr">
        <is>
          <t>0</t>
        </is>
      </c>
      <c r="K337" t="inlineStr">
        <is>
          <t>Maloney, George A., 1924-2005.</t>
        </is>
      </c>
      <c r="L337" t="inlineStr">
        <is>
          <t>New York, Sheed and Ward [1968]</t>
        </is>
      </c>
      <c r="M337" t="inlineStr">
        <is>
          <t>1968</t>
        </is>
      </c>
      <c r="O337" t="inlineStr">
        <is>
          <t>eng</t>
        </is>
      </c>
      <c r="P337" t="inlineStr">
        <is>
          <t>nyu</t>
        </is>
      </c>
      <c r="R337" t="inlineStr">
        <is>
          <t xml:space="preserve">BT </t>
        </is>
      </c>
      <c r="S337" t="n">
        <v>4</v>
      </c>
      <c r="T337" t="n">
        <v>4</v>
      </c>
      <c r="U337" t="inlineStr">
        <is>
          <t>1994-06-14</t>
        </is>
      </c>
      <c r="V337" t="inlineStr">
        <is>
          <t>1994-06-14</t>
        </is>
      </c>
      <c r="W337" t="inlineStr">
        <is>
          <t>1991-08-05</t>
        </is>
      </c>
      <c r="X337" t="inlineStr">
        <is>
          <t>1991-08-05</t>
        </is>
      </c>
      <c r="Y337" t="n">
        <v>378</v>
      </c>
      <c r="Z337" t="n">
        <v>330</v>
      </c>
      <c r="AA337" t="n">
        <v>337</v>
      </c>
      <c r="AB337" t="n">
        <v>4</v>
      </c>
      <c r="AC337" t="n">
        <v>4</v>
      </c>
      <c r="AD337" t="n">
        <v>31</v>
      </c>
      <c r="AE337" t="n">
        <v>31</v>
      </c>
      <c r="AF337" t="n">
        <v>11</v>
      </c>
      <c r="AG337" t="n">
        <v>11</v>
      </c>
      <c r="AH337" t="n">
        <v>8</v>
      </c>
      <c r="AI337" t="n">
        <v>8</v>
      </c>
      <c r="AJ337" t="n">
        <v>21</v>
      </c>
      <c r="AK337" t="n">
        <v>21</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HYPERLINK("https://creighton-primo.hosted.exlibrisgroup.com/primo-explore/search?tab=default_tab&amp;search_scope=EVERYTHING&amp;vid=01CRU&amp;lang=en_US&amp;offset=0&amp;query=any,contains,991002774099702656","Catalog Record")</f>
        <v/>
      </c>
      <c r="AT337">
        <f>HYPERLINK("http://www.worldcat.org/oclc/438059","WorldCat Record")</f>
        <v/>
      </c>
      <c r="AU337" t="inlineStr">
        <is>
          <t>1560136:eng</t>
        </is>
      </c>
      <c r="AV337" t="inlineStr">
        <is>
          <t>438059</t>
        </is>
      </c>
      <c r="AW337" t="inlineStr">
        <is>
          <t>991002774099702656</t>
        </is>
      </c>
      <c r="AX337" t="inlineStr">
        <is>
          <t>991002774099702656</t>
        </is>
      </c>
      <c r="AY337" t="inlineStr">
        <is>
          <t>2265216130002656</t>
        </is>
      </c>
      <c r="AZ337" t="inlineStr">
        <is>
          <t>BOOK</t>
        </is>
      </c>
      <c r="BC337" t="inlineStr">
        <is>
          <t>32285000710086</t>
        </is>
      </c>
      <c r="BD337" t="inlineStr">
        <is>
          <t>893591758</t>
        </is>
      </c>
    </row>
    <row r="338">
      <c r="A338" t="inlineStr">
        <is>
          <t>No</t>
        </is>
      </c>
      <c r="B338" t="inlineStr">
        <is>
          <t>BT198 .M37</t>
        </is>
      </c>
      <c r="C338" t="inlineStr">
        <is>
          <t>0                      BT 0198000M  37</t>
        </is>
      </c>
      <c r="D338" t="inlineStr">
        <is>
          <t>Messianic philosophy : an historical and critical examination of the evidence for the existence, death, resurrection, ascension, and divinity of Jesus Christ / by Gideon W. B. Marsh.</t>
        </is>
      </c>
      <c r="F338" t="inlineStr">
        <is>
          <t>No</t>
        </is>
      </c>
      <c r="G338" t="inlineStr">
        <is>
          <t>1</t>
        </is>
      </c>
      <c r="H338" t="inlineStr">
        <is>
          <t>No</t>
        </is>
      </c>
      <c r="I338" t="inlineStr">
        <is>
          <t>No</t>
        </is>
      </c>
      <c r="J338" t="inlineStr">
        <is>
          <t>0</t>
        </is>
      </c>
      <c r="K338" t="inlineStr">
        <is>
          <t>Marsh, Gideon W. B. (Gideon William Barker)</t>
        </is>
      </c>
      <c r="L338" t="inlineStr">
        <is>
          <t>London : Sands ; St. Louis : B. Herder, 1908.</t>
        </is>
      </c>
      <c r="M338" t="inlineStr">
        <is>
          <t>1908</t>
        </is>
      </c>
      <c r="O338" t="inlineStr">
        <is>
          <t>eng</t>
        </is>
      </c>
      <c r="P338" t="inlineStr">
        <is>
          <t>enk</t>
        </is>
      </c>
      <c r="Q338" t="inlineStr">
        <is>
          <t>Expository essays in Christian philosophy</t>
        </is>
      </c>
      <c r="R338" t="inlineStr">
        <is>
          <t xml:space="preserve">BT </t>
        </is>
      </c>
      <c r="S338" t="n">
        <v>5</v>
      </c>
      <c r="T338" t="n">
        <v>5</v>
      </c>
      <c r="U338" t="inlineStr">
        <is>
          <t>2006-02-15</t>
        </is>
      </c>
      <c r="V338" t="inlineStr">
        <is>
          <t>2006-02-15</t>
        </is>
      </c>
      <c r="W338" t="inlineStr">
        <is>
          <t>1991-08-05</t>
        </is>
      </c>
      <c r="X338" t="inlineStr">
        <is>
          <t>1991-08-05</t>
        </is>
      </c>
      <c r="Y338" t="n">
        <v>73</v>
      </c>
      <c r="Z338" t="n">
        <v>55</v>
      </c>
      <c r="AA338" t="n">
        <v>77</v>
      </c>
      <c r="AB338" t="n">
        <v>1</v>
      </c>
      <c r="AC338" t="n">
        <v>1</v>
      </c>
      <c r="AD338" t="n">
        <v>9</v>
      </c>
      <c r="AE338" t="n">
        <v>9</v>
      </c>
      <c r="AF338" t="n">
        <v>1</v>
      </c>
      <c r="AG338" t="n">
        <v>1</v>
      </c>
      <c r="AH338" t="n">
        <v>2</v>
      </c>
      <c r="AI338" t="n">
        <v>2</v>
      </c>
      <c r="AJ338" t="n">
        <v>8</v>
      </c>
      <c r="AK338" t="n">
        <v>8</v>
      </c>
      <c r="AL338" t="n">
        <v>0</v>
      </c>
      <c r="AM338" t="n">
        <v>0</v>
      </c>
      <c r="AN338" t="n">
        <v>0</v>
      </c>
      <c r="AO338" t="n">
        <v>0</v>
      </c>
      <c r="AP338" t="inlineStr">
        <is>
          <t>Yes</t>
        </is>
      </c>
      <c r="AQ338" t="inlineStr">
        <is>
          <t>No</t>
        </is>
      </c>
      <c r="AR338">
        <f>HYPERLINK("http://catalog.hathitrust.org/Record/008371983","HathiTrust Record")</f>
        <v/>
      </c>
      <c r="AS338">
        <f>HYPERLINK("https://creighton-primo.hosted.exlibrisgroup.com/primo-explore/search?tab=default_tab&amp;search_scope=EVERYTHING&amp;vid=01CRU&amp;lang=en_US&amp;offset=0&amp;query=any,contains,991004132679702656","Catalog Record")</f>
        <v/>
      </c>
      <c r="AT338">
        <f>HYPERLINK("http://www.worldcat.org/oclc/2475580","WorldCat Record")</f>
        <v/>
      </c>
      <c r="AU338" t="inlineStr">
        <is>
          <t>5139446:eng</t>
        </is>
      </c>
      <c r="AV338" t="inlineStr">
        <is>
          <t>2475580</t>
        </is>
      </c>
      <c r="AW338" t="inlineStr">
        <is>
          <t>991004132679702656</t>
        </is>
      </c>
      <c r="AX338" t="inlineStr">
        <is>
          <t>991004132679702656</t>
        </is>
      </c>
      <c r="AY338" t="inlineStr">
        <is>
          <t>2269473860002656</t>
        </is>
      </c>
      <c r="AZ338" t="inlineStr">
        <is>
          <t>BOOK</t>
        </is>
      </c>
      <c r="BC338" t="inlineStr">
        <is>
          <t>32285000710094</t>
        </is>
      </c>
      <c r="BD338" t="inlineStr">
        <is>
          <t>893888323</t>
        </is>
      </c>
    </row>
    <row r="339">
      <c r="A339" t="inlineStr">
        <is>
          <t>No</t>
        </is>
      </c>
      <c r="B339" t="inlineStr">
        <is>
          <t>BT198 .N49 1985</t>
        </is>
      </c>
      <c r="C339" t="inlineStr">
        <is>
          <t>0                      BT 0198000N  49          1985</t>
        </is>
      </c>
      <c r="D339" t="inlineStr">
        <is>
          <t>Christ is community : the christologies of the New Testament / by Jerome H. Neyrey.</t>
        </is>
      </c>
      <c r="F339" t="inlineStr">
        <is>
          <t>No</t>
        </is>
      </c>
      <c r="G339" t="inlineStr">
        <is>
          <t>1</t>
        </is>
      </c>
      <c r="H339" t="inlineStr">
        <is>
          <t>No</t>
        </is>
      </c>
      <c r="I339" t="inlineStr">
        <is>
          <t>Yes</t>
        </is>
      </c>
      <c r="J339" t="inlineStr">
        <is>
          <t>0</t>
        </is>
      </c>
      <c r="K339" t="inlineStr">
        <is>
          <t>Neyrey, Jerome H., 1940-</t>
        </is>
      </c>
      <c r="L339" t="inlineStr">
        <is>
          <t>Wilmington, Del. : M. Glazier, c1985.</t>
        </is>
      </c>
      <c r="M339" t="inlineStr">
        <is>
          <t>1985</t>
        </is>
      </c>
      <c r="O339" t="inlineStr">
        <is>
          <t>eng</t>
        </is>
      </c>
      <c r="P339" t="inlineStr">
        <is>
          <t>deu</t>
        </is>
      </c>
      <c r="Q339" t="inlineStr">
        <is>
          <t>Good news studies ; 13</t>
        </is>
      </c>
      <c r="R339" t="inlineStr">
        <is>
          <t xml:space="preserve">BT </t>
        </is>
      </c>
      <c r="S339" t="n">
        <v>6</v>
      </c>
      <c r="T339" t="n">
        <v>6</v>
      </c>
      <c r="U339" t="inlineStr">
        <is>
          <t>2001-04-19</t>
        </is>
      </c>
      <c r="V339" t="inlineStr">
        <is>
          <t>2001-04-19</t>
        </is>
      </c>
      <c r="W339" t="inlineStr">
        <is>
          <t>1990-03-02</t>
        </is>
      </c>
      <c r="X339" t="inlineStr">
        <is>
          <t>1990-03-02</t>
        </is>
      </c>
      <c r="Y339" t="n">
        <v>259</v>
      </c>
      <c r="Z339" t="n">
        <v>210</v>
      </c>
      <c r="AA339" t="n">
        <v>255</v>
      </c>
      <c r="AB339" t="n">
        <v>2</v>
      </c>
      <c r="AC339" t="n">
        <v>2</v>
      </c>
      <c r="AD339" t="n">
        <v>27</v>
      </c>
      <c r="AE339" t="n">
        <v>32</v>
      </c>
      <c r="AF339" t="n">
        <v>8</v>
      </c>
      <c r="AG339" t="n">
        <v>13</v>
      </c>
      <c r="AH339" t="n">
        <v>7</v>
      </c>
      <c r="AI339" t="n">
        <v>7</v>
      </c>
      <c r="AJ339" t="n">
        <v>20</v>
      </c>
      <c r="AK339" t="n">
        <v>22</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HYPERLINK("https://creighton-primo.hosted.exlibrisgroup.com/primo-explore/search?tab=default_tab&amp;search_scope=EVERYTHING&amp;vid=01CRU&amp;lang=en_US&amp;offset=0&amp;query=any,contains,991000712679702656","Catalog Record")</f>
        <v/>
      </c>
      <c r="AT339">
        <f>HYPERLINK("http://www.worldcat.org/oclc/12588202","WorldCat Record")</f>
        <v/>
      </c>
      <c r="AU339" t="inlineStr">
        <is>
          <t>5280151:eng</t>
        </is>
      </c>
      <c r="AV339" t="inlineStr">
        <is>
          <t>12588202</t>
        </is>
      </c>
      <c r="AW339" t="inlineStr">
        <is>
          <t>991000712679702656</t>
        </is>
      </c>
      <c r="AX339" t="inlineStr">
        <is>
          <t>991000712679702656</t>
        </is>
      </c>
      <c r="AY339" t="inlineStr">
        <is>
          <t>2264293210002656</t>
        </is>
      </c>
      <c r="AZ339" t="inlineStr">
        <is>
          <t>BOOK</t>
        </is>
      </c>
      <c r="BB339" t="inlineStr">
        <is>
          <t>9780894534652</t>
        </is>
      </c>
      <c r="BC339" t="inlineStr">
        <is>
          <t>32285000075647</t>
        </is>
      </c>
      <c r="BD339" t="inlineStr">
        <is>
          <t>893521935</t>
        </is>
      </c>
    </row>
    <row r="340">
      <c r="A340" t="inlineStr">
        <is>
          <t>No</t>
        </is>
      </c>
      <c r="B340" t="inlineStr">
        <is>
          <t>BT198 .O3</t>
        </is>
      </c>
      <c r="C340" t="inlineStr">
        <is>
          <t>0                      BT 0198000O  3</t>
        </is>
      </c>
      <c r="D340" t="inlineStr">
        <is>
          <t>Word and mystery; biblical essays on the person and mission of Christ / edited by Leo J. O'Donovan.</t>
        </is>
      </c>
      <c r="F340" t="inlineStr">
        <is>
          <t>No</t>
        </is>
      </c>
      <c r="G340" t="inlineStr">
        <is>
          <t>1</t>
        </is>
      </c>
      <c r="H340" t="inlineStr">
        <is>
          <t>No</t>
        </is>
      </c>
      <c r="I340" t="inlineStr">
        <is>
          <t>No</t>
        </is>
      </c>
      <c r="J340" t="inlineStr">
        <is>
          <t>0</t>
        </is>
      </c>
      <c r="K340" t="inlineStr">
        <is>
          <t>O'Donovan, Leo J., compiler.</t>
        </is>
      </c>
      <c r="L340" t="inlineStr">
        <is>
          <t>Glen Rock, N.J., Newman Press [1968]</t>
        </is>
      </c>
      <c r="M340" t="inlineStr">
        <is>
          <t>1968</t>
        </is>
      </c>
      <c r="O340" t="inlineStr">
        <is>
          <t>eng</t>
        </is>
      </c>
      <c r="P340" t="inlineStr">
        <is>
          <t>nju</t>
        </is>
      </c>
      <c r="R340" t="inlineStr">
        <is>
          <t xml:space="preserve">BT </t>
        </is>
      </c>
      <c r="S340" t="n">
        <v>1</v>
      </c>
      <c r="T340" t="n">
        <v>1</v>
      </c>
      <c r="U340" t="inlineStr">
        <is>
          <t>1995-10-08</t>
        </is>
      </c>
      <c r="V340" t="inlineStr">
        <is>
          <t>1995-10-08</t>
        </is>
      </c>
      <c r="W340" t="inlineStr">
        <is>
          <t>1991-08-07</t>
        </is>
      </c>
      <c r="X340" t="inlineStr">
        <is>
          <t>1991-08-07</t>
        </is>
      </c>
      <c r="Y340" t="n">
        <v>235</v>
      </c>
      <c r="Z340" t="n">
        <v>197</v>
      </c>
      <c r="AA340" t="n">
        <v>197</v>
      </c>
      <c r="AB340" t="n">
        <v>2</v>
      </c>
      <c r="AC340" t="n">
        <v>2</v>
      </c>
      <c r="AD340" t="n">
        <v>30</v>
      </c>
      <c r="AE340" t="n">
        <v>30</v>
      </c>
      <c r="AF340" t="n">
        <v>9</v>
      </c>
      <c r="AG340" t="n">
        <v>9</v>
      </c>
      <c r="AH340" t="n">
        <v>7</v>
      </c>
      <c r="AI340" t="n">
        <v>7</v>
      </c>
      <c r="AJ340" t="n">
        <v>20</v>
      </c>
      <c r="AK340" t="n">
        <v>20</v>
      </c>
      <c r="AL340" t="n">
        <v>1</v>
      </c>
      <c r="AM340" t="n">
        <v>1</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HYPERLINK("https://creighton-primo.hosted.exlibrisgroup.com/primo-explore/search?tab=default_tab&amp;search_scope=EVERYTHING&amp;vid=01CRU&amp;lang=en_US&amp;offset=0&amp;query=any,contains,991003133249702656","Catalog Record")</f>
        <v/>
      </c>
      <c r="AT340">
        <f>HYPERLINK("http://www.worldcat.org/oclc/675714","WorldCat Record")</f>
        <v/>
      </c>
      <c r="AU340" t="inlineStr">
        <is>
          <t>1780655091:eng</t>
        </is>
      </c>
      <c r="AV340" t="inlineStr">
        <is>
          <t>675714</t>
        </is>
      </c>
      <c r="AW340" t="inlineStr">
        <is>
          <t>991003133249702656</t>
        </is>
      </c>
      <c r="AX340" t="inlineStr">
        <is>
          <t>991003133249702656</t>
        </is>
      </c>
      <c r="AY340" t="inlineStr">
        <is>
          <t>2267211520002656</t>
        </is>
      </c>
      <c r="AZ340" t="inlineStr">
        <is>
          <t>BOOK</t>
        </is>
      </c>
      <c r="BC340" t="inlineStr">
        <is>
          <t>32285000710193</t>
        </is>
      </c>
      <c r="BD340" t="inlineStr">
        <is>
          <t>893518170</t>
        </is>
      </c>
    </row>
    <row r="341">
      <c r="A341" t="inlineStr">
        <is>
          <t>No</t>
        </is>
      </c>
      <c r="B341" t="inlineStr">
        <is>
          <t>BT198 .O37 1973</t>
        </is>
      </c>
      <c r="C341" t="inlineStr">
        <is>
          <t>0                      BT 0198000O  37          1973</t>
        </is>
      </c>
      <c r="D341" t="inlineStr">
        <is>
          <t>Jesus, Lord and Christ / by John F. O'Grady.</t>
        </is>
      </c>
      <c r="F341" t="inlineStr">
        <is>
          <t>No</t>
        </is>
      </c>
      <c r="G341" t="inlineStr">
        <is>
          <t>1</t>
        </is>
      </c>
      <c r="H341" t="inlineStr">
        <is>
          <t>No</t>
        </is>
      </c>
      <c r="I341" t="inlineStr">
        <is>
          <t>No</t>
        </is>
      </c>
      <c r="J341" t="inlineStr">
        <is>
          <t>0</t>
        </is>
      </c>
      <c r="K341" t="inlineStr">
        <is>
          <t>O'Grady, John F.</t>
        </is>
      </c>
      <c r="L341" t="inlineStr">
        <is>
          <t>New York : Paulist Press, [1973]</t>
        </is>
      </c>
      <c r="M341" t="inlineStr">
        <is>
          <t>1973</t>
        </is>
      </c>
      <c r="O341" t="inlineStr">
        <is>
          <t>eng</t>
        </is>
      </c>
      <c r="P341" t="inlineStr">
        <is>
          <t>nyu</t>
        </is>
      </c>
      <c r="R341" t="inlineStr">
        <is>
          <t xml:space="preserve">BT </t>
        </is>
      </c>
      <c r="S341" t="n">
        <v>9</v>
      </c>
      <c r="T341" t="n">
        <v>9</v>
      </c>
      <c r="U341" t="inlineStr">
        <is>
          <t>2001-09-26</t>
        </is>
      </c>
      <c r="V341" t="inlineStr">
        <is>
          <t>2001-09-26</t>
        </is>
      </c>
      <c r="W341" t="inlineStr">
        <is>
          <t>1996-11-11</t>
        </is>
      </c>
      <c r="X341" t="inlineStr">
        <is>
          <t>1996-11-11</t>
        </is>
      </c>
      <c r="Y341" t="n">
        <v>234</v>
      </c>
      <c r="Z341" t="n">
        <v>207</v>
      </c>
      <c r="AA341" t="n">
        <v>212</v>
      </c>
      <c r="AB341" t="n">
        <v>4</v>
      </c>
      <c r="AC341" t="n">
        <v>4</v>
      </c>
      <c r="AD341" t="n">
        <v>24</v>
      </c>
      <c r="AE341" t="n">
        <v>24</v>
      </c>
      <c r="AF341" t="n">
        <v>7</v>
      </c>
      <c r="AG341" t="n">
        <v>7</v>
      </c>
      <c r="AH341" t="n">
        <v>4</v>
      </c>
      <c r="AI341" t="n">
        <v>4</v>
      </c>
      <c r="AJ341" t="n">
        <v>18</v>
      </c>
      <c r="AK341" t="n">
        <v>18</v>
      </c>
      <c r="AL341" t="n">
        <v>2</v>
      </c>
      <c r="AM341" t="n">
        <v>2</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HYPERLINK("https://creighton-primo.hosted.exlibrisgroup.com/primo-explore/search?tab=default_tab&amp;search_scope=EVERYTHING&amp;vid=01CRU&amp;lang=en_US&amp;offset=0&amp;query=any,contains,991003060849702656","Catalog Record")</f>
        <v/>
      </c>
      <c r="AT341">
        <f>HYPERLINK("http://www.worldcat.org/oclc/618021","WorldCat Record")</f>
        <v/>
      </c>
      <c r="AU341" t="inlineStr">
        <is>
          <t>1675037:eng</t>
        </is>
      </c>
      <c r="AV341" t="inlineStr">
        <is>
          <t>618021</t>
        </is>
      </c>
      <c r="AW341" t="inlineStr">
        <is>
          <t>991003060849702656</t>
        </is>
      </c>
      <c r="AX341" t="inlineStr">
        <is>
          <t>991003060849702656</t>
        </is>
      </c>
      <c r="AY341" t="inlineStr">
        <is>
          <t>2272143180002656</t>
        </is>
      </c>
      <c r="AZ341" t="inlineStr">
        <is>
          <t>BOOK</t>
        </is>
      </c>
      <c r="BB341" t="inlineStr">
        <is>
          <t>9780809117659</t>
        </is>
      </c>
      <c r="BC341" t="inlineStr">
        <is>
          <t>32285002121928</t>
        </is>
      </c>
      <c r="BD341" t="inlineStr">
        <is>
          <t>893498906</t>
        </is>
      </c>
    </row>
    <row r="342">
      <c r="A342" t="inlineStr">
        <is>
          <t>No</t>
        </is>
      </c>
      <c r="B342" t="inlineStr">
        <is>
          <t>BT198 .P47</t>
        </is>
      </c>
      <c r="C342" t="inlineStr">
        <is>
          <t>0                      BT 0198000P  47</t>
        </is>
      </c>
      <c r="D342" t="inlineStr">
        <is>
          <t>A modern pilgrimage in New Testament christology / Norman Perrin.</t>
        </is>
      </c>
      <c r="F342" t="inlineStr">
        <is>
          <t>No</t>
        </is>
      </c>
      <c r="G342" t="inlineStr">
        <is>
          <t>1</t>
        </is>
      </c>
      <c r="H342" t="inlineStr">
        <is>
          <t>No</t>
        </is>
      </c>
      <c r="I342" t="inlineStr">
        <is>
          <t>No</t>
        </is>
      </c>
      <c r="J342" t="inlineStr">
        <is>
          <t>0</t>
        </is>
      </c>
      <c r="K342" t="inlineStr">
        <is>
          <t>Perrin, Norman.</t>
        </is>
      </c>
      <c r="L342" t="inlineStr">
        <is>
          <t>Philadelphia, Fortress Press [1974]</t>
        </is>
      </c>
      <c r="M342" t="inlineStr">
        <is>
          <t>1974</t>
        </is>
      </c>
      <c r="O342" t="inlineStr">
        <is>
          <t>eng</t>
        </is>
      </c>
      <c r="P342" t="inlineStr">
        <is>
          <t>pau</t>
        </is>
      </c>
      <c r="R342" t="inlineStr">
        <is>
          <t xml:space="preserve">BT </t>
        </is>
      </c>
      <c r="S342" t="n">
        <v>3</v>
      </c>
      <c r="T342" t="n">
        <v>3</v>
      </c>
      <c r="U342" t="inlineStr">
        <is>
          <t>1995-11-19</t>
        </is>
      </c>
      <c r="V342" t="inlineStr">
        <is>
          <t>1995-11-19</t>
        </is>
      </c>
      <c r="W342" t="inlineStr">
        <is>
          <t>1991-08-07</t>
        </is>
      </c>
      <c r="X342" t="inlineStr">
        <is>
          <t>1991-08-07</t>
        </is>
      </c>
      <c r="Y342" t="n">
        <v>577</v>
      </c>
      <c r="Z342" t="n">
        <v>476</v>
      </c>
      <c r="AA342" t="n">
        <v>481</v>
      </c>
      <c r="AB342" t="n">
        <v>7</v>
      </c>
      <c r="AC342" t="n">
        <v>7</v>
      </c>
      <c r="AD342" t="n">
        <v>42</v>
      </c>
      <c r="AE342" t="n">
        <v>42</v>
      </c>
      <c r="AF342" t="n">
        <v>16</v>
      </c>
      <c r="AG342" t="n">
        <v>16</v>
      </c>
      <c r="AH342" t="n">
        <v>9</v>
      </c>
      <c r="AI342" t="n">
        <v>9</v>
      </c>
      <c r="AJ342" t="n">
        <v>24</v>
      </c>
      <c r="AK342" t="n">
        <v>24</v>
      </c>
      <c r="AL342" t="n">
        <v>5</v>
      </c>
      <c r="AM342" t="n">
        <v>5</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HYPERLINK("https://creighton-primo.hosted.exlibrisgroup.com/primo-explore/search?tab=default_tab&amp;search_scope=EVERYTHING&amp;vid=01CRU&amp;lang=en_US&amp;offset=0&amp;query=any,contains,991003364499702656","Catalog Record")</f>
        <v/>
      </c>
      <c r="AT342">
        <f>HYPERLINK("http://www.worldcat.org/oclc/900843","WorldCat Record")</f>
        <v/>
      </c>
      <c r="AU342" t="inlineStr">
        <is>
          <t>1834291:eng</t>
        </is>
      </c>
      <c r="AV342" t="inlineStr">
        <is>
          <t>900843</t>
        </is>
      </c>
      <c r="AW342" t="inlineStr">
        <is>
          <t>991003364499702656</t>
        </is>
      </c>
      <c r="AX342" t="inlineStr">
        <is>
          <t>991003364499702656</t>
        </is>
      </c>
      <c r="AY342" t="inlineStr">
        <is>
          <t>2266387150002656</t>
        </is>
      </c>
      <c r="AZ342" t="inlineStr">
        <is>
          <t>BOOK</t>
        </is>
      </c>
      <c r="BB342" t="inlineStr">
        <is>
          <t>9780800602673</t>
        </is>
      </c>
      <c r="BC342" t="inlineStr">
        <is>
          <t>32285000710235</t>
        </is>
      </c>
      <c r="BD342" t="inlineStr">
        <is>
          <t>893422509</t>
        </is>
      </c>
    </row>
    <row r="343">
      <c r="A343" t="inlineStr">
        <is>
          <t>No</t>
        </is>
      </c>
      <c r="B343" t="inlineStr">
        <is>
          <t>BT198 .R63</t>
        </is>
      </c>
      <c r="C343" t="inlineStr">
        <is>
          <t>0                      BT 0198000R  63</t>
        </is>
      </c>
      <c r="D343" t="inlineStr">
        <is>
          <t>Case studies in Christ and salvation / by Jack Rogers, Ross Mackenzie, Louis Weeks.</t>
        </is>
      </c>
      <c r="F343" t="inlineStr">
        <is>
          <t>No</t>
        </is>
      </c>
      <c r="G343" t="inlineStr">
        <is>
          <t>1</t>
        </is>
      </c>
      <c r="H343" t="inlineStr">
        <is>
          <t>No</t>
        </is>
      </c>
      <c r="I343" t="inlineStr">
        <is>
          <t>No</t>
        </is>
      </c>
      <c r="J343" t="inlineStr">
        <is>
          <t>0</t>
        </is>
      </c>
      <c r="K343" t="inlineStr">
        <is>
          <t>Rogers, Jack, 1934-2016.</t>
        </is>
      </c>
      <c r="L343" t="inlineStr">
        <is>
          <t>Philadelphia : Westminster Press, c1977.</t>
        </is>
      </c>
      <c r="M343" t="inlineStr">
        <is>
          <t>1977</t>
        </is>
      </c>
      <c r="O343" t="inlineStr">
        <is>
          <t>eng</t>
        </is>
      </c>
      <c r="P343" t="inlineStr">
        <is>
          <t>pau</t>
        </is>
      </c>
      <c r="R343" t="inlineStr">
        <is>
          <t xml:space="preserve">BT </t>
        </is>
      </c>
      <c r="S343" t="n">
        <v>4</v>
      </c>
      <c r="T343" t="n">
        <v>4</v>
      </c>
      <c r="U343" t="inlineStr">
        <is>
          <t>2009-03-25</t>
        </is>
      </c>
      <c r="V343" t="inlineStr">
        <is>
          <t>2009-03-25</t>
        </is>
      </c>
      <c r="W343" t="inlineStr">
        <is>
          <t>1991-08-07</t>
        </is>
      </c>
      <c r="X343" t="inlineStr">
        <is>
          <t>1991-08-07</t>
        </is>
      </c>
      <c r="Y343" t="n">
        <v>311</v>
      </c>
      <c r="Z343" t="n">
        <v>268</v>
      </c>
      <c r="AA343" t="n">
        <v>273</v>
      </c>
      <c r="AB343" t="n">
        <v>2</v>
      </c>
      <c r="AC343" t="n">
        <v>2</v>
      </c>
      <c r="AD343" t="n">
        <v>18</v>
      </c>
      <c r="AE343" t="n">
        <v>18</v>
      </c>
      <c r="AF343" t="n">
        <v>7</v>
      </c>
      <c r="AG343" t="n">
        <v>7</v>
      </c>
      <c r="AH343" t="n">
        <v>3</v>
      </c>
      <c r="AI343" t="n">
        <v>3</v>
      </c>
      <c r="AJ343" t="n">
        <v>11</v>
      </c>
      <c r="AK343" t="n">
        <v>11</v>
      </c>
      <c r="AL343" t="n">
        <v>1</v>
      </c>
      <c r="AM343" t="n">
        <v>1</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HYPERLINK("https://creighton-primo.hosted.exlibrisgroup.com/primo-explore/search?tab=default_tab&amp;search_scope=EVERYTHING&amp;vid=01CRU&amp;lang=en_US&amp;offset=0&amp;query=any,contains,991004176529702656","Catalog Record")</f>
        <v/>
      </c>
      <c r="AT343">
        <f>HYPERLINK("http://www.worldcat.org/oclc/2597221","WorldCat Record")</f>
        <v/>
      </c>
      <c r="AU343" t="inlineStr">
        <is>
          <t>5718765:eng</t>
        </is>
      </c>
      <c r="AV343" t="inlineStr">
        <is>
          <t>2597221</t>
        </is>
      </c>
      <c r="AW343" t="inlineStr">
        <is>
          <t>991004176529702656</t>
        </is>
      </c>
      <c r="AX343" t="inlineStr">
        <is>
          <t>991004176529702656</t>
        </is>
      </c>
      <c r="AY343" t="inlineStr">
        <is>
          <t>2268776900002656</t>
        </is>
      </c>
      <c r="AZ343" t="inlineStr">
        <is>
          <t>BOOK</t>
        </is>
      </c>
      <c r="BB343" t="inlineStr">
        <is>
          <t>9780664241339</t>
        </is>
      </c>
      <c r="BC343" t="inlineStr">
        <is>
          <t>32285000710276</t>
        </is>
      </c>
      <c r="BD343" t="inlineStr">
        <is>
          <t>893442302</t>
        </is>
      </c>
    </row>
    <row r="344">
      <c r="A344" t="inlineStr">
        <is>
          <t>No</t>
        </is>
      </c>
      <c r="B344" t="inlineStr">
        <is>
          <t>BT198 .S6</t>
        </is>
      </c>
      <c r="C344" t="inlineStr">
        <is>
          <t>0                      BT 0198000S  6</t>
        </is>
      </c>
      <c r="D344" t="inlineStr">
        <is>
          <t>The Fathers on Christology; the development of Christological dogma from the Bible to the great councils / by P. Smulders. Translated by Lucien Roy.</t>
        </is>
      </c>
      <c r="F344" t="inlineStr">
        <is>
          <t>No</t>
        </is>
      </c>
      <c r="G344" t="inlineStr">
        <is>
          <t>1</t>
        </is>
      </c>
      <c r="H344" t="inlineStr">
        <is>
          <t>No</t>
        </is>
      </c>
      <c r="I344" t="inlineStr">
        <is>
          <t>No</t>
        </is>
      </c>
      <c r="J344" t="inlineStr">
        <is>
          <t>0</t>
        </is>
      </c>
      <c r="K344" t="inlineStr">
        <is>
          <t>Smulders, Pieter Frans, 1911-</t>
        </is>
      </c>
      <c r="L344" t="inlineStr">
        <is>
          <t>De Pere, Wis., St. Norbert Abbey Press, 1968.</t>
        </is>
      </c>
      <c r="M344" t="inlineStr">
        <is>
          <t>1968</t>
        </is>
      </c>
      <c r="O344" t="inlineStr">
        <is>
          <t>eng</t>
        </is>
      </c>
      <c r="P344" t="inlineStr">
        <is>
          <t>wiu</t>
        </is>
      </c>
      <c r="R344" t="inlineStr">
        <is>
          <t xml:space="preserve">BT </t>
        </is>
      </c>
      <c r="S344" t="n">
        <v>7</v>
      </c>
      <c r="T344" t="n">
        <v>7</v>
      </c>
      <c r="U344" t="inlineStr">
        <is>
          <t>2006-07-24</t>
        </is>
      </c>
      <c r="V344" t="inlineStr">
        <is>
          <t>2006-07-24</t>
        </is>
      </c>
      <c r="W344" t="inlineStr">
        <is>
          <t>1991-08-07</t>
        </is>
      </c>
      <c r="X344" t="inlineStr">
        <is>
          <t>1991-08-07</t>
        </is>
      </c>
      <c r="Y344" t="n">
        <v>108</v>
      </c>
      <c r="Z344" t="n">
        <v>91</v>
      </c>
      <c r="AA344" t="n">
        <v>91</v>
      </c>
      <c r="AB344" t="n">
        <v>2</v>
      </c>
      <c r="AC344" t="n">
        <v>2</v>
      </c>
      <c r="AD344" t="n">
        <v>19</v>
      </c>
      <c r="AE344" t="n">
        <v>19</v>
      </c>
      <c r="AF344" t="n">
        <v>5</v>
      </c>
      <c r="AG344" t="n">
        <v>5</v>
      </c>
      <c r="AH344" t="n">
        <v>6</v>
      </c>
      <c r="AI344" t="n">
        <v>6</v>
      </c>
      <c r="AJ344" t="n">
        <v>16</v>
      </c>
      <c r="AK344" t="n">
        <v>16</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HYPERLINK("https://creighton-primo.hosted.exlibrisgroup.com/primo-explore/search?tab=default_tab&amp;search_scope=EVERYTHING&amp;vid=01CRU&amp;lang=en_US&amp;offset=0&amp;query=any,contains,991002800679702656","Catalog Record")</f>
        <v/>
      </c>
      <c r="AT344">
        <f>HYPERLINK("http://www.worldcat.org/oclc/447189","WorldCat Record")</f>
        <v/>
      </c>
      <c r="AU344" t="inlineStr">
        <is>
          <t>1584491:eng</t>
        </is>
      </c>
      <c r="AV344" t="inlineStr">
        <is>
          <t>447189</t>
        </is>
      </c>
      <c r="AW344" t="inlineStr">
        <is>
          <t>991002800679702656</t>
        </is>
      </c>
      <c r="AX344" t="inlineStr">
        <is>
          <t>991002800679702656</t>
        </is>
      </c>
      <c r="AY344" t="inlineStr">
        <is>
          <t>2268418440002656</t>
        </is>
      </c>
      <c r="AZ344" t="inlineStr">
        <is>
          <t>BOOK</t>
        </is>
      </c>
      <c r="BB344" t="inlineStr">
        <is>
          <t>9780831610517</t>
        </is>
      </c>
      <c r="BC344" t="inlineStr">
        <is>
          <t>32285000710342</t>
        </is>
      </c>
      <c r="BD344" t="inlineStr">
        <is>
          <t>893323395</t>
        </is>
      </c>
    </row>
    <row r="345">
      <c r="A345" t="inlineStr">
        <is>
          <t>No</t>
        </is>
      </c>
      <c r="B345" t="inlineStr">
        <is>
          <t>BT198 .S75</t>
        </is>
      </c>
      <c r="C345" t="inlineStr">
        <is>
          <t>0                      BT 0198000S  75</t>
        </is>
      </c>
      <c r="D345" t="inlineStr">
        <is>
          <t>Newman and the Gospel of Christ / Roderick Strange.</t>
        </is>
      </c>
      <c r="F345" t="inlineStr">
        <is>
          <t>No</t>
        </is>
      </c>
      <c r="G345" t="inlineStr">
        <is>
          <t>1</t>
        </is>
      </c>
      <c r="H345" t="inlineStr">
        <is>
          <t>No</t>
        </is>
      </c>
      <c r="I345" t="inlineStr">
        <is>
          <t>No</t>
        </is>
      </c>
      <c r="J345" t="inlineStr">
        <is>
          <t>0</t>
        </is>
      </c>
      <c r="K345" t="inlineStr">
        <is>
          <t>Strange, Roderick.</t>
        </is>
      </c>
      <c r="L345" t="inlineStr">
        <is>
          <t>Oxford ; New York : Oxford University Press, 1981.</t>
        </is>
      </c>
      <c r="M345" t="inlineStr">
        <is>
          <t>1981</t>
        </is>
      </c>
      <c r="O345" t="inlineStr">
        <is>
          <t>eng</t>
        </is>
      </c>
      <c r="P345" t="inlineStr">
        <is>
          <t>enk</t>
        </is>
      </c>
      <c r="Q345" t="inlineStr">
        <is>
          <t>Oxford theological monographs</t>
        </is>
      </c>
      <c r="R345" t="inlineStr">
        <is>
          <t xml:space="preserve">BT </t>
        </is>
      </c>
      <c r="S345" t="n">
        <v>2</v>
      </c>
      <c r="T345" t="n">
        <v>2</v>
      </c>
      <c r="U345" t="inlineStr">
        <is>
          <t>1997-10-08</t>
        </is>
      </c>
      <c r="V345" t="inlineStr">
        <is>
          <t>1997-10-08</t>
        </is>
      </c>
      <c r="W345" t="inlineStr">
        <is>
          <t>1991-08-07</t>
        </is>
      </c>
      <c r="X345" t="inlineStr">
        <is>
          <t>1991-08-07</t>
        </is>
      </c>
      <c r="Y345" t="n">
        <v>322</v>
      </c>
      <c r="Z345" t="n">
        <v>232</v>
      </c>
      <c r="AA345" t="n">
        <v>238</v>
      </c>
      <c r="AB345" t="n">
        <v>2</v>
      </c>
      <c r="AC345" t="n">
        <v>2</v>
      </c>
      <c r="AD345" t="n">
        <v>17</v>
      </c>
      <c r="AE345" t="n">
        <v>17</v>
      </c>
      <c r="AF345" t="n">
        <v>5</v>
      </c>
      <c r="AG345" t="n">
        <v>5</v>
      </c>
      <c r="AH345" t="n">
        <v>4</v>
      </c>
      <c r="AI345" t="n">
        <v>4</v>
      </c>
      <c r="AJ345" t="n">
        <v>13</v>
      </c>
      <c r="AK345" t="n">
        <v>13</v>
      </c>
      <c r="AL345" t="n">
        <v>1</v>
      </c>
      <c r="AM345" t="n">
        <v>1</v>
      </c>
      <c r="AN345" t="n">
        <v>0</v>
      </c>
      <c r="AO345" t="n">
        <v>0</v>
      </c>
      <c r="AP345" t="inlineStr">
        <is>
          <t>No</t>
        </is>
      </c>
      <c r="AQ345" t="inlineStr">
        <is>
          <t>Yes</t>
        </is>
      </c>
      <c r="AR345">
        <f>HYPERLINK("http://catalog.hathitrust.org/Record/000223073","HathiTrust Record")</f>
        <v/>
      </c>
      <c r="AS345">
        <f>HYPERLINK("https://creighton-primo.hosted.exlibrisgroup.com/primo-explore/search?tab=default_tab&amp;search_scope=EVERYTHING&amp;vid=01CRU&amp;lang=en_US&amp;offset=0&amp;query=any,contains,991005043699702656","Catalog Record")</f>
        <v/>
      </c>
      <c r="AT345">
        <f>HYPERLINK("http://www.worldcat.org/oclc/6813860","WorldCat Record")</f>
        <v/>
      </c>
      <c r="AU345" t="inlineStr">
        <is>
          <t>23878731:eng</t>
        </is>
      </c>
      <c r="AV345" t="inlineStr">
        <is>
          <t>6813860</t>
        </is>
      </c>
      <c r="AW345" t="inlineStr">
        <is>
          <t>991005043699702656</t>
        </is>
      </c>
      <c r="AX345" t="inlineStr">
        <is>
          <t>991005043699702656</t>
        </is>
      </c>
      <c r="AY345" t="inlineStr">
        <is>
          <t>2268553320002656</t>
        </is>
      </c>
      <c r="AZ345" t="inlineStr">
        <is>
          <t>BOOK</t>
        </is>
      </c>
      <c r="BB345" t="inlineStr">
        <is>
          <t>9780198267188</t>
        </is>
      </c>
      <c r="BC345" t="inlineStr">
        <is>
          <t>32285000710359</t>
        </is>
      </c>
      <c r="BD345" t="inlineStr">
        <is>
          <t>893902022</t>
        </is>
      </c>
    </row>
    <row r="346">
      <c r="A346" t="inlineStr">
        <is>
          <t>No</t>
        </is>
      </c>
      <c r="B346" t="inlineStr">
        <is>
          <t>BT198 .T497 1996</t>
        </is>
      </c>
      <c r="C346" t="inlineStr">
        <is>
          <t>0                      BT 0198000T  497         1996</t>
        </is>
      </c>
      <c r="D346" t="inlineStr">
        <is>
          <t>The struggle for theology's soul : contesting Scripture in christology / William M. Thompson.</t>
        </is>
      </c>
      <c r="F346" t="inlineStr">
        <is>
          <t>No</t>
        </is>
      </c>
      <c r="G346" t="inlineStr">
        <is>
          <t>1</t>
        </is>
      </c>
      <c r="H346" t="inlineStr">
        <is>
          <t>No</t>
        </is>
      </c>
      <c r="I346" t="inlineStr">
        <is>
          <t>No</t>
        </is>
      </c>
      <c r="J346" t="inlineStr">
        <is>
          <t>0</t>
        </is>
      </c>
      <c r="K346" t="inlineStr">
        <is>
          <t>Thompson-Uberuaga, William, 1943-</t>
        </is>
      </c>
      <c r="L346" t="inlineStr">
        <is>
          <t>New York : Crossroad Pub., 1996.</t>
        </is>
      </c>
      <c r="M346" t="inlineStr">
        <is>
          <t>1996</t>
        </is>
      </c>
      <c r="O346" t="inlineStr">
        <is>
          <t>eng</t>
        </is>
      </c>
      <c r="P346" t="inlineStr">
        <is>
          <t>nyu</t>
        </is>
      </c>
      <c r="R346" t="inlineStr">
        <is>
          <t xml:space="preserve">BT </t>
        </is>
      </c>
      <c r="S346" t="n">
        <v>9</v>
      </c>
      <c r="T346" t="n">
        <v>9</v>
      </c>
      <c r="U346" t="inlineStr">
        <is>
          <t>2003-04-09</t>
        </is>
      </c>
      <c r="V346" t="inlineStr">
        <is>
          <t>2003-04-09</t>
        </is>
      </c>
      <c r="W346" t="inlineStr">
        <is>
          <t>1997-02-25</t>
        </is>
      </c>
      <c r="X346" t="inlineStr">
        <is>
          <t>1997-02-25</t>
        </is>
      </c>
      <c r="Y346" t="n">
        <v>246</v>
      </c>
      <c r="Z346" t="n">
        <v>194</v>
      </c>
      <c r="AA346" t="n">
        <v>196</v>
      </c>
      <c r="AB346" t="n">
        <v>3</v>
      </c>
      <c r="AC346" t="n">
        <v>3</v>
      </c>
      <c r="AD346" t="n">
        <v>20</v>
      </c>
      <c r="AE346" t="n">
        <v>20</v>
      </c>
      <c r="AF346" t="n">
        <v>5</v>
      </c>
      <c r="AG346" t="n">
        <v>5</v>
      </c>
      <c r="AH346" t="n">
        <v>4</v>
      </c>
      <c r="AI346" t="n">
        <v>4</v>
      </c>
      <c r="AJ346" t="n">
        <v>13</v>
      </c>
      <c r="AK346" t="n">
        <v>13</v>
      </c>
      <c r="AL346" t="n">
        <v>2</v>
      </c>
      <c r="AM346" t="n">
        <v>2</v>
      </c>
      <c r="AN346" t="n">
        <v>0</v>
      </c>
      <c r="AO346" t="n">
        <v>0</v>
      </c>
      <c r="AP346" t="inlineStr">
        <is>
          <t>No</t>
        </is>
      </c>
      <c r="AQ346" t="inlineStr">
        <is>
          <t>Yes</t>
        </is>
      </c>
      <c r="AR346">
        <f>HYPERLINK("http://catalog.hathitrust.org/Record/003059349","HathiTrust Record")</f>
        <v/>
      </c>
      <c r="AS346">
        <f>HYPERLINK("https://creighton-primo.hosted.exlibrisgroup.com/primo-explore/search?tab=default_tab&amp;search_scope=EVERYTHING&amp;vid=01CRU&amp;lang=en_US&amp;offset=0&amp;query=any,contains,991005423079702656","Catalog Record")</f>
        <v/>
      </c>
      <c r="AT346">
        <f>HYPERLINK("http://www.worldcat.org/oclc/34080013","WorldCat Record")</f>
        <v/>
      </c>
      <c r="AU346" t="inlineStr">
        <is>
          <t>47081576:eng</t>
        </is>
      </c>
      <c r="AV346" t="inlineStr">
        <is>
          <t>34080013</t>
        </is>
      </c>
      <c r="AW346" t="inlineStr">
        <is>
          <t>991005423079702656</t>
        </is>
      </c>
      <c r="AX346" t="inlineStr">
        <is>
          <t>991005423079702656</t>
        </is>
      </c>
      <c r="AY346" t="inlineStr">
        <is>
          <t>2262926770002656</t>
        </is>
      </c>
      <c r="AZ346" t="inlineStr">
        <is>
          <t>BOOK</t>
        </is>
      </c>
      <c r="BB346" t="inlineStr">
        <is>
          <t>9780824515430</t>
        </is>
      </c>
      <c r="BC346" t="inlineStr">
        <is>
          <t>32285002433042</t>
        </is>
      </c>
      <c r="BD346" t="inlineStr">
        <is>
          <t>893345170</t>
        </is>
      </c>
    </row>
    <row r="347">
      <c r="A347" t="inlineStr">
        <is>
          <t>No</t>
        </is>
      </c>
      <c r="B347" t="inlineStr">
        <is>
          <t>BT198 .W46 1985</t>
        </is>
      </c>
      <c r="C347" t="inlineStr">
        <is>
          <t>0                      BT 0198000W  46          1985</t>
        </is>
      </c>
      <c r="D347" t="inlineStr">
        <is>
          <t>Christ and the Christian movement : Jesus in the New Testament, the Creeds and modern theology / by Leland Jennings White.</t>
        </is>
      </c>
      <c r="F347" t="inlineStr">
        <is>
          <t>No</t>
        </is>
      </c>
      <c r="G347" t="inlineStr">
        <is>
          <t>1</t>
        </is>
      </c>
      <c r="H347" t="inlineStr">
        <is>
          <t>No</t>
        </is>
      </c>
      <c r="I347" t="inlineStr">
        <is>
          <t>No</t>
        </is>
      </c>
      <c r="J347" t="inlineStr">
        <is>
          <t>0</t>
        </is>
      </c>
      <c r="K347" t="inlineStr">
        <is>
          <t>White, Leland Jennings.</t>
        </is>
      </c>
      <c r="L347" t="inlineStr">
        <is>
          <t>New York, N.Y. : Alba House, c1985.</t>
        </is>
      </c>
      <c r="M347" t="inlineStr">
        <is>
          <t>1985</t>
        </is>
      </c>
      <c r="O347" t="inlineStr">
        <is>
          <t>eng</t>
        </is>
      </c>
      <c r="P347" t="inlineStr">
        <is>
          <t>nyu</t>
        </is>
      </c>
      <c r="R347" t="inlineStr">
        <is>
          <t xml:space="preserve">BT </t>
        </is>
      </c>
      <c r="S347" t="n">
        <v>12</v>
      </c>
      <c r="T347" t="n">
        <v>12</v>
      </c>
      <c r="U347" t="inlineStr">
        <is>
          <t>2003-11-04</t>
        </is>
      </c>
      <c r="V347" t="inlineStr">
        <is>
          <t>2003-11-04</t>
        </is>
      </c>
      <c r="W347" t="inlineStr">
        <is>
          <t>1990-09-18</t>
        </is>
      </c>
      <c r="X347" t="inlineStr">
        <is>
          <t>1990-09-18</t>
        </is>
      </c>
      <c r="Y347" t="n">
        <v>129</v>
      </c>
      <c r="Z347" t="n">
        <v>115</v>
      </c>
      <c r="AA347" t="n">
        <v>115</v>
      </c>
      <c r="AB347" t="n">
        <v>1</v>
      </c>
      <c r="AC347" t="n">
        <v>1</v>
      </c>
      <c r="AD347" t="n">
        <v>14</v>
      </c>
      <c r="AE347" t="n">
        <v>14</v>
      </c>
      <c r="AF347" t="n">
        <v>5</v>
      </c>
      <c r="AG347" t="n">
        <v>5</v>
      </c>
      <c r="AH347" t="n">
        <v>3</v>
      </c>
      <c r="AI347" t="n">
        <v>3</v>
      </c>
      <c r="AJ347" t="n">
        <v>11</v>
      </c>
      <c r="AK347" t="n">
        <v>11</v>
      </c>
      <c r="AL347" t="n">
        <v>0</v>
      </c>
      <c r="AM347" t="n">
        <v>0</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HYPERLINK("https://creighton-primo.hosted.exlibrisgroup.com/primo-explore/search?tab=default_tab&amp;search_scope=EVERYTHING&amp;vid=01CRU&amp;lang=en_US&amp;offset=0&amp;query=any,contains,991000639449702656","Catalog Record")</f>
        <v/>
      </c>
      <c r="AT347">
        <f>HYPERLINK("http://www.worldcat.org/oclc/12103189","WorldCat Record")</f>
        <v/>
      </c>
      <c r="AU347" t="inlineStr">
        <is>
          <t>4797251:eng</t>
        </is>
      </c>
      <c r="AV347" t="inlineStr">
        <is>
          <t>12103189</t>
        </is>
      </c>
      <c r="AW347" t="inlineStr">
        <is>
          <t>991000639449702656</t>
        </is>
      </c>
      <c r="AX347" t="inlineStr">
        <is>
          <t>991000639449702656</t>
        </is>
      </c>
      <c r="AY347" t="inlineStr">
        <is>
          <t>2260706240002656</t>
        </is>
      </c>
      <c r="AZ347" t="inlineStr">
        <is>
          <t>BOOK</t>
        </is>
      </c>
      <c r="BB347" t="inlineStr">
        <is>
          <t>9780818904844</t>
        </is>
      </c>
      <c r="BC347" t="inlineStr">
        <is>
          <t>32285000292424</t>
        </is>
      </c>
      <c r="BD347" t="inlineStr">
        <is>
          <t>893808764</t>
        </is>
      </c>
    </row>
    <row r="348">
      <c r="A348" t="inlineStr">
        <is>
          <t>No</t>
        </is>
      </c>
      <c r="B348" t="inlineStr">
        <is>
          <t>BT199 .S84 1993</t>
        </is>
      </c>
      <c r="C348" t="inlineStr">
        <is>
          <t>0                      BT 0199000S  84          1993</t>
        </is>
      </c>
      <c r="D348" t="inlineStr">
        <is>
          <t>The Story of Jesus.</t>
        </is>
      </c>
      <c r="F348" t="inlineStr">
        <is>
          <t>No</t>
        </is>
      </c>
      <c r="G348" t="inlineStr">
        <is>
          <t>1</t>
        </is>
      </c>
      <c r="H348" t="inlineStr">
        <is>
          <t>No</t>
        </is>
      </c>
      <c r="I348" t="inlineStr">
        <is>
          <t>No</t>
        </is>
      </c>
      <c r="J348" t="inlineStr">
        <is>
          <t>0</t>
        </is>
      </c>
      <c r="L348" t="inlineStr">
        <is>
          <t>Pleasantville, N.Y. : Reader's Digest Association, c1993.</t>
        </is>
      </c>
      <c r="M348" t="inlineStr">
        <is>
          <t>1993</t>
        </is>
      </c>
      <c r="O348" t="inlineStr">
        <is>
          <t>eng</t>
        </is>
      </c>
      <c r="P348" t="inlineStr">
        <is>
          <t>nyu</t>
        </is>
      </c>
      <c r="Q348" t="inlineStr">
        <is>
          <t>Reader's Digest general books</t>
        </is>
      </c>
      <c r="R348" t="inlineStr">
        <is>
          <t xml:space="preserve">BT </t>
        </is>
      </c>
      <c r="S348" t="n">
        <v>4</v>
      </c>
      <c r="T348" t="n">
        <v>4</v>
      </c>
      <c r="U348" t="inlineStr">
        <is>
          <t>2005-07-08</t>
        </is>
      </c>
      <c r="V348" t="inlineStr">
        <is>
          <t>2005-07-08</t>
        </is>
      </c>
      <c r="W348" t="inlineStr">
        <is>
          <t>2002-03-18</t>
        </is>
      </c>
      <c r="X348" t="inlineStr">
        <is>
          <t>2002-03-18</t>
        </is>
      </c>
      <c r="Y348" t="n">
        <v>789</v>
      </c>
      <c r="Z348" t="n">
        <v>724</v>
      </c>
      <c r="AA348" t="n">
        <v>724</v>
      </c>
      <c r="AB348" t="n">
        <v>5</v>
      </c>
      <c r="AC348" t="n">
        <v>5</v>
      </c>
      <c r="AD348" t="n">
        <v>5</v>
      </c>
      <c r="AE348" t="n">
        <v>5</v>
      </c>
      <c r="AF348" t="n">
        <v>1</v>
      </c>
      <c r="AG348" t="n">
        <v>1</v>
      </c>
      <c r="AH348" t="n">
        <v>3</v>
      </c>
      <c r="AI348" t="n">
        <v>3</v>
      </c>
      <c r="AJ348" t="n">
        <v>2</v>
      </c>
      <c r="AK348" t="n">
        <v>2</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HYPERLINK("https://creighton-primo.hosted.exlibrisgroup.com/primo-explore/search?tab=default_tab&amp;search_scope=EVERYTHING&amp;vid=01CRU&amp;lang=en_US&amp;offset=0&amp;query=any,contains,991003762419702656","Catalog Record")</f>
        <v/>
      </c>
      <c r="AT348">
        <f>HYPERLINK("http://www.worldcat.org/oclc/27106627","WorldCat Record")</f>
        <v/>
      </c>
      <c r="AU348" t="inlineStr">
        <is>
          <t>55651906:eng</t>
        </is>
      </c>
      <c r="AV348" t="inlineStr">
        <is>
          <t>27106627</t>
        </is>
      </c>
      <c r="AW348" t="inlineStr">
        <is>
          <t>991003762419702656</t>
        </is>
      </c>
      <c r="AX348" t="inlineStr">
        <is>
          <t>991003762419702656</t>
        </is>
      </c>
      <c r="AY348" t="inlineStr">
        <is>
          <t>2260305470002656</t>
        </is>
      </c>
      <c r="AZ348" t="inlineStr">
        <is>
          <t>BOOK</t>
        </is>
      </c>
      <c r="BB348" t="inlineStr">
        <is>
          <t>9780895774729</t>
        </is>
      </c>
      <c r="BC348" t="inlineStr">
        <is>
          <t>32285004461645</t>
        </is>
      </c>
      <c r="BD348" t="inlineStr">
        <is>
          <t>893252751</t>
        </is>
      </c>
    </row>
    <row r="349">
      <c r="A349" t="inlineStr">
        <is>
          <t>No</t>
        </is>
      </c>
      <c r="B349" t="inlineStr">
        <is>
          <t>BT199 .T36 1971</t>
        </is>
      </c>
      <c r="C349" t="inlineStr">
        <is>
          <t>0                      BT 0199000T  36          1971</t>
        </is>
      </c>
      <c r="D349" t="inlineStr">
        <is>
          <t>The theology of Christ : commentary ; readings in Christology / [by] Ralph J. Tapia.</t>
        </is>
      </c>
      <c r="F349" t="inlineStr">
        <is>
          <t>No</t>
        </is>
      </c>
      <c r="G349" t="inlineStr">
        <is>
          <t>1</t>
        </is>
      </c>
      <c r="H349" t="inlineStr">
        <is>
          <t>No</t>
        </is>
      </c>
      <c r="I349" t="inlineStr">
        <is>
          <t>No</t>
        </is>
      </c>
      <c r="J349" t="inlineStr">
        <is>
          <t>0</t>
        </is>
      </c>
      <c r="K349" t="inlineStr">
        <is>
          <t>Tapia, Ralph J., compiler.</t>
        </is>
      </c>
      <c r="L349" t="inlineStr">
        <is>
          <t>New York : Bruce Pub. Co., [1971]</t>
        </is>
      </c>
      <c r="M349" t="inlineStr">
        <is>
          <t>1971</t>
        </is>
      </c>
      <c r="O349" t="inlineStr">
        <is>
          <t>eng</t>
        </is>
      </c>
      <c r="P349" t="inlineStr">
        <is>
          <t>nyu</t>
        </is>
      </c>
      <c r="Q349" t="inlineStr">
        <is>
          <t>Contemporary theology series</t>
        </is>
      </c>
      <c r="R349" t="inlineStr">
        <is>
          <t xml:space="preserve">BT </t>
        </is>
      </c>
      <c r="S349" t="n">
        <v>5</v>
      </c>
      <c r="T349" t="n">
        <v>5</v>
      </c>
      <c r="U349" t="inlineStr">
        <is>
          <t>2001-11-12</t>
        </is>
      </c>
      <c r="V349" t="inlineStr">
        <is>
          <t>2001-11-12</t>
        </is>
      </c>
      <c r="W349" t="inlineStr">
        <is>
          <t>1991-08-07</t>
        </is>
      </c>
      <c r="X349" t="inlineStr">
        <is>
          <t>1991-08-07</t>
        </is>
      </c>
      <c r="Y349" t="n">
        <v>264</v>
      </c>
      <c r="Z349" t="n">
        <v>236</v>
      </c>
      <c r="AA349" t="n">
        <v>236</v>
      </c>
      <c r="AB349" t="n">
        <v>5</v>
      </c>
      <c r="AC349" t="n">
        <v>5</v>
      </c>
      <c r="AD349" t="n">
        <v>31</v>
      </c>
      <c r="AE349" t="n">
        <v>31</v>
      </c>
      <c r="AF349" t="n">
        <v>10</v>
      </c>
      <c r="AG349" t="n">
        <v>10</v>
      </c>
      <c r="AH349" t="n">
        <v>8</v>
      </c>
      <c r="AI349" t="n">
        <v>8</v>
      </c>
      <c r="AJ349" t="n">
        <v>19</v>
      </c>
      <c r="AK349" t="n">
        <v>19</v>
      </c>
      <c r="AL349" t="n">
        <v>3</v>
      </c>
      <c r="AM349" t="n">
        <v>3</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HYPERLINK("https://creighton-primo.hosted.exlibrisgroup.com/primo-explore/search?tab=default_tab&amp;search_scope=EVERYTHING&amp;vid=01CRU&amp;lang=en_US&amp;offset=0&amp;query=any,contains,991001408499702656","Catalog Record")</f>
        <v/>
      </c>
      <c r="AT349">
        <f>HYPERLINK("http://www.worldcat.org/oclc/230566","WorldCat Record")</f>
        <v/>
      </c>
      <c r="AU349" t="inlineStr">
        <is>
          <t>1353007:eng</t>
        </is>
      </c>
      <c r="AV349" t="inlineStr">
        <is>
          <t>230566</t>
        </is>
      </c>
      <c r="AW349" t="inlineStr">
        <is>
          <t>991001408499702656</t>
        </is>
      </c>
      <c r="AX349" t="inlineStr">
        <is>
          <t>991001408499702656</t>
        </is>
      </c>
      <c r="AY349" t="inlineStr">
        <is>
          <t>2269309470002656</t>
        </is>
      </c>
      <c r="AZ349" t="inlineStr">
        <is>
          <t>BOOK</t>
        </is>
      </c>
      <c r="BC349" t="inlineStr">
        <is>
          <t>32285000710458</t>
        </is>
      </c>
      <c r="BD349" t="inlineStr">
        <is>
          <t>893778786</t>
        </is>
      </c>
    </row>
    <row r="350">
      <c r="A350" t="inlineStr">
        <is>
          <t>No</t>
        </is>
      </c>
      <c r="B350" t="inlineStr">
        <is>
          <t>BT200 .C275</t>
        </is>
      </c>
      <c r="C350" t="inlineStr">
        <is>
          <t>0                      BT 0200000C  275</t>
        </is>
      </c>
      <c r="D350" t="inlineStr">
        <is>
          <t>A Nestorian collection of christological texts, Cambridge University Library ms. Oriental 1319 / edited and translated by Luise Abramowski and Alan E. Goodman.</t>
        </is>
      </c>
      <c r="E350" t="inlineStr">
        <is>
          <t>V.2</t>
        </is>
      </c>
      <c r="F350" t="inlineStr">
        <is>
          <t>Yes</t>
        </is>
      </c>
      <c r="G350" t="inlineStr">
        <is>
          <t>1</t>
        </is>
      </c>
      <c r="H350" t="inlineStr">
        <is>
          <t>No</t>
        </is>
      </c>
      <c r="I350" t="inlineStr">
        <is>
          <t>No</t>
        </is>
      </c>
      <c r="J350" t="inlineStr">
        <is>
          <t>0</t>
        </is>
      </c>
      <c r="K350" t="inlineStr">
        <is>
          <t>Cambridge University Library. Manuscript. Oriental 1319.</t>
        </is>
      </c>
      <c r="L350" t="inlineStr">
        <is>
          <t>Cambridge [Eng.] University Press, 1972-</t>
        </is>
      </c>
      <c r="M350" t="inlineStr">
        <is>
          <t>1972</t>
        </is>
      </c>
      <c r="O350" t="inlineStr">
        <is>
          <t>eng</t>
        </is>
      </c>
      <c r="P350" t="inlineStr">
        <is>
          <t>enk</t>
        </is>
      </c>
      <c r="Q350" t="inlineStr">
        <is>
          <t>University of Cambridge oriental publications ; no. 19</t>
        </is>
      </c>
      <c r="R350" t="inlineStr">
        <is>
          <t xml:space="preserve">BT </t>
        </is>
      </c>
      <c r="S350" t="n">
        <v>3</v>
      </c>
      <c r="T350" t="n">
        <v>6</v>
      </c>
      <c r="U350" t="inlineStr">
        <is>
          <t>1995-10-17</t>
        </is>
      </c>
      <c r="V350" t="inlineStr">
        <is>
          <t>1995-10-17</t>
        </is>
      </c>
      <c r="W350" t="inlineStr">
        <is>
          <t>1991-08-07</t>
        </is>
      </c>
      <c r="X350" t="inlineStr">
        <is>
          <t>1991-08-07</t>
        </is>
      </c>
      <c r="Y350" t="n">
        <v>333</v>
      </c>
      <c r="Z350" t="n">
        <v>261</v>
      </c>
      <c r="AA350" t="n">
        <v>261</v>
      </c>
      <c r="AB350" t="n">
        <v>3</v>
      </c>
      <c r="AC350" t="n">
        <v>3</v>
      </c>
      <c r="AD350" t="n">
        <v>20</v>
      </c>
      <c r="AE350" t="n">
        <v>20</v>
      </c>
      <c r="AF350" t="n">
        <v>4</v>
      </c>
      <c r="AG350" t="n">
        <v>4</v>
      </c>
      <c r="AH350" t="n">
        <v>7</v>
      </c>
      <c r="AI350" t="n">
        <v>7</v>
      </c>
      <c r="AJ350" t="n">
        <v>12</v>
      </c>
      <c r="AK350" t="n">
        <v>12</v>
      </c>
      <c r="AL350" t="n">
        <v>2</v>
      </c>
      <c r="AM350" t="n">
        <v>2</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HYPERLINK("https://creighton-primo.hosted.exlibrisgroup.com/primo-explore/search?tab=default_tab&amp;search_scope=EVERYTHING&amp;vid=01CRU&amp;lang=en_US&amp;offset=0&amp;query=any,contains,991002260459702656","Catalog Record")</f>
        <v/>
      </c>
      <c r="AT350">
        <f>HYPERLINK("http://www.worldcat.org/oclc/303961","WorldCat Record")</f>
        <v/>
      </c>
      <c r="AU350" t="inlineStr">
        <is>
          <t>4061481190:eng</t>
        </is>
      </c>
      <c r="AV350" t="inlineStr">
        <is>
          <t>303961</t>
        </is>
      </c>
      <c r="AW350" t="inlineStr">
        <is>
          <t>991002260459702656</t>
        </is>
      </c>
      <c r="AX350" t="inlineStr">
        <is>
          <t>991002260459702656</t>
        </is>
      </c>
      <c r="AY350" t="inlineStr">
        <is>
          <t>2272817840002656</t>
        </is>
      </c>
      <c r="AZ350" t="inlineStr">
        <is>
          <t>BOOK</t>
        </is>
      </c>
      <c r="BB350" t="inlineStr">
        <is>
          <t>9780521081269</t>
        </is>
      </c>
      <c r="BC350" t="inlineStr">
        <is>
          <t>32285000710474</t>
        </is>
      </c>
      <c r="BD350" t="inlineStr">
        <is>
          <t>893716240</t>
        </is>
      </c>
    </row>
    <row r="351">
      <c r="A351" t="inlineStr">
        <is>
          <t>No</t>
        </is>
      </c>
      <c r="B351" t="inlineStr">
        <is>
          <t>BT200 .C275</t>
        </is>
      </c>
      <c r="C351" t="inlineStr">
        <is>
          <t>0                      BT 0200000C  275</t>
        </is>
      </c>
      <c r="D351" t="inlineStr">
        <is>
          <t>A Nestorian collection of christological texts, Cambridge University Library ms. Oriental 1319 / edited and translated by Luise Abramowski and Alan E. Goodman.</t>
        </is>
      </c>
      <c r="E351" t="inlineStr">
        <is>
          <t>V.1</t>
        </is>
      </c>
      <c r="F351" t="inlineStr">
        <is>
          <t>Yes</t>
        </is>
      </c>
      <c r="G351" t="inlineStr">
        <is>
          <t>1</t>
        </is>
      </c>
      <c r="H351" t="inlineStr">
        <is>
          <t>No</t>
        </is>
      </c>
      <c r="I351" t="inlineStr">
        <is>
          <t>No</t>
        </is>
      </c>
      <c r="J351" t="inlineStr">
        <is>
          <t>0</t>
        </is>
      </c>
      <c r="K351" t="inlineStr">
        <is>
          <t>Cambridge University Library. Manuscript. Oriental 1319.</t>
        </is>
      </c>
      <c r="L351" t="inlineStr">
        <is>
          <t>Cambridge [Eng.] University Press, 1972-</t>
        </is>
      </c>
      <c r="M351" t="inlineStr">
        <is>
          <t>1972</t>
        </is>
      </c>
      <c r="O351" t="inlineStr">
        <is>
          <t>eng</t>
        </is>
      </c>
      <c r="P351" t="inlineStr">
        <is>
          <t>enk</t>
        </is>
      </c>
      <c r="Q351" t="inlineStr">
        <is>
          <t>University of Cambridge oriental publications ; no. 19</t>
        </is>
      </c>
      <c r="R351" t="inlineStr">
        <is>
          <t xml:space="preserve">BT </t>
        </is>
      </c>
      <c r="S351" t="n">
        <v>3</v>
      </c>
      <c r="T351" t="n">
        <v>6</v>
      </c>
      <c r="U351" t="inlineStr">
        <is>
          <t>1995-10-17</t>
        </is>
      </c>
      <c r="V351" t="inlineStr">
        <is>
          <t>1995-10-17</t>
        </is>
      </c>
      <c r="W351" t="inlineStr">
        <is>
          <t>1991-08-07</t>
        </is>
      </c>
      <c r="X351" t="inlineStr">
        <is>
          <t>1991-08-07</t>
        </is>
      </c>
      <c r="Y351" t="n">
        <v>333</v>
      </c>
      <c r="Z351" t="n">
        <v>261</v>
      </c>
      <c r="AA351" t="n">
        <v>261</v>
      </c>
      <c r="AB351" t="n">
        <v>3</v>
      </c>
      <c r="AC351" t="n">
        <v>3</v>
      </c>
      <c r="AD351" t="n">
        <v>20</v>
      </c>
      <c r="AE351" t="n">
        <v>20</v>
      </c>
      <c r="AF351" t="n">
        <v>4</v>
      </c>
      <c r="AG351" t="n">
        <v>4</v>
      </c>
      <c r="AH351" t="n">
        <v>7</v>
      </c>
      <c r="AI351" t="n">
        <v>7</v>
      </c>
      <c r="AJ351" t="n">
        <v>12</v>
      </c>
      <c r="AK351" t="n">
        <v>12</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HYPERLINK("https://creighton-primo.hosted.exlibrisgroup.com/primo-explore/search?tab=default_tab&amp;search_scope=EVERYTHING&amp;vid=01CRU&amp;lang=en_US&amp;offset=0&amp;query=any,contains,991002260459702656","Catalog Record")</f>
        <v/>
      </c>
      <c r="AT351">
        <f>HYPERLINK("http://www.worldcat.org/oclc/303961","WorldCat Record")</f>
        <v/>
      </c>
      <c r="AU351" t="inlineStr">
        <is>
          <t>4061481190:eng</t>
        </is>
      </c>
      <c r="AV351" t="inlineStr">
        <is>
          <t>303961</t>
        </is>
      </c>
      <c r="AW351" t="inlineStr">
        <is>
          <t>991002260459702656</t>
        </is>
      </c>
      <c r="AX351" t="inlineStr">
        <is>
          <t>991002260459702656</t>
        </is>
      </c>
      <c r="AY351" t="inlineStr">
        <is>
          <t>2272817840002656</t>
        </is>
      </c>
      <c r="AZ351" t="inlineStr">
        <is>
          <t>BOOK</t>
        </is>
      </c>
      <c r="BB351" t="inlineStr">
        <is>
          <t>9780521081269</t>
        </is>
      </c>
      <c r="BC351" t="inlineStr">
        <is>
          <t>32285000710466</t>
        </is>
      </c>
      <c r="BD351" t="inlineStr">
        <is>
          <t>893716241</t>
        </is>
      </c>
    </row>
    <row r="352">
      <c r="A352" t="inlineStr">
        <is>
          <t>No</t>
        </is>
      </c>
      <c r="B352" t="inlineStr">
        <is>
          <t>BT201 .A223</t>
        </is>
      </c>
      <c r="C352" t="inlineStr">
        <is>
          <t>0                      BT 0201000A  223</t>
        </is>
      </c>
      <c r="D352" t="inlineStr">
        <is>
          <t>The Christ of faith; the Christology of the church / by Karl Adam. [Translation from the original German by Joyce Crick.</t>
        </is>
      </c>
      <c r="F352" t="inlineStr">
        <is>
          <t>No</t>
        </is>
      </c>
      <c r="G352" t="inlineStr">
        <is>
          <t>1</t>
        </is>
      </c>
      <c r="H352" t="inlineStr">
        <is>
          <t>No</t>
        </is>
      </c>
      <c r="I352" t="inlineStr">
        <is>
          <t>No</t>
        </is>
      </c>
      <c r="J352" t="inlineStr">
        <is>
          <t>0</t>
        </is>
      </c>
      <c r="K352" t="inlineStr">
        <is>
          <t>Adam, Karl, 1876-1966.</t>
        </is>
      </c>
      <c r="L352" t="inlineStr">
        <is>
          <t>New York] Pantheon Books [1957]</t>
        </is>
      </c>
      <c r="M352" t="inlineStr">
        <is>
          <t>1957</t>
        </is>
      </c>
      <c r="O352" t="inlineStr">
        <is>
          <t>eng</t>
        </is>
      </c>
      <c r="P352" t="inlineStr">
        <is>
          <t>nyu</t>
        </is>
      </c>
      <c r="R352" t="inlineStr">
        <is>
          <t xml:space="preserve">BT </t>
        </is>
      </c>
      <c r="S352" t="n">
        <v>2</v>
      </c>
      <c r="T352" t="n">
        <v>2</v>
      </c>
      <c r="U352" t="inlineStr">
        <is>
          <t>2005-10-07</t>
        </is>
      </c>
      <c r="V352" t="inlineStr">
        <is>
          <t>2005-10-07</t>
        </is>
      </c>
      <c r="W352" t="inlineStr">
        <is>
          <t>1991-08-07</t>
        </is>
      </c>
      <c r="X352" t="inlineStr">
        <is>
          <t>1991-08-07</t>
        </is>
      </c>
      <c r="Y352" t="n">
        <v>367</v>
      </c>
      <c r="Z352" t="n">
        <v>331</v>
      </c>
      <c r="AA352" t="n">
        <v>450</v>
      </c>
      <c r="AB352" t="n">
        <v>5</v>
      </c>
      <c r="AC352" t="n">
        <v>7</v>
      </c>
      <c r="AD352" t="n">
        <v>35</v>
      </c>
      <c r="AE352" t="n">
        <v>42</v>
      </c>
      <c r="AF352" t="n">
        <v>13</v>
      </c>
      <c r="AG352" t="n">
        <v>15</v>
      </c>
      <c r="AH352" t="n">
        <v>9</v>
      </c>
      <c r="AI352" t="n">
        <v>9</v>
      </c>
      <c r="AJ352" t="n">
        <v>22</v>
      </c>
      <c r="AK352" t="n">
        <v>27</v>
      </c>
      <c r="AL352" t="n">
        <v>2</v>
      </c>
      <c r="AM352" t="n">
        <v>4</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HYPERLINK("https://creighton-primo.hosted.exlibrisgroup.com/primo-explore/search?tab=default_tab&amp;search_scope=EVERYTHING&amp;vid=01CRU&amp;lang=en_US&amp;offset=0&amp;query=any,contains,991003132899702656","Catalog Record")</f>
        <v/>
      </c>
      <c r="AT352">
        <f>HYPERLINK("http://www.worldcat.org/oclc/675536","WorldCat Record")</f>
        <v/>
      </c>
      <c r="AU352" t="inlineStr">
        <is>
          <t>423253784:eng</t>
        </is>
      </c>
      <c r="AV352" t="inlineStr">
        <is>
          <t>675536</t>
        </is>
      </c>
      <c r="AW352" t="inlineStr">
        <is>
          <t>991003132899702656</t>
        </is>
      </c>
      <c r="AX352" t="inlineStr">
        <is>
          <t>991003132899702656</t>
        </is>
      </c>
      <c r="AY352" t="inlineStr">
        <is>
          <t>2267465500002656</t>
        </is>
      </c>
      <c r="AZ352" t="inlineStr">
        <is>
          <t>BOOK</t>
        </is>
      </c>
      <c r="BC352" t="inlineStr">
        <is>
          <t>32285000710516</t>
        </is>
      </c>
      <c r="BD352" t="inlineStr">
        <is>
          <t>893258091</t>
        </is>
      </c>
    </row>
    <row r="353">
      <c r="A353" t="inlineStr">
        <is>
          <t>No</t>
        </is>
      </c>
      <c r="B353" t="inlineStr">
        <is>
          <t>BT201 .A27 1933</t>
        </is>
      </c>
      <c r="C353" t="inlineStr">
        <is>
          <t>0                      BT 0201000A  27          1933</t>
        </is>
      </c>
      <c r="D353" t="inlineStr">
        <is>
          <t>Jesus Christus / von Karl Adam.</t>
        </is>
      </c>
      <c r="F353" t="inlineStr">
        <is>
          <t>No</t>
        </is>
      </c>
      <c r="G353" t="inlineStr">
        <is>
          <t>1</t>
        </is>
      </c>
      <c r="H353" t="inlineStr">
        <is>
          <t>No</t>
        </is>
      </c>
      <c r="I353" t="inlineStr">
        <is>
          <t>No</t>
        </is>
      </c>
      <c r="J353" t="inlineStr">
        <is>
          <t>0</t>
        </is>
      </c>
      <c r="K353" t="inlineStr">
        <is>
          <t>Adam, Karl, 1876-1966.</t>
        </is>
      </c>
      <c r="L353" t="inlineStr">
        <is>
          <t>Augsburg, Haas und Grabherr, 1933.</t>
        </is>
      </c>
      <c r="M353" t="inlineStr">
        <is>
          <t>1933</t>
        </is>
      </c>
      <c r="N353" t="inlineStr">
        <is>
          <t>2. Aufl.</t>
        </is>
      </c>
      <c r="O353" t="inlineStr">
        <is>
          <t>ger</t>
        </is>
      </c>
      <c r="P353" t="inlineStr">
        <is>
          <t xml:space="preserve">gw </t>
        </is>
      </c>
      <c r="R353" t="inlineStr">
        <is>
          <t xml:space="preserve">BT </t>
        </is>
      </c>
      <c r="S353" t="n">
        <v>1</v>
      </c>
      <c r="T353" t="n">
        <v>1</v>
      </c>
      <c r="U353" t="inlineStr">
        <is>
          <t>1996-03-25</t>
        </is>
      </c>
      <c r="V353" t="inlineStr">
        <is>
          <t>1996-03-25</t>
        </is>
      </c>
      <c r="W353" t="inlineStr">
        <is>
          <t>1991-08-07</t>
        </is>
      </c>
      <c r="X353" t="inlineStr">
        <is>
          <t>1991-08-07</t>
        </is>
      </c>
      <c r="Y353" t="n">
        <v>57</v>
      </c>
      <c r="Z353" t="n">
        <v>22</v>
      </c>
      <c r="AA353" t="n">
        <v>50</v>
      </c>
      <c r="AB353" t="n">
        <v>1</v>
      </c>
      <c r="AC353" t="n">
        <v>1</v>
      </c>
      <c r="AD353" t="n">
        <v>4</v>
      </c>
      <c r="AE353" t="n">
        <v>8</v>
      </c>
      <c r="AF353" t="n">
        <v>0</v>
      </c>
      <c r="AG353" t="n">
        <v>1</v>
      </c>
      <c r="AH353" t="n">
        <v>2</v>
      </c>
      <c r="AI353" t="n">
        <v>3</v>
      </c>
      <c r="AJ353" t="n">
        <v>2</v>
      </c>
      <c r="AK353" t="n">
        <v>6</v>
      </c>
      <c r="AL353" t="n">
        <v>0</v>
      </c>
      <c r="AM353" t="n">
        <v>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HYPERLINK("https://creighton-primo.hosted.exlibrisgroup.com/primo-explore/search?tab=default_tab&amp;search_scope=EVERYTHING&amp;vid=01CRU&amp;lang=en_US&amp;offset=0&amp;query=any,contains,991004029079702656","Catalog Record")</f>
        <v/>
      </c>
      <c r="AT353">
        <f>HYPERLINK("http://www.worldcat.org/oclc/2147142","WorldCat Record")</f>
        <v/>
      </c>
      <c r="AU353" t="inlineStr">
        <is>
          <t>1364177091:ger</t>
        </is>
      </c>
      <c r="AV353" t="inlineStr">
        <is>
          <t>2147142</t>
        </is>
      </c>
      <c r="AW353" t="inlineStr">
        <is>
          <t>991004029079702656</t>
        </is>
      </c>
      <c r="AX353" t="inlineStr">
        <is>
          <t>991004029079702656</t>
        </is>
      </c>
      <c r="AY353" t="inlineStr">
        <is>
          <t>2270964450002656</t>
        </is>
      </c>
      <c r="AZ353" t="inlineStr">
        <is>
          <t>BOOK</t>
        </is>
      </c>
      <c r="BC353" t="inlineStr">
        <is>
          <t>32285000710532</t>
        </is>
      </c>
      <c r="BD353" t="inlineStr">
        <is>
          <t>893699750</t>
        </is>
      </c>
    </row>
    <row r="354">
      <c r="A354" t="inlineStr">
        <is>
          <t>No</t>
        </is>
      </c>
      <c r="B354" t="inlineStr">
        <is>
          <t>BT201 .B13 1948a</t>
        </is>
      </c>
      <c r="C354" t="inlineStr">
        <is>
          <t>0                      BT 0201000B  13          1948a</t>
        </is>
      </c>
      <c r="D354" t="inlineStr">
        <is>
          <t>God was in Christ; an essay on incarnation and atonement / by D.M. Baillie.</t>
        </is>
      </c>
      <c r="F354" t="inlineStr">
        <is>
          <t>No</t>
        </is>
      </c>
      <c r="G354" t="inlineStr">
        <is>
          <t>1</t>
        </is>
      </c>
      <c r="H354" t="inlineStr">
        <is>
          <t>No</t>
        </is>
      </c>
      <c r="I354" t="inlineStr">
        <is>
          <t>No</t>
        </is>
      </c>
      <c r="J354" t="inlineStr">
        <is>
          <t>0</t>
        </is>
      </c>
      <c r="K354" t="inlineStr">
        <is>
          <t>Baillie, D. M. (Donald Macpherson), 1887-1954.</t>
        </is>
      </c>
      <c r="L354" t="inlineStr">
        <is>
          <t>New York, C. Scribner's sons 1948.</t>
        </is>
      </c>
      <c r="M354" t="inlineStr">
        <is>
          <t>1948</t>
        </is>
      </c>
      <c r="O354" t="inlineStr">
        <is>
          <t>eng</t>
        </is>
      </c>
      <c r="P354" t="inlineStr">
        <is>
          <t>___</t>
        </is>
      </c>
      <c r="R354" t="inlineStr">
        <is>
          <t xml:space="preserve">BT </t>
        </is>
      </c>
      <c r="S354" t="n">
        <v>2</v>
      </c>
      <c r="T354" t="n">
        <v>2</v>
      </c>
      <c r="U354" t="inlineStr">
        <is>
          <t>1996-11-12</t>
        </is>
      </c>
      <c r="V354" t="inlineStr">
        <is>
          <t>1996-11-12</t>
        </is>
      </c>
      <c r="W354" t="inlineStr">
        <is>
          <t>1991-08-07</t>
        </is>
      </c>
      <c r="X354" t="inlineStr">
        <is>
          <t>1991-08-07</t>
        </is>
      </c>
      <c r="Y354" t="n">
        <v>481</v>
      </c>
      <c r="Z354" t="n">
        <v>440</v>
      </c>
      <c r="AA354" t="n">
        <v>937</v>
      </c>
      <c r="AB354" t="n">
        <v>6</v>
      </c>
      <c r="AC354" t="n">
        <v>9</v>
      </c>
      <c r="AD354" t="n">
        <v>22</v>
      </c>
      <c r="AE354" t="n">
        <v>46</v>
      </c>
      <c r="AF354" t="n">
        <v>7</v>
      </c>
      <c r="AG354" t="n">
        <v>19</v>
      </c>
      <c r="AH354" t="n">
        <v>2</v>
      </c>
      <c r="AI354" t="n">
        <v>7</v>
      </c>
      <c r="AJ354" t="n">
        <v>11</v>
      </c>
      <c r="AK354" t="n">
        <v>25</v>
      </c>
      <c r="AL354" t="n">
        <v>3</v>
      </c>
      <c r="AM354" t="n">
        <v>6</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HYPERLINK("https://creighton-primo.hosted.exlibrisgroup.com/primo-explore/search?tab=default_tab&amp;search_scope=EVERYTHING&amp;vid=01CRU&amp;lang=en_US&amp;offset=0&amp;query=any,contains,991002997139702656","Catalog Record")</f>
        <v/>
      </c>
      <c r="AT354">
        <f>HYPERLINK("http://www.worldcat.org/oclc/565534","WorldCat Record")</f>
        <v/>
      </c>
      <c r="AU354" t="inlineStr">
        <is>
          <t>1501634:eng</t>
        </is>
      </c>
      <c r="AV354" t="inlineStr">
        <is>
          <t>565534</t>
        </is>
      </c>
      <c r="AW354" t="inlineStr">
        <is>
          <t>991002997139702656</t>
        </is>
      </c>
      <c r="AX354" t="inlineStr">
        <is>
          <t>991002997139702656</t>
        </is>
      </c>
      <c r="AY354" t="inlineStr">
        <is>
          <t>2258989020002656</t>
        </is>
      </c>
      <c r="AZ354" t="inlineStr">
        <is>
          <t>BOOK</t>
        </is>
      </c>
      <c r="BC354" t="inlineStr">
        <is>
          <t>32285000710565</t>
        </is>
      </c>
      <c r="BD354" t="inlineStr">
        <is>
          <t>893245913</t>
        </is>
      </c>
    </row>
    <row r="355">
      <c r="A355" t="inlineStr">
        <is>
          <t>No</t>
        </is>
      </c>
      <c r="B355" t="inlineStr">
        <is>
          <t>BT201 .B42</t>
        </is>
      </c>
      <c r="C355" t="inlineStr">
        <is>
          <t>0                      BT 0201000B  42</t>
        </is>
      </c>
      <c r="D355" t="inlineStr">
        <is>
          <t>The person of Christ / G. C. Berkouwer. [Translated by John Vriend]</t>
        </is>
      </c>
      <c r="F355" t="inlineStr">
        <is>
          <t>No</t>
        </is>
      </c>
      <c r="G355" t="inlineStr">
        <is>
          <t>1</t>
        </is>
      </c>
      <c r="H355" t="inlineStr">
        <is>
          <t>No</t>
        </is>
      </c>
      <c r="I355" t="inlineStr">
        <is>
          <t>No</t>
        </is>
      </c>
      <c r="J355" t="inlineStr">
        <is>
          <t>0</t>
        </is>
      </c>
      <c r="K355" t="inlineStr">
        <is>
          <t>Berkouwer, G. C. (Gerrit Cornelis), 1903-1996.</t>
        </is>
      </c>
      <c r="L355" t="inlineStr">
        <is>
          <t>Grand Rapids : W. B. Eerdmans Pub. Co., c1954, 1980 printing.</t>
        </is>
      </c>
      <c r="M355" t="inlineStr">
        <is>
          <t>1954</t>
        </is>
      </c>
      <c r="O355" t="inlineStr">
        <is>
          <t>eng</t>
        </is>
      </c>
      <c r="P355" t="inlineStr">
        <is>
          <t>miu</t>
        </is>
      </c>
      <c r="Q355" t="inlineStr">
        <is>
          <t>Studies in dogmatics</t>
        </is>
      </c>
      <c r="R355" t="inlineStr">
        <is>
          <t xml:space="preserve">BT </t>
        </is>
      </c>
      <c r="S355" t="n">
        <v>6</v>
      </c>
      <c r="T355" t="n">
        <v>6</v>
      </c>
      <c r="U355" t="inlineStr">
        <is>
          <t>2003-01-09</t>
        </is>
      </c>
      <c r="V355" t="inlineStr">
        <is>
          <t>2003-01-09</t>
        </is>
      </c>
      <c r="W355" t="inlineStr">
        <is>
          <t>1991-08-07</t>
        </is>
      </c>
      <c r="X355" t="inlineStr">
        <is>
          <t>1991-08-07</t>
        </is>
      </c>
      <c r="Y355" t="n">
        <v>471</v>
      </c>
      <c r="Z355" t="n">
        <v>384</v>
      </c>
      <c r="AA355" t="n">
        <v>408</v>
      </c>
      <c r="AB355" t="n">
        <v>4</v>
      </c>
      <c r="AC355" t="n">
        <v>4</v>
      </c>
      <c r="AD355" t="n">
        <v>21</v>
      </c>
      <c r="AE355" t="n">
        <v>21</v>
      </c>
      <c r="AF355" t="n">
        <v>8</v>
      </c>
      <c r="AG355" t="n">
        <v>8</v>
      </c>
      <c r="AH355" t="n">
        <v>5</v>
      </c>
      <c r="AI355" t="n">
        <v>5</v>
      </c>
      <c r="AJ355" t="n">
        <v>10</v>
      </c>
      <c r="AK355" t="n">
        <v>10</v>
      </c>
      <c r="AL355" t="n">
        <v>2</v>
      </c>
      <c r="AM355" t="n">
        <v>2</v>
      </c>
      <c r="AN355" t="n">
        <v>0</v>
      </c>
      <c r="AO355" t="n">
        <v>0</v>
      </c>
      <c r="AP355" t="inlineStr">
        <is>
          <t>No</t>
        </is>
      </c>
      <c r="AQ355" t="inlineStr">
        <is>
          <t>Yes</t>
        </is>
      </c>
      <c r="AR355">
        <f>HYPERLINK("http://catalog.hathitrust.org/Record/001412056","HathiTrust Record")</f>
        <v/>
      </c>
      <c r="AS355">
        <f>HYPERLINK("https://creighton-primo.hosted.exlibrisgroup.com/primo-explore/search?tab=default_tab&amp;search_scope=EVERYTHING&amp;vid=01CRU&amp;lang=en_US&amp;offset=0&amp;query=any,contains,991002662679702656","Catalog Record")</f>
        <v/>
      </c>
      <c r="AT355">
        <f>HYPERLINK("http://www.worldcat.org/oclc/391956","WorldCat Record")</f>
        <v/>
      </c>
      <c r="AU355" t="inlineStr">
        <is>
          <t>9415498680:eng</t>
        </is>
      </c>
      <c r="AV355" t="inlineStr">
        <is>
          <t>391956</t>
        </is>
      </c>
      <c r="AW355" t="inlineStr">
        <is>
          <t>991002662679702656</t>
        </is>
      </c>
      <c r="AX355" t="inlineStr">
        <is>
          <t>991002662679702656</t>
        </is>
      </c>
      <c r="AY355" t="inlineStr">
        <is>
          <t>2260709930002656</t>
        </is>
      </c>
      <c r="AZ355" t="inlineStr">
        <is>
          <t>BOOK</t>
        </is>
      </c>
      <c r="BC355" t="inlineStr">
        <is>
          <t>32285000710573</t>
        </is>
      </c>
      <c r="BD355" t="inlineStr">
        <is>
          <t>893704332</t>
        </is>
      </c>
    </row>
    <row r="356">
      <c r="A356" t="inlineStr">
        <is>
          <t>No</t>
        </is>
      </c>
      <c r="B356" t="inlineStr">
        <is>
          <t>BT201 .D513</t>
        </is>
      </c>
      <c r="C356" t="inlineStr">
        <is>
          <t>0                      BT 0201000D  513</t>
        </is>
      </c>
      <c r="D356" t="inlineStr">
        <is>
          <t>Jesus / Martin Dibelius ; translated by Charles B. Hedrick and Frederick C. Grant.</t>
        </is>
      </c>
      <c r="F356" t="inlineStr">
        <is>
          <t>No</t>
        </is>
      </c>
      <c r="G356" t="inlineStr">
        <is>
          <t>1</t>
        </is>
      </c>
      <c r="H356" t="inlineStr">
        <is>
          <t>No</t>
        </is>
      </c>
      <c r="I356" t="inlineStr">
        <is>
          <t>No</t>
        </is>
      </c>
      <c r="J356" t="inlineStr">
        <is>
          <t>0</t>
        </is>
      </c>
      <c r="K356" t="inlineStr">
        <is>
          <t>Dibelius, Martin, 1883-1947.</t>
        </is>
      </c>
      <c r="L356" t="inlineStr">
        <is>
          <t>Philadelphia, Westminster Press [1949]</t>
        </is>
      </c>
      <c r="M356" t="inlineStr">
        <is>
          <t>1949</t>
        </is>
      </c>
      <c r="O356" t="inlineStr">
        <is>
          <t>eng</t>
        </is>
      </c>
      <c r="P356" t="inlineStr">
        <is>
          <t>pau</t>
        </is>
      </c>
      <c r="R356" t="inlineStr">
        <is>
          <t xml:space="preserve">BT </t>
        </is>
      </c>
      <c r="S356" t="n">
        <v>2</v>
      </c>
      <c r="T356" t="n">
        <v>2</v>
      </c>
      <c r="U356" t="inlineStr">
        <is>
          <t>1999-09-18</t>
        </is>
      </c>
      <c r="V356" t="inlineStr">
        <is>
          <t>1999-09-18</t>
        </is>
      </c>
      <c r="W356" t="inlineStr">
        <is>
          <t>1991-08-07</t>
        </is>
      </c>
      <c r="X356" t="inlineStr">
        <is>
          <t>1991-08-07</t>
        </is>
      </c>
      <c r="Y356" t="n">
        <v>673</v>
      </c>
      <c r="Z356" t="n">
        <v>622</v>
      </c>
      <c r="AA356" t="n">
        <v>637</v>
      </c>
      <c r="AB356" t="n">
        <v>6</v>
      </c>
      <c r="AC356" t="n">
        <v>7</v>
      </c>
      <c r="AD356" t="n">
        <v>36</v>
      </c>
      <c r="AE356" t="n">
        <v>36</v>
      </c>
      <c r="AF356" t="n">
        <v>15</v>
      </c>
      <c r="AG356" t="n">
        <v>15</v>
      </c>
      <c r="AH356" t="n">
        <v>7</v>
      </c>
      <c r="AI356" t="n">
        <v>7</v>
      </c>
      <c r="AJ356" t="n">
        <v>18</v>
      </c>
      <c r="AK356" t="n">
        <v>18</v>
      </c>
      <c r="AL356" t="n">
        <v>5</v>
      </c>
      <c r="AM356" t="n">
        <v>5</v>
      </c>
      <c r="AN356" t="n">
        <v>0</v>
      </c>
      <c r="AO356" t="n">
        <v>0</v>
      </c>
      <c r="AP356" t="inlineStr">
        <is>
          <t>No</t>
        </is>
      </c>
      <c r="AQ356" t="inlineStr">
        <is>
          <t>Yes</t>
        </is>
      </c>
      <c r="AR356">
        <f>HYPERLINK("http://catalog.hathitrust.org/Record/001412063","HathiTrust Record")</f>
        <v/>
      </c>
      <c r="AS356">
        <f>HYPERLINK("https://creighton-primo.hosted.exlibrisgroup.com/primo-explore/search?tab=default_tab&amp;search_scope=EVERYTHING&amp;vid=01CRU&amp;lang=en_US&amp;offset=0&amp;query=any,contains,991002373859702656","Catalog Record")</f>
        <v/>
      </c>
      <c r="AT356">
        <f>HYPERLINK("http://www.worldcat.org/oclc/327203","WorldCat Record")</f>
        <v/>
      </c>
      <c r="AU356" t="inlineStr">
        <is>
          <t>4918751632:eng</t>
        </is>
      </c>
      <c r="AV356" t="inlineStr">
        <is>
          <t>327203</t>
        </is>
      </c>
      <c r="AW356" t="inlineStr">
        <is>
          <t>991002373859702656</t>
        </is>
      </c>
      <c r="AX356" t="inlineStr">
        <is>
          <t>991002373859702656</t>
        </is>
      </c>
      <c r="AY356" t="inlineStr">
        <is>
          <t>2270951540002656</t>
        </is>
      </c>
      <c r="AZ356" t="inlineStr">
        <is>
          <t>BOOK</t>
        </is>
      </c>
      <c r="BC356" t="inlineStr">
        <is>
          <t>32285000710599</t>
        </is>
      </c>
      <c r="BD356" t="inlineStr">
        <is>
          <t>893792380</t>
        </is>
      </c>
    </row>
    <row r="357">
      <c r="A357" t="inlineStr">
        <is>
          <t>No</t>
        </is>
      </c>
      <c r="B357" t="inlineStr">
        <is>
          <t>BT201 .G464</t>
        </is>
      </c>
      <c r="C357" t="inlineStr">
        <is>
          <t>0                      BT 0201000G  464</t>
        </is>
      </c>
      <c r="D357" t="inlineStr">
        <is>
          <t>Christ the Saviour; a commentary on the third part of St.Thomas' Theological summa. Translated by Dom Bede Rose.</t>
        </is>
      </c>
      <c r="F357" t="inlineStr">
        <is>
          <t>No</t>
        </is>
      </c>
      <c r="G357" t="inlineStr">
        <is>
          <t>1</t>
        </is>
      </c>
      <c r="H357" t="inlineStr">
        <is>
          <t>No</t>
        </is>
      </c>
      <c r="I357" t="inlineStr">
        <is>
          <t>No</t>
        </is>
      </c>
      <c r="J357" t="inlineStr">
        <is>
          <t>0</t>
        </is>
      </c>
      <c r="K357" t="inlineStr">
        <is>
          <t>Garrigou-Lagrange, Réginald, 1877-1964.</t>
        </is>
      </c>
      <c r="L357" t="inlineStr">
        <is>
          <t>St.Louis, Herder, 1950.</t>
        </is>
      </c>
      <c r="M357" t="inlineStr">
        <is>
          <t>1950</t>
        </is>
      </c>
      <c r="O357" t="inlineStr">
        <is>
          <t>eng</t>
        </is>
      </c>
      <c r="P357" t="inlineStr">
        <is>
          <t>___</t>
        </is>
      </c>
      <c r="R357" t="inlineStr">
        <is>
          <t xml:space="preserve">BT </t>
        </is>
      </c>
      <c r="S357" t="n">
        <v>3</v>
      </c>
      <c r="T357" t="n">
        <v>3</v>
      </c>
      <c r="U357" t="inlineStr">
        <is>
          <t>1997-09-12</t>
        </is>
      </c>
      <c r="V357" t="inlineStr">
        <is>
          <t>1997-09-12</t>
        </is>
      </c>
      <c r="W357" t="inlineStr">
        <is>
          <t>1991-08-07</t>
        </is>
      </c>
      <c r="X357" t="inlineStr">
        <is>
          <t>1991-08-07</t>
        </is>
      </c>
      <c r="Y357" t="n">
        <v>255</v>
      </c>
      <c r="Z357" t="n">
        <v>213</v>
      </c>
      <c r="AA357" t="n">
        <v>224</v>
      </c>
      <c r="AB357" t="n">
        <v>2</v>
      </c>
      <c r="AC357" t="n">
        <v>2</v>
      </c>
      <c r="AD357" t="n">
        <v>31</v>
      </c>
      <c r="AE357" t="n">
        <v>31</v>
      </c>
      <c r="AF357" t="n">
        <v>11</v>
      </c>
      <c r="AG357" t="n">
        <v>11</v>
      </c>
      <c r="AH357" t="n">
        <v>8</v>
      </c>
      <c r="AI357" t="n">
        <v>8</v>
      </c>
      <c r="AJ357" t="n">
        <v>24</v>
      </c>
      <c r="AK357" t="n">
        <v>24</v>
      </c>
      <c r="AL357" t="n">
        <v>0</v>
      </c>
      <c r="AM357" t="n">
        <v>0</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HYPERLINK("https://creighton-primo.hosted.exlibrisgroup.com/primo-explore/search?tab=default_tab&amp;search_scope=EVERYTHING&amp;vid=01CRU&amp;lang=en_US&amp;offset=0&amp;query=any,contains,991003134479702656","Catalog Record")</f>
        <v/>
      </c>
      <c r="AT357">
        <f>HYPERLINK("http://www.worldcat.org/oclc/676604","WorldCat Record")</f>
        <v/>
      </c>
      <c r="AU357" t="inlineStr">
        <is>
          <t>337031132:eng</t>
        </is>
      </c>
      <c r="AV357" t="inlineStr">
        <is>
          <t>676604</t>
        </is>
      </c>
      <c r="AW357" t="inlineStr">
        <is>
          <t>991003134479702656</t>
        </is>
      </c>
      <c r="AX357" t="inlineStr">
        <is>
          <t>991003134479702656</t>
        </is>
      </c>
      <c r="AY357" t="inlineStr">
        <is>
          <t>2270368750002656</t>
        </is>
      </c>
      <c r="AZ357" t="inlineStr">
        <is>
          <t>BOOK</t>
        </is>
      </c>
      <c r="BC357" t="inlineStr">
        <is>
          <t>32285000710607</t>
        </is>
      </c>
      <c r="BD357" t="inlineStr">
        <is>
          <t>893868128</t>
        </is>
      </c>
    </row>
    <row r="358">
      <c r="A358" t="inlineStr">
        <is>
          <t>No</t>
        </is>
      </c>
      <c r="B358" t="inlineStr">
        <is>
          <t>BT201 .G73</t>
        </is>
      </c>
      <c r="C358" t="inlineStr">
        <is>
          <t>0                      BT 0201000G  73</t>
        </is>
      </c>
      <c r="D358" t="inlineStr">
        <is>
          <t>The Christ of Catholicism : a meditative study / by Aelred Graham.</t>
        </is>
      </c>
      <c r="F358" t="inlineStr">
        <is>
          <t>No</t>
        </is>
      </c>
      <c r="G358" t="inlineStr">
        <is>
          <t>1</t>
        </is>
      </c>
      <c r="H358" t="inlineStr">
        <is>
          <t>No</t>
        </is>
      </c>
      <c r="I358" t="inlineStr">
        <is>
          <t>No</t>
        </is>
      </c>
      <c r="J358" t="inlineStr">
        <is>
          <t>0</t>
        </is>
      </c>
      <c r="K358" t="inlineStr">
        <is>
          <t>Graham, Aelred, 1907-1984.</t>
        </is>
      </c>
      <c r="L358" t="inlineStr">
        <is>
          <t>London, New York, Longmans, Green, 1947.</t>
        </is>
      </c>
      <c r="M358" t="inlineStr">
        <is>
          <t>1947</t>
        </is>
      </c>
      <c r="N358" t="inlineStr">
        <is>
          <t>[1st ed.]</t>
        </is>
      </c>
      <c r="O358" t="inlineStr">
        <is>
          <t>eng</t>
        </is>
      </c>
      <c r="P358" t="inlineStr">
        <is>
          <t>enk</t>
        </is>
      </c>
      <c r="R358" t="inlineStr">
        <is>
          <t xml:space="preserve">BT </t>
        </is>
      </c>
      <c r="S358" t="n">
        <v>2</v>
      </c>
      <c r="T358" t="n">
        <v>2</v>
      </c>
      <c r="U358" t="inlineStr">
        <is>
          <t>1995-09-11</t>
        </is>
      </c>
      <c r="V358" t="inlineStr">
        <is>
          <t>1995-09-11</t>
        </is>
      </c>
      <c r="W358" t="inlineStr">
        <is>
          <t>1991-08-07</t>
        </is>
      </c>
      <c r="X358" t="inlineStr">
        <is>
          <t>1991-08-07</t>
        </is>
      </c>
      <c r="Y358" t="n">
        <v>236</v>
      </c>
      <c r="Z358" t="n">
        <v>195</v>
      </c>
      <c r="AA358" t="n">
        <v>287</v>
      </c>
      <c r="AB358" t="n">
        <v>3</v>
      </c>
      <c r="AC358" t="n">
        <v>4</v>
      </c>
      <c r="AD358" t="n">
        <v>28</v>
      </c>
      <c r="AE358" t="n">
        <v>32</v>
      </c>
      <c r="AF358" t="n">
        <v>10</v>
      </c>
      <c r="AG358" t="n">
        <v>12</v>
      </c>
      <c r="AH358" t="n">
        <v>7</v>
      </c>
      <c r="AI358" t="n">
        <v>8</v>
      </c>
      <c r="AJ358" t="n">
        <v>21</v>
      </c>
      <c r="AK358" t="n">
        <v>22</v>
      </c>
      <c r="AL358" t="n">
        <v>0</v>
      </c>
      <c r="AM358" t="n">
        <v>1</v>
      </c>
      <c r="AN358" t="n">
        <v>0</v>
      </c>
      <c r="AO358" t="n">
        <v>0</v>
      </c>
      <c r="AP358" t="inlineStr">
        <is>
          <t>No</t>
        </is>
      </c>
      <c r="AQ358" t="inlineStr">
        <is>
          <t>Yes</t>
        </is>
      </c>
      <c r="AR358">
        <f>HYPERLINK("http://catalog.hathitrust.org/Record/005774951","HathiTrust Record")</f>
        <v/>
      </c>
      <c r="AS358">
        <f>HYPERLINK("https://creighton-primo.hosted.exlibrisgroup.com/primo-explore/search?tab=default_tab&amp;search_scope=EVERYTHING&amp;vid=01CRU&amp;lang=en_US&amp;offset=0&amp;query=any,contains,991003888459702656","Catalog Record")</f>
        <v/>
      </c>
      <c r="AT358">
        <f>HYPERLINK("http://www.worldcat.org/oclc/1744729","WorldCat Record")</f>
        <v/>
      </c>
      <c r="AU358" t="inlineStr">
        <is>
          <t>197341428:eng</t>
        </is>
      </c>
      <c r="AV358" t="inlineStr">
        <is>
          <t>1744729</t>
        </is>
      </c>
      <c r="AW358" t="inlineStr">
        <is>
          <t>991003888459702656</t>
        </is>
      </c>
      <c r="AX358" t="inlineStr">
        <is>
          <t>991003888459702656</t>
        </is>
      </c>
      <c r="AY358" t="inlineStr">
        <is>
          <t>2261216350002656</t>
        </is>
      </c>
      <c r="AZ358" t="inlineStr">
        <is>
          <t>BOOK</t>
        </is>
      </c>
      <c r="BC358" t="inlineStr">
        <is>
          <t>32285000710631</t>
        </is>
      </c>
      <c r="BD358" t="inlineStr">
        <is>
          <t>893506104</t>
        </is>
      </c>
    </row>
    <row r="359">
      <c r="A359" t="inlineStr">
        <is>
          <t>No</t>
        </is>
      </c>
      <c r="B359" t="inlineStr">
        <is>
          <t>BT201 .G933</t>
        </is>
      </c>
      <c r="C359" t="inlineStr">
        <is>
          <t>0                      BT 0201000G  933</t>
        </is>
      </c>
      <c r="D359" t="inlineStr">
        <is>
          <t>Jesus, the eternal dilemma / by Jean Guitton. [Translated by Donald M. Antoine]</t>
        </is>
      </c>
      <c r="F359" t="inlineStr">
        <is>
          <t>No</t>
        </is>
      </c>
      <c r="G359" t="inlineStr">
        <is>
          <t>1</t>
        </is>
      </c>
      <c r="H359" t="inlineStr">
        <is>
          <t>No</t>
        </is>
      </c>
      <c r="I359" t="inlineStr">
        <is>
          <t>No</t>
        </is>
      </c>
      <c r="J359" t="inlineStr">
        <is>
          <t>0</t>
        </is>
      </c>
      <c r="K359" t="inlineStr">
        <is>
          <t>Guitton, Jean.</t>
        </is>
      </c>
      <c r="L359" t="inlineStr">
        <is>
          <t>Staten Island, N.Y., Alba House [1968, c1967]</t>
        </is>
      </c>
      <c r="M359" t="inlineStr">
        <is>
          <t>1968</t>
        </is>
      </c>
      <c r="O359" t="inlineStr">
        <is>
          <t>eng</t>
        </is>
      </c>
      <c r="P359" t="inlineStr">
        <is>
          <t>nyu</t>
        </is>
      </c>
      <c r="R359" t="inlineStr">
        <is>
          <t xml:space="preserve">BT </t>
        </is>
      </c>
      <c r="S359" t="n">
        <v>1</v>
      </c>
      <c r="T359" t="n">
        <v>1</v>
      </c>
      <c r="U359" t="inlineStr">
        <is>
          <t>2000-09-25</t>
        </is>
      </c>
      <c r="V359" t="inlineStr">
        <is>
          <t>2000-09-25</t>
        </is>
      </c>
      <c r="W359" t="inlineStr">
        <is>
          <t>1991-08-07</t>
        </is>
      </c>
      <c r="X359" t="inlineStr">
        <is>
          <t>1991-08-07</t>
        </is>
      </c>
      <c r="Y359" t="n">
        <v>182</v>
      </c>
      <c r="Z359" t="n">
        <v>162</v>
      </c>
      <c r="AA359" t="n">
        <v>173</v>
      </c>
      <c r="AB359" t="n">
        <v>2</v>
      </c>
      <c r="AC359" t="n">
        <v>2</v>
      </c>
      <c r="AD359" t="n">
        <v>20</v>
      </c>
      <c r="AE359" t="n">
        <v>21</v>
      </c>
      <c r="AF359" t="n">
        <v>3</v>
      </c>
      <c r="AG359" t="n">
        <v>4</v>
      </c>
      <c r="AH359" t="n">
        <v>5</v>
      </c>
      <c r="AI359" t="n">
        <v>5</v>
      </c>
      <c r="AJ359" t="n">
        <v>17</v>
      </c>
      <c r="AK359" t="n">
        <v>18</v>
      </c>
      <c r="AL359" t="n">
        <v>0</v>
      </c>
      <c r="AM359" t="n">
        <v>0</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HYPERLINK("https://creighton-primo.hosted.exlibrisgroup.com/primo-explore/search?tab=default_tab&amp;search_scope=EVERYTHING&amp;vid=01CRU&amp;lang=en_US&amp;offset=0&amp;query=any,contains,991002776479702656","Catalog Record")</f>
        <v/>
      </c>
      <c r="AT359">
        <f>HYPERLINK("http://www.worldcat.org/oclc/438902","WorldCat Record")</f>
        <v/>
      </c>
      <c r="AU359" t="inlineStr">
        <is>
          <t>1562446:eng</t>
        </is>
      </c>
      <c r="AV359" t="inlineStr">
        <is>
          <t>438902</t>
        </is>
      </c>
      <c r="AW359" t="inlineStr">
        <is>
          <t>991002776479702656</t>
        </is>
      </c>
      <c r="AX359" t="inlineStr">
        <is>
          <t>991002776479702656</t>
        </is>
      </c>
      <c r="AY359" t="inlineStr">
        <is>
          <t>2265346790002656</t>
        </is>
      </c>
      <c r="AZ359" t="inlineStr">
        <is>
          <t>BOOK</t>
        </is>
      </c>
      <c r="BC359" t="inlineStr">
        <is>
          <t>32285000710649</t>
        </is>
      </c>
      <c r="BD359" t="inlineStr">
        <is>
          <t>893440506</t>
        </is>
      </c>
    </row>
    <row r="360">
      <c r="A360" t="inlineStr">
        <is>
          <t>No</t>
        </is>
      </c>
      <c r="B360" t="inlineStr">
        <is>
          <t>BT201 .R6513</t>
        </is>
      </c>
      <c r="C360" t="inlineStr">
        <is>
          <t>0                      BT 0201000R  6513</t>
        </is>
      </c>
      <c r="D360" t="inlineStr">
        <is>
          <t>Who and what is Christ? / by F. Roh.</t>
        </is>
      </c>
      <c r="F360" t="inlineStr">
        <is>
          <t>No</t>
        </is>
      </c>
      <c r="G360" t="inlineStr">
        <is>
          <t>1</t>
        </is>
      </c>
      <c r="H360" t="inlineStr">
        <is>
          <t>No</t>
        </is>
      </c>
      <c r="I360" t="inlineStr">
        <is>
          <t>No</t>
        </is>
      </c>
      <c r="J360" t="inlineStr">
        <is>
          <t>0</t>
        </is>
      </c>
      <c r="K360" t="inlineStr">
        <is>
          <t>Roh, F., S.J.</t>
        </is>
      </c>
      <c r="L360" t="inlineStr">
        <is>
          <t>London : St.Anselm Society, 1890.</t>
        </is>
      </c>
      <c r="M360" t="inlineStr">
        <is>
          <t>1890</t>
        </is>
      </c>
      <c r="O360" t="inlineStr">
        <is>
          <t>eng</t>
        </is>
      </c>
      <c r="P360" t="inlineStr">
        <is>
          <t>___</t>
        </is>
      </c>
      <c r="R360" t="inlineStr">
        <is>
          <t xml:space="preserve">BT </t>
        </is>
      </c>
      <c r="S360" t="n">
        <v>4</v>
      </c>
      <c r="T360" t="n">
        <v>4</v>
      </c>
      <c r="U360" t="inlineStr">
        <is>
          <t>2000-09-20</t>
        </is>
      </c>
      <c r="V360" t="inlineStr">
        <is>
          <t>2000-09-20</t>
        </is>
      </c>
      <c r="W360" t="inlineStr">
        <is>
          <t>1990-03-06</t>
        </is>
      </c>
      <c r="X360" t="inlineStr">
        <is>
          <t>1990-03-06</t>
        </is>
      </c>
      <c r="Y360" t="n">
        <v>14</v>
      </c>
      <c r="Z360" t="n">
        <v>13</v>
      </c>
      <c r="AA360" t="n">
        <v>16</v>
      </c>
      <c r="AB360" t="n">
        <v>1</v>
      </c>
      <c r="AC360" t="n">
        <v>1</v>
      </c>
      <c r="AD360" t="n">
        <v>3</v>
      </c>
      <c r="AE360" t="n">
        <v>4</v>
      </c>
      <c r="AF360" t="n">
        <v>0</v>
      </c>
      <c r="AG360" t="n">
        <v>0</v>
      </c>
      <c r="AH360" t="n">
        <v>0</v>
      </c>
      <c r="AI360" t="n">
        <v>0</v>
      </c>
      <c r="AJ360" t="n">
        <v>3</v>
      </c>
      <c r="AK360" t="n">
        <v>4</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HYPERLINK("https://creighton-primo.hosted.exlibrisgroup.com/primo-explore/search?tab=default_tab&amp;search_scope=EVERYTHING&amp;vid=01CRU&amp;lang=en_US&amp;offset=0&amp;query=any,contains,991003132929702656","Catalog Record")</f>
        <v/>
      </c>
      <c r="AT360">
        <f>HYPERLINK("http://www.worldcat.org/oclc/675551","WorldCat Record")</f>
        <v/>
      </c>
      <c r="AU360" t="inlineStr">
        <is>
          <t>3855415190:eng</t>
        </is>
      </c>
      <c r="AV360" t="inlineStr">
        <is>
          <t>675551</t>
        </is>
      </c>
      <c r="AW360" t="inlineStr">
        <is>
          <t>991003132929702656</t>
        </is>
      </c>
      <c r="AX360" t="inlineStr">
        <is>
          <t>991003132929702656</t>
        </is>
      </c>
      <c r="AY360" t="inlineStr">
        <is>
          <t>2267463490002656</t>
        </is>
      </c>
      <c r="AZ360" t="inlineStr">
        <is>
          <t>BOOK</t>
        </is>
      </c>
      <c r="BC360" t="inlineStr">
        <is>
          <t>32285000077072</t>
        </is>
      </c>
      <c r="BD360" t="inlineStr">
        <is>
          <t>893899657</t>
        </is>
      </c>
    </row>
    <row r="361">
      <c r="A361" t="inlineStr">
        <is>
          <t>No</t>
        </is>
      </c>
      <c r="B361" t="inlineStr">
        <is>
          <t>BT201 .S38</t>
        </is>
      </c>
      <c r="C361" t="inlineStr">
        <is>
          <t>0                      BT 0201000S  38</t>
        </is>
      </c>
      <c r="D361" t="inlineStr">
        <is>
          <t>Jesus as men saw him / by Martin J. Scott, S. J.</t>
        </is>
      </c>
      <c r="F361" t="inlineStr">
        <is>
          <t>No</t>
        </is>
      </c>
      <c r="G361" t="inlineStr">
        <is>
          <t>1</t>
        </is>
      </c>
      <c r="H361" t="inlineStr">
        <is>
          <t>No</t>
        </is>
      </c>
      <c r="I361" t="inlineStr">
        <is>
          <t>No</t>
        </is>
      </c>
      <c r="J361" t="inlineStr">
        <is>
          <t>0</t>
        </is>
      </c>
      <c r="K361" t="inlineStr">
        <is>
          <t>Scott, Martin J. (Martin Jerome), 1865-1964.</t>
        </is>
      </c>
      <c r="L361" t="inlineStr">
        <is>
          <t>New York, P. J. Kenedy &amp; sons [c1940]</t>
        </is>
      </c>
      <c r="M361" t="inlineStr">
        <is>
          <t>1940</t>
        </is>
      </c>
      <c r="O361" t="inlineStr">
        <is>
          <t>eng</t>
        </is>
      </c>
      <c r="P361" t="inlineStr">
        <is>
          <t>nyu</t>
        </is>
      </c>
      <c r="R361" t="inlineStr">
        <is>
          <t xml:space="preserve">BT </t>
        </is>
      </c>
      <c r="S361" t="n">
        <v>2</v>
      </c>
      <c r="T361" t="n">
        <v>2</v>
      </c>
      <c r="U361" t="inlineStr">
        <is>
          <t>2000-09-14</t>
        </is>
      </c>
      <c r="V361" t="inlineStr">
        <is>
          <t>2000-09-14</t>
        </is>
      </c>
      <c r="W361" t="inlineStr">
        <is>
          <t>1991-08-07</t>
        </is>
      </c>
      <c r="X361" t="inlineStr">
        <is>
          <t>1991-08-07</t>
        </is>
      </c>
      <c r="Y361" t="n">
        <v>82</v>
      </c>
      <c r="Z361" t="n">
        <v>71</v>
      </c>
      <c r="AA361" t="n">
        <v>71</v>
      </c>
      <c r="AB361" t="n">
        <v>1</v>
      </c>
      <c r="AC361" t="n">
        <v>1</v>
      </c>
      <c r="AD361" t="n">
        <v>23</v>
      </c>
      <c r="AE361" t="n">
        <v>23</v>
      </c>
      <c r="AF361" t="n">
        <v>6</v>
      </c>
      <c r="AG361" t="n">
        <v>6</v>
      </c>
      <c r="AH361" t="n">
        <v>5</v>
      </c>
      <c r="AI361" t="n">
        <v>5</v>
      </c>
      <c r="AJ361" t="n">
        <v>19</v>
      </c>
      <c r="AK361" t="n">
        <v>19</v>
      </c>
      <c r="AL361" t="n">
        <v>0</v>
      </c>
      <c r="AM361" t="n">
        <v>0</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HYPERLINK("https://creighton-primo.hosted.exlibrisgroup.com/primo-explore/search?tab=default_tab&amp;search_scope=EVERYTHING&amp;vid=01CRU&amp;lang=en_US&amp;offset=0&amp;query=any,contains,991003967489702656","Catalog Record")</f>
        <v/>
      </c>
      <c r="AT361">
        <f>HYPERLINK("http://www.worldcat.org/oclc/1988641","WorldCat Record")</f>
        <v/>
      </c>
      <c r="AU361" t="inlineStr">
        <is>
          <t>181199271:eng</t>
        </is>
      </c>
      <c r="AV361" t="inlineStr">
        <is>
          <t>1988641</t>
        </is>
      </c>
      <c r="AW361" t="inlineStr">
        <is>
          <t>991003967489702656</t>
        </is>
      </c>
      <c r="AX361" t="inlineStr">
        <is>
          <t>991003967489702656</t>
        </is>
      </c>
      <c r="AY361" t="inlineStr">
        <is>
          <t>2268231330002656</t>
        </is>
      </c>
      <c r="AZ361" t="inlineStr">
        <is>
          <t>BOOK</t>
        </is>
      </c>
      <c r="BC361" t="inlineStr">
        <is>
          <t>32285000710698</t>
        </is>
      </c>
      <c r="BD361" t="inlineStr">
        <is>
          <t>893894417</t>
        </is>
      </c>
    </row>
    <row r="362">
      <c r="A362" t="inlineStr">
        <is>
          <t>No</t>
        </is>
      </c>
      <c r="B362" t="inlineStr">
        <is>
          <t>BT201 .S64</t>
        </is>
      </c>
      <c r="C362" t="inlineStr">
        <is>
          <t>0                      BT 0201000S  64</t>
        </is>
      </c>
      <c r="D362" t="inlineStr">
        <is>
          <t>Jesus Christ, God and man / by the Reverend George D. Smith ; introduction by Charles L. Sonvay.</t>
        </is>
      </c>
      <c r="F362" t="inlineStr">
        <is>
          <t>No</t>
        </is>
      </c>
      <c r="G362" t="inlineStr">
        <is>
          <t>1</t>
        </is>
      </c>
      <c r="H362" t="inlineStr">
        <is>
          <t>No</t>
        </is>
      </c>
      <c r="I362" t="inlineStr">
        <is>
          <t>No</t>
        </is>
      </c>
      <c r="J362" t="inlineStr">
        <is>
          <t>0</t>
        </is>
      </c>
      <c r="K362" t="inlineStr">
        <is>
          <t>Smith, George D. (George Duncan), 1893-</t>
        </is>
      </c>
      <c r="L362" t="inlineStr">
        <is>
          <t>New York, The Macmillan company, 1930.</t>
        </is>
      </c>
      <c r="M362" t="inlineStr">
        <is>
          <t>1930</t>
        </is>
      </c>
      <c r="O362" t="inlineStr">
        <is>
          <t>eng</t>
        </is>
      </c>
      <c r="P362" t="inlineStr">
        <is>
          <t>nyu</t>
        </is>
      </c>
      <c r="Q362" t="inlineStr">
        <is>
          <t>The treasury of the faith series: 11</t>
        </is>
      </c>
      <c r="R362" t="inlineStr">
        <is>
          <t xml:space="preserve">BT </t>
        </is>
      </c>
      <c r="S362" t="n">
        <v>2</v>
      </c>
      <c r="T362" t="n">
        <v>2</v>
      </c>
      <c r="U362" t="inlineStr">
        <is>
          <t>1995-10-02</t>
        </is>
      </c>
      <c r="V362" t="inlineStr">
        <is>
          <t>1995-10-02</t>
        </is>
      </c>
      <c r="W362" t="inlineStr">
        <is>
          <t>1991-08-07</t>
        </is>
      </c>
      <c r="X362" t="inlineStr">
        <is>
          <t>1991-08-07</t>
        </is>
      </c>
      <c r="Y362" t="n">
        <v>45</v>
      </c>
      <c r="Z362" t="n">
        <v>44</v>
      </c>
      <c r="AA362" t="n">
        <v>50</v>
      </c>
      <c r="AB362" t="n">
        <v>1</v>
      </c>
      <c r="AC362" t="n">
        <v>1</v>
      </c>
      <c r="AD362" t="n">
        <v>12</v>
      </c>
      <c r="AE362" t="n">
        <v>14</v>
      </c>
      <c r="AF362" t="n">
        <v>1</v>
      </c>
      <c r="AG362" t="n">
        <v>2</v>
      </c>
      <c r="AH362" t="n">
        <v>4</v>
      </c>
      <c r="AI362" t="n">
        <v>4</v>
      </c>
      <c r="AJ362" t="n">
        <v>10</v>
      </c>
      <c r="AK362" t="n">
        <v>12</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HYPERLINK("https://creighton-primo.hosted.exlibrisgroup.com/primo-explore/search?tab=default_tab&amp;search_scope=EVERYTHING&amp;vid=01CRU&amp;lang=en_US&amp;offset=0&amp;query=any,contains,991003906169702656","Catalog Record")</f>
        <v/>
      </c>
      <c r="AT362">
        <f>HYPERLINK("http://www.worldcat.org/oclc/1838936","WorldCat Record")</f>
        <v/>
      </c>
      <c r="AU362" t="inlineStr">
        <is>
          <t>2838593:eng</t>
        </is>
      </c>
      <c r="AV362" t="inlineStr">
        <is>
          <t>1838936</t>
        </is>
      </c>
      <c r="AW362" t="inlineStr">
        <is>
          <t>991003906169702656</t>
        </is>
      </c>
      <c r="AX362" t="inlineStr">
        <is>
          <t>991003906169702656</t>
        </is>
      </c>
      <c r="AY362" t="inlineStr">
        <is>
          <t>2255020390002656</t>
        </is>
      </c>
      <c r="AZ362" t="inlineStr">
        <is>
          <t>BOOK</t>
        </is>
      </c>
      <c r="BC362" t="inlineStr">
        <is>
          <t>32285000710706</t>
        </is>
      </c>
      <c r="BD362" t="inlineStr">
        <is>
          <t>893343229</t>
        </is>
      </c>
    </row>
    <row r="363">
      <c r="A363" t="inlineStr">
        <is>
          <t>No</t>
        </is>
      </c>
      <c r="B363" t="inlineStr">
        <is>
          <t>BT201 .T24</t>
        </is>
      </c>
      <c r="C363" t="inlineStr">
        <is>
          <t>0                      BT 0201000T  24</t>
        </is>
      </c>
      <c r="D363" t="inlineStr">
        <is>
          <t>The person of Christ in New Testament teaching / by Vincent Taylor.</t>
        </is>
      </c>
      <c r="F363" t="inlineStr">
        <is>
          <t>No</t>
        </is>
      </c>
      <c r="G363" t="inlineStr">
        <is>
          <t>1</t>
        </is>
      </c>
      <c r="H363" t="inlineStr">
        <is>
          <t>No</t>
        </is>
      </c>
      <c r="I363" t="inlineStr">
        <is>
          <t>No</t>
        </is>
      </c>
      <c r="J363" t="inlineStr">
        <is>
          <t>0</t>
        </is>
      </c>
      <c r="K363" t="inlineStr">
        <is>
          <t>Taylor, Vincent, 1887-1968.</t>
        </is>
      </c>
      <c r="L363" t="inlineStr">
        <is>
          <t>London, Macmillan; New York, St. Martin's Press, 1958.</t>
        </is>
      </c>
      <c r="M363" t="inlineStr">
        <is>
          <t>1958</t>
        </is>
      </c>
      <c r="O363" t="inlineStr">
        <is>
          <t>eng</t>
        </is>
      </c>
      <c r="P363" t="inlineStr">
        <is>
          <t>___</t>
        </is>
      </c>
      <c r="R363" t="inlineStr">
        <is>
          <t xml:space="preserve">BT </t>
        </is>
      </c>
      <c r="S363" t="n">
        <v>3</v>
      </c>
      <c r="T363" t="n">
        <v>3</v>
      </c>
      <c r="U363" t="inlineStr">
        <is>
          <t>2005-04-20</t>
        </is>
      </c>
      <c r="V363" t="inlineStr">
        <is>
          <t>2005-04-20</t>
        </is>
      </c>
      <c r="W363" t="inlineStr">
        <is>
          <t>1991-08-07</t>
        </is>
      </c>
      <c r="X363" t="inlineStr">
        <is>
          <t>1991-08-07</t>
        </is>
      </c>
      <c r="Y363" t="n">
        <v>508</v>
      </c>
      <c r="Z363" t="n">
        <v>393</v>
      </c>
      <c r="AA363" t="n">
        <v>411</v>
      </c>
      <c r="AB363" t="n">
        <v>5</v>
      </c>
      <c r="AC363" t="n">
        <v>5</v>
      </c>
      <c r="AD363" t="n">
        <v>35</v>
      </c>
      <c r="AE363" t="n">
        <v>35</v>
      </c>
      <c r="AF363" t="n">
        <v>13</v>
      </c>
      <c r="AG363" t="n">
        <v>13</v>
      </c>
      <c r="AH363" t="n">
        <v>8</v>
      </c>
      <c r="AI363" t="n">
        <v>8</v>
      </c>
      <c r="AJ363" t="n">
        <v>20</v>
      </c>
      <c r="AK363" t="n">
        <v>20</v>
      </c>
      <c r="AL363" t="n">
        <v>3</v>
      </c>
      <c r="AM363" t="n">
        <v>3</v>
      </c>
      <c r="AN363" t="n">
        <v>0</v>
      </c>
      <c r="AO363" t="n">
        <v>0</v>
      </c>
      <c r="AP363" t="inlineStr">
        <is>
          <t>No</t>
        </is>
      </c>
      <c r="AQ363" t="inlineStr">
        <is>
          <t>Yes</t>
        </is>
      </c>
      <c r="AR363">
        <f>HYPERLINK("http://catalog.hathitrust.org/Record/007346826","HathiTrust Record")</f>
        <v/>
      </c>
      <c r="AS363">
        <f>HYPERLINK("https://creighton-primo.hosted.exlibrisgroup.com/primo-explore/search?tab=default_tab&amp;search_scope=EVERYTHING&amp;vid=01CRU&amp;lang=en_US&amp;offset=0&amp;query=any,contains,991002639809702656","Catalog Record")</f>
        <v/>
      </c>
      <c r="AT363">
        <f>HYPERLINK("http://www.worldcat.org/oclc/383755","WorldCat Record")</f>
        <v/>
      </c>
      <c r="AU363" t="inlineStr">
        <is>
          <t>118935505:eng</t>
        </is>
      </c>
      <c r="AV363" t="inlineStr">
        <is>
          <t>383755</t>
        </is>
      </c>
      <c r="AW363" t="inlineStr">
        <is>
          <t>991002639809702656</t>
        </is>
      </c>
      <c r="AX363" t="inlineStr">
        <is>
          <t>991002639809702656</t>
        </is>
      </c>
      <c r="AY363" t="inlineStr">
        <is>
          <t>2260515310002656</t>
        </is>
      </c>
      <c r="AZ363" t="inlineStr">
        <is>
          <t>BOOK</t>
        </is>
      </c>
      <c r="BC363" t="inlineStr">
        <is>
          <t>32285000710714</t>
        </is>
      </c>
      <c r="BD363" t="inlineStr">
        <is>
          <t>893409357</t>
        </is>
      </c>
    </row>
    <row r="364">
      <c r="A364" t="inlineStr">
        <is>
          <t>No</t>
        </is>
      </c>
      <c r="B364" t="inlineStr">
        <is>
          <t>BT201 .V6</t>
        </is>
      </c>
      <c r="C364" t="inlineStr">
        <is>
          <t>0                      BT 0201000V  6</t>
        </is>
      </c>
      <c r="D364" t="inlineStr">
        <is>
          <t>Christ, the king of glory : Tu rex gloriae Christe / Anscar Vonier.</t>
        </is>
      </c>
      <c r="F364" t="inlineStr">
        <is>
          <t>No</t>
        </is>
      </c>
      <c r="G364" t="inlineStr">
        <is>
          <t>1</t>
        </is>
      </c>
      <c r="H364" t="inlineStr">
        <is>
          <t>No</t>
        </is>
      </c>
      <c r="I364" t="inlineStr">
        <is>
          <t>No</t>
        </is>
      </c>
      <c r="J364" t="inlineStr">
        <is>
          <t>0</t>
        </is>
      </c>
      <c r="K364" t="inlineStr">
        <is>
          <t>Vonier, Anscar, 1875-1938.</t>
        </is>
      </c>
      <c r="L364" t="inlineStr">
        <is>
          <t>New York : Macmillan [1932]</t>
        </is>
      </c>
      <c r="M364" t="inlineStr">
        <is>
          <t>1932</t>
        </is>
      </c>
      <c r="O364" t="inlineStr">
        <is>
          <t>eng</t>
        </is>
      </c>
      <c r="P364" t="inlineStr">
        <is>
          <t>nyu</t>
        </is>
      </c>
      <c r="R364" t="inlineStr">
        <is>
          <t xml:space="preserve">BT </t>
        </is>
      </c>
      <c r="S364" t="n">
        <v>3</v>
      </c>
      <c r="T364" t="n">
        <v>3</v>
      </c>
      <c r="U364" t="inlineStr">
        <is>
          <t>2002-04-01</t>
        </is>
      </c>
      <c r="V364" t="inlineStr">
        <is>
          <t>2002-04-01</t>
        </is>
      </c>
      <c r="W364" t="inlineStr">
        <is>
          <t>1991-08-07</t>
        </is>
      </c>
      <c r="X364" t="inlineStr">
        <is>
          <t>1991-08-07</t>
        </is>
      </c>
      <c r="Y364" t="n">
        <v>27</v>
      </c>
      <c r="Z364" t="n">
        <v>25</v>
      </c>
      <c r="AA364" t="n">
        <v>55</v>
      </c>
      <c r="AB364" t="n">
        <v>1</v>
      </c>
      <c r="AC364" t="n">
        <v>1</v>
      </c>
      <c r="AD364" t="n">
        <v>5</v>
      </c>
      <c r="AE364" t="n">
        <v>7</v>
      </c>
      <c r="AF364" t="n">
        <v>0</v>
      </c>
      <c r="AG364" t="n">
        <v>1</v>
      </c>
      <c r="AH364" t="n">
        <v>3</v>
      </c>
      <c r="AI364" t="n">
        <v>4</v>
      </c>
      <c r="AJ364" t="n">
        <v>3</v>
      </c>
      <c r="AK364" t="n">
        <v>5</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HYPERLINK("https://creighton-primo.hosted.exlibrisgroup.com/primo-explore/search?tab=default_tab&amp;search_scope=EVERYTHING&amp;vid=01CRU&amp;lang=en_US&amp;offset=0&amp;query=any,contains,991004455459702656","Catalog Record")</f>
        <v/>
      </c>
      <c r="AT364">
        <f>HYPERLINK("http://www.worldcat.org/oclc/3523427","WorldCat Record")</f>
        <v/>
      </c>
      <c r="AU364" t="inlineStr">
        <is>
          <t>10872846:eng</t>
        </is>
      </c>
      <c r="AV364" t="inlineStr">
        <is>
          <t>3523427</t>
        </is>
      </c>
      <c r="AW364" t="inlineStr">
        <is>
          <t>991004455459702656</t>
        </is>
      </c>
      <c r="AX364" t="inlineStr">
        <is>
          <t>991004455459702656</t>
        </is>
      </c>
      <c r="AY364" t="inlineStr">
        <is>
          <t>2262030270002656</t>
        </is>
      </c>
      <c r="AZ364" t="inlineStr">
        <is>
          <t>BOOK</t>
        </is>
      </c>
      <c r="BC364" t="inlineStr">
        <is>
          <t>32285000710722</t>
        </is>
      </c>
      <c r="BD364" t="inlineStr">
        <is>
          <t>893706437</t>
        </is>
      </c>
    </row>
    <row r="365">
      <c r="A365" t="inlineStr">
        <is>
          <t>No</t>
        </is>
      </c>
      <c r="B365" t="inlineStr">
        <is>
          <t>BT202 .A613</t>
        </is>
      </c>
      <c r="C365" t="inlineStr">
        <is>
          <t>0                      BT 0202000A  613</t>
        </is>
      </c>
      <c r="D365" t="inlineStr">
        <is>
          <t>My conversations with Teilhard de Chardin on the primacy of Christ, Peking, 1942-1945 / [by] Gabriel M. Allegra. Translated with an introd. and notes by Bernardino M. Bonansea.</t>
        </is>
      </c>
      <c r="F365" t="inlineStr">
        <is>
          <t>No</t>
        </is>
      </c>
      <c r="G365" t="inlineStr">
        <is>
          <t>1</t>
        </is>
      </c>
      <c r="H365" t="inlineStr">
        <is>
          <t>No</t>
        </is>
      </c>
      <c r="I365" t="inlineStr">
        <is>
          <t>No</t>
        </is>
      </c>
      <c r="J365" t="inlineStr">
        <is>
          <t>0</t>
        </is>
      </c>
      <c r="K365" t="inlineStr">
        <is>
          <t>Allegra, Gabriele Maria.</t>
        </is>
      </c>
      <c r="L365" t="inlineStr">
        <is>
          <t>Chicago, Franciscan Herald Press [1971]</t>
        </is>
      </c>
      <c r="M365" t="inlineStr">
        <is>
          <t>1971</t>
        </is>
      </c>
      <c r="O365" t="inlineStr">
        <is>
          <t>eng</t>
        </is>
      </c>
      <c r="P365" t="inlineStr">
        <is>
          <t>ilu</t>
        </is>
      </c>
      <c r="R365" t="inlineStr">
        <is>
          <t xml:space="preserve">BT </t>
        </is>
      </c>
      <c r="S365" t="n">
        <v>4</v>
      </c>
      <c r="T365" t="n">
        <v>4</v>
      </c>
      <c r="U365" t="inlineStr">
        <is>
          <t>2000-02-21</t>
        </is>
      </c>
      <c r="V365" t="inlineStr">
        <is>
          <t>2000-02-21</t>
        </is>
      </c>
      <c r="W365" t="inlineStr">
        <is>
          <t>1991-08-07</t>
        </is>
      </c>
      <c r="X365" t="inlineStr">
        <is>
          <t>1991-08-07</t>
        </is>
      </c>
      <c r="Y365" t="n">
        <v>263</v>
      </c>
      <c r="Z365" t="n">
        <v>231</v>
      </c>
      <c r="AA365" t="n">
        <v>233</v>
      </c>
      <c r="AB365" t="n">
        <v>2</v>
      </c>
      <c r="AC365" t="n">
        <v>2</v>
      </c>
      <c r="AD365" t="n">
        <v>23</v>
      </c>
      <c r="AE365" t="n">
        <v>23</v>
      </c>
      <c r="AF365" t="n">
        <v>5</v>
      </c>
      <c r="AG365" t="n">
        <v>5</v>
      </c>
      <c r="AH365" t="n">
        <v>8</v>
      </c>
      <c r="AI365" t="n">
        <v>8</v>
      </c>
      <c r="AJ365" t="n">
        <v>17</v>
      </c>
      <c r="AK365" t="n">
        <v>17</v>
      </c>
      <c r="AL365" t="n">
        <v>1</v>
      </c>
      <c r="AM365" t="n">
        <v>1</v>
      </c>
      <c r="AN365" t="n">
        <v>0</v>
      </c>
      <c r="AO365" t="n">
        <v>0</v>
      </c>
      <c r="AP365" t="inlineStr">
        <is>
          <t>No</t>
        </is>
      </c>
      <c r="AQ365" t="inlineStr">
        <is>
          <t>Yes</t>
        </is>
      </c>
      <c r="AR365">
        <f>HYPERLINK("http://catalog.hathitrust.org/Record/009492804","HathiTrust Record")</f>
        <v/>
      </c>
      <c r="AS365">
        <f>HYPERLINK("https://creighton-primo.hosted.exlibrisgroup.com/primo-explore/search?tab=default_tab&amp;search_scope=EVERYTHING&amp;vid=01CRU&amp;lang=en_US&amp;offset=0&amp;query=any,contains,991000778529702656","Catalog Record")</f>
        <v/>
      </c>
      <c r="AT365">
        <f>HYPERLINK("http://www.worldcat.org/oclc/134156","WorldCat Record")</f>
        <v/>
      </c>
      <c r="AU365" t="inlineStr">
        <is>
          <t>1278335:eng</t>
        </is>
      </c>
      <c r="AV365" t="inlineStr">
        <is>
          <t>134156</t>
        </is>
      </c>
      <c r="AW365" t="inlineStr">
        <is>
          <t>991000778529702656</t>
        </is>
      </c>
      <c r="AX365" t="inlineStr">
        <is>
          <t>991000778529702656</t>
        </is>
      </c>
      <c r="AY365" t="inlineStr">
        <is>
          <t>2260818490002656</t>
        </is>
      </c>
      <c r="AZ365" t="inlineStr">
        <is>
          <t>BOOK</t>
        </is>
      </c>
      <c r="BB365" t="inlineStr">
        <is>
          <t>9780819904294</t>
        </is>
      </c>
      <c r="BC365" t="inlineStr">
        <is>
          <t>32285000710748</t>
        </is>
      </c>
      <c r="BD365" t="inlineStr">
        <is>
          <t>893608270</t>
        </is>
      </c>
    </row>
    <row r="366">
      <c r="A366" t="inlineStr">
        <is>
          <t>No</t>
        </is>
      </c>
      <c r="B366" t="inlineStr">
        <is>
          <t>BT202 .B359</t>
        </is>
      </c>
      <c r="C366" t="inlineStr">
        <is>
          <t>0                      BT 0202000B  359</t>
        </is>
      </c>
      <c r="D366" t="inlineStr">
        <is>
          <t>Christ proclaimed Christology as rhetoric / Frans Jozef van Beeck-</t>
        </is>
      </c>
      <c r="F366" t="inlineStr">
        <is>
          <t>No</t>
        </is>
      </c>
      <c r="G366" t="inlineStr">
        <is>
          <t>1</t>
        </is>
      </c>
      <c r="H366" t="inlineStr">
        <is>
          <t>No</t>
        </is>
      </c>
      <c r="I366" t="inlineStr">
        <is>
          <t>No</t>
        </is>
      </c>
      <c r="J366" t="inlineStr">
        <is>
          <t>0</t>
        </is>
      </c>
      <c r="K366" t="inlineStr">
        <is>
          <t>Beeck, Frans Jozef van.</t>
        </is>
      </c>
      <c r="L366" t="inlineStr">
        <is>
          <t>New York : Paulist Press, 1979.</t>
        </is>
      </c>
      <c r="M366" t="inlineStr">
        <is>
          <t>1979</t>
        </is>
      </c>
      <c r="O366" t="inlineStr">
        <is>
          <t>eng</t>
        </is>
      </c>
      <c r="P366" t="inlineStr">
        <is>
          <t>nyu</t>
        </is>
      </c>
      <c r="Q366" t="inlineStr">
        <is>
          <t>Theological inquiries</t>
        </is>
      </c>
      <c r="R366" t="inlineStr">
        <is>
          <t xml:space="preserve">BT </t>
        </is>
      </c>
      <c r="S366" t="n">
        <v>6</v>
      </c>
      <c r="T366" t="n">
        <v>6</v>
      </c>
      <c r="U366" t="inlineStr">
        <is>
          <t>1998-09-27</t>
        </is>
      </c>
      <c r="V366" t="inlineStr">
        <is>
          <t>1998-09-27</t>
        </is>
      </c>
      <c r="W366" t="inlineStr">
        <is>
          <t>1991-08-09</t>
        </is>
      </c>
      <c r="X366" t="inlineStr">
        <is>
          <t>1991-08-09</t>
        </is>
      </c>
      <c r="Y366" t="n">
        <v>312</v>
      </c>
      <c r="Z366" t="n">
        <v>257</v>
      </c>
      <c r="AA366" t="n">
        <v>262</v>
      </c>
      <c r="AB366" t="n">
        <v>2</v>
      </c>
      <c r="AC366" t="n">
        <v>2</v>
      </c>
      <c r="AD366" t="n">
        <v>26</v>
      </c>
      <c r="AE366" t="n">
        <v>26</v>
      </c>
      <c r="AF366" t="n">
        <v>6</v>
      </c>
      <c r="AG366" t="n">
        <v>6</v>
      </c>
      <c r="AH366" t="n">
        <v>8</v>
      </c>
      <c r="AI366" t="n">
        <v>8</v>
      </c>
      <c r="AJ366" t="n">
        <v>20</v>
      </c>
      <c r="AK366" t="n">
        <v>20</v>
      </c>
      <c r="AL366" t="n">
        <v>0</v>
      </c>
      <c r="AM366" t="n">
        <v>0</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HYPERLINK("https://creighton-primo.hosted.exlibrisgroup.com/primo-explore/search?tab=default_tab&amp;search_scope=EVERYTHING&amp;vid=01CRU&amp;lang=en_US&amp;offset=0&amp;query=any,contains,991004914269702656","Catalog Record")</f>
        <v/>
      </c>
      <c r="AT366">
        <f>HYPERLINK("http://www.worldcat.org/oclc/5822959","WorldCat Record")</f>
        <v/>
      </c>
      <c r="AU366" t="inlineStr">
        <is>
          <t>891025488:eng</t>
        </is>
      </c>
      <c r="AV366" t="inlineStr">
        <is>
          <t>5822959</t>
        </is>
      </c>
      <c r="AW366" t="inlineStr">
        <is>
          <t>991004914269702656</t>
        </is>
      </c>
      <c r="AX366" t="inlineStr">
        <is>
          <t>991004914269702656</t>
        </is>
      </c>
      <c r="AY366" t="inlineStr">
        <is>
          <t>2267068770002656</t>
        </is>
      </c>
      <c r="AZ366" t="inlineStr">
        <is>
          <t>BOOK</t>
        </is>
      </c>
      <c r="BB366" t="inlineStr">
        <is>
          <t>9780809122080</t>
        </is>
      </c>
      <c r="BC366" t="inlineStr">
        <is>
          <t>32285000710771</t>
        </is>
      </c>
      <c r="BD366" t="inlineStr">
        <is>
          <t>893260316</t>
        </is>
      </c>
    </row>
    <row r="367">
      <c r="A367" t="inlineStr">
        <is>
          <t>No</t>
        </is>
      </c>
      <c r="B367" t="inlineStr">
        <is>
          <t>BT202 .B413</t>
        </is>
      </c>
      <c r="C367" t="inlineStr">
        <is>
          <t>0                      BT 0202000B  413</t>
        </is>
      </c>
      <c r="D367" t="inlineStr">
        <is>
          <t>The work of Christ / by G.C. Berkouwer. [Translated by Cornelius Lambregtse]</t>
        </is>
      </c>
      <c r="F367" t="inlineStr">
        <is>
          <t>No</t>
        </is>
      </c>
      <c r="G367" t="inlineStr">
        <is>
          <t>1</t>
        </is>
      </c>
      <c r="H367" t="inlineStr">
        <is>
          <t>No</t>
        </is>
      </c>
      <c r="I367" t="inlineStr">
        <is>
          <t>No</t>
        </is>
      </c>
      <c r="J367" t="inlineStr">
        <is>
          <t>0</t>
        </is>
      </c>
      <c r="K367" t="inlineStr">
        <is>
          <t>Berkouwer, G. C. (Gerrit Cornelis), 1903-1996.</t>
        </is>
      </c>
      <c r="L367" t="inlineStr">
        <is>
          <t>Grand Rapids : W.B. Eerdmans Pub. Co., c1965,1980 printing.</t>
        </is>
      </c>
      <c r="M367" t="inlineStr">
        <is>
          <t>1965</t>
        </is>
      </c>
      <c r="O367" t="inlineStr">
        <is>
          <t>eng</t>
        </is>
      </c>
      <c r="P367" t="inlineStr">
        <is>
          <t>miu</t>
        </is>
      </c>
      <c r="Q367" t="inlineStr">
        <is>
          <t>His studies in dogmatics</t>
        </is>
      </c>
      <c r="R367" t="inlineStr">
        <is>
          <t xml:space="preserve">BT </t>
        </is>
      </c>
      <c r="S367" t="n">
        <v>1</v>
      </c>
      <c r="T367" t="n">
        <v>1</v>
      </c>
      <c r="U367" t="inlineStr">
        <is>
          <t>1992-12-01</t>
        </is>
      </c>
      <c r="V367" t="inlineStr">
        <is>
          <t>1992-12-01</t>
        </is>
      </c>
      <c r="W367" t="inlineStr">
        <is>
          <t>1991-08-09</t>
        </is>
      </c>
      <c r="X367" t="inlineStr">
        <is>
          <t>1991-08-09</t>
        </is>
      </c>
      <c r="Y367" t="n">
        <v>449</v>
      </c>
      <c r="Z367" t="n">
        <v>361</v>
      </c>
      <c r="AA367" t="n">
        <v>366</v>
      </c>
      <c r="AB367" t="n">
        <v>2</v>
      </c>
      <c r="AC367" t="n">
        <v>2</v>
      </c>
      <c r="AD367" t="n">
        <v>20</v>
      </c>
      <c r="AE367" t="n">
        <v>20</v>
      </c>
      <c r="AF367" t="n">
        <v>10</v>
      </c>
      <c r="AG367" t="n">
        <v>10</v>
      </c>
      <c r="AH367" t="n">
        <v>5</v>
      </c>
      <c r="AI367" t="n">
        <v>5</v>
      </c>
      <c r="AJ367" t="n">
        <v>10</v>
      </c>
      <c r="AK367" t="n">
        <v>10</v>
      </c>
      <c r="AL367" t="n">
        <v>1</v>
      </c>
      <c r="AM367" t="n">
        <v>1</v>
      </c>
      <c r="AN367" t="n">
        <v>0</v>
      </c>
      <c r="AO367" t="n">
        <v>0</v>
      </c>
      <c r="AP367" t="inlineStr">
        <is>
          <t>No</t>
        </is>
      </c>
      <c r="AQ367" t="inlineStr">
        <is>
          <t>Yes</t>
        </is>
      </c>
      <c r="AR367">
        <f>HYPERLINK("http://catalog.hathitrust.org/Record/009802130","HathiTrust Record")</f>
        <v/>
      </c>
      <c r="AS367">
        <f>HYPERLINK("https://creighton-primo.hosted.exlibrisgroup.com/primo-explore/search?tab=default_tab&amp;search_scope=EVERYTHING&amp;vid=01CRU&amp;lang=en_US&amp;offset=0&amp;query=any,contains,991003133529702656","Catalog Record")</f>
        <v/>
      </c>
      <c r="AT367">
        <f>HYPERLINK("http://www.worldcat.org/oclc/676024","WorldCat Record")</f>
        <v/>
      </c>
      <c r="AU367" t="inlineStr">
        <is>
          <t>497038574:eng</t>
        </is>
      </c>
      <c r="AV367" t="inlineStr">
        <is>
          <t>676024</t>
        </is>
      </c>
      <c r="AW367" t="inlineStr">
        <is>
          <t>991003133529702656</t>
        </is>
      </c>
      <c r="AX367" t="inlineStr">
        <is>
          <t>991003133529702656</t>
        </is>
      </c>
      <c r="AY367" t="inlineStr">
        <is>
          <t>2270156550002656</t>
        </is>
      </c>
      <c r="AZ367" t="inlineStr">
        <is>
          <t>BOOK</t>
        </is>
      </c>
      <c r="BC367" t="inlineStr">
        <is>
          <t>32285000710797</t>
        </is>
      </c>
      <c r="BD367" t="inlineStr">
        <is>
          <t>893786998</t>
        </is>
      </c>
    </row>
    <row r="368">
      <c r="A368" t="inlineStr">
        <is>
          <t>No</t>
        </is>
      </c>
      <c r="B368" t="inlineStr">
        <is>
          <t>BT202 .B429 1986</t>
        </is>
      </c>
      <c r="C368" t="inlineStr">
        <is>
          <t>0                      BT 0202000B  429         1986</t>
        </is>
      </c>
      <c r="D368" t="inlineStr">
        <is>
          <t>Scripture and Christology : a statement of the Biblical Commission with a commentary / [commentary and translation by] Joseph A. Fitzmyer.</t>
        </is>
      </c>
      <c r="F368" t="inlineStr">
        <is>
          <t>No</t>
        </is>
      </c>
      <c r="G368" t="inlineStr">
        <is>
          <t>1</t>
        </is>
      </c>
      <c r="H368" t="inlineStr">
        <is>
          <t>No</t>
        </is>
      </c>
      <c r="I368" t="inlineStr">
        <is>
          <t>No</t>
        </is>
      </c>
      <c r="J368" t="inlineStr">
        <is>
          <t>0</t>
        </is>
      </c>
      <c r="K368" t="inlineStr">
        <is>
          <t>Bible et christologie. English.</t>
        </is>
      </c>
      <c r="L368" t="inlineStr">
        <is>
          <t>New York : Paulist Press, c1986.</t>
        </is>
      </c>
      <c r="M368" t="inlineStr">
        <is>
          <t>1986</t>
        </is>
      </c>
      <c r="O368" t="inlineStr">
        <is>
          <t>eng</t>
        </is>
      </c>
      <c r="P368" t="inlineStr">
        <is>
          <t>nyu</t>
        </is>
      </c>
      <c r="R368" t="inlineStr">
        <is>
          <t xml:space="preserve">BT </t>
        </is>
      </c>
      <c r="S368" t="n">
        <v>6</v>
      </c>
      <c r="T368" t="n">
        <v>6</v>
      </c>
      <c r="U368" t="inlineStr">
        <is>
          <t>2007-04-09</t>
        </is>
      </c>
      <c r="V368" t="inlineStr">
        <is>
          <t>2007-04-09</t>
        </is>
      </c>
      <c r="W368" t="inlineStr">
        <is>
          <t>1991-08-09</t>
        </is>
      </c>
      <c r="X368" t="inlineStr">
        <is>
          <t>1991-08-09</t>
        </is>
      </c>
      <c r="Y368" t="n">
        <v>352</v>
      </c>
      <c r="Z368" t="n">
        <v>290</v>
      </c>
      <c r="AA368" t="n">
        <v>297</v>
      </c>
      <c r="AB368" t="n">
        <v>2</v>
      </c>
      <c r="AC368" t="n">
        <v>2</v>
      </c>
      <c r="AD368" t="n">
        <v>30</v>
      </c>
      <c r="AE368" t="n">
        <v>30</v>
      </c>
      <c r="AF368" t="n">
        <v>11</v>
      </c>
      <c r="AG368" t="n">
        <v>11</v>
      </c>
      <c r="AH368" t="n">
        <v>9</v>
      </c>
      <c r="AI368" t="n">
        <v>9</v>
      </c>
      <c r="AJ368" t="n">
        <v>20</v>
      </c>
      <c r="AK368" t="n">
        <v>20</v>
      </c>
      <c r="AL368" t="n">
        <v>0</v>
      </c>
      <c r="AM368" t="n">
        <v>0</v>
      </c>
      <c r="AN368" t="n">
        <v>0</v>
      </c>
      <c r="AO368" t="n">
        <v>0</v>
      </c>
      <c r="AP368" t="inlineStr">
        <is>
          <t>No</t>
        </is>
      </c>
      <c r="AQ368" t="inlineStr">
        <is>
          <t>Yes</t>
        </is>
      </c>
      <c r="AR368">
        <f>HYPERLINK("http://catalog.hathitrust.org/Record/000443590","HathiTrust Record")</f>
        <v/>
      </c>
      <c r="AS368">
        <f>HYPERLINK("https://creighton-primo.hosted.exlibrisgroup.com/primo-explore/search?tab=default_tab&amp;search_scope=EVERYTHING&amp;vid=01CRU&amp;lang=en_US&amp;offset=0&amp;query=any,contains,991000804119702656","Catalog Record")</f>
        <v/>
      </c>
      <c r="AT368">
        <f>HYPERLINK("http://www.worldcat.org/oclc/13270414","WorldCat Record")</f>
        <v/>
      </c>
      <c r="AU368" t="inlineStr">
        <is>
          <t>10627952189:eng</t>
        </is>
      </c>
      <c r="AV368" t="inlineStr">
        <is>
          <t>13270414</t>
        </is>
      </c>
      <c r="AW368" t="inlineStr">
        <is>
          <t>991000804119702656</t>
        </is>
      </c>
      <c r="AX368" t="inlineStr">
        <is>
          <t>991000804119702656</t>
        </is>
      </c>
      <c r="AY368" t="inlineStr">
        <is>
          <t>2271842350002656</t>
        </is>
      </c>
      <c r="AZ368" t="inlineStr">
        <is>
          <t>BOOK</t>
        </is>
      </c>
      <c r="BB368" t="inlineStr">
        <is>
          <t>9780809127894</t>
        </is>
      </c>
      <c r="BC368" t="inlineStr">
        <is>
          <t>32285000710805</t>
        </is>
      </c>
      <c r="BD368" t="inlineStr">
        <is>
          <t>893225326</t>
        </is>
      </c>
    </row>
    <row r="369">
      <c r="A369" t="inlineStr">
        <is>
          <t>No</t>
        </is>
      </c>
      <c r="B369" t="inlineStr">
        <is>
          <t>BT202 .B673413</t>
        </is>
      </c>
      <c r="C369" t="inlineStr">
        <is>
          <t>0                      BT 0202000B  673413</t>
        </is>
      </c>
      <c r="D369" t="inlineStr">
        <is>
          <t>The eternal son : a theology of the word of God and Christology / Louis Bouyer ; translated from the French by Simone Inkel and John F. Laughlin. --</t>
        </is>
      </c>
      <c r="F369" t="inlineStr">
        <is>
          <t>No</t>
        </is>
      </c>
      <c r="G369" t="inlineStr">
        <is>
          <t>1</t>
        </is>
      </c>
      <c r="H369" t="inlineStr">
        <is>
          <t>No</t>
        </is>
      </c>
      <c r="I369" t="inlineStr">
        <is>
          <t>No</t>
        </is>
      </c>
      <c r="J369" t="inlineStr">
        <is>
          <t>0</t>
        </is>
      </c>
      <c r="K369" t="inlineStr">
        <is>
          <t>Bouyer, Louis, 1913-2004.</t>
        </is>
      </c>
      <c r="L369" t="inlineStr">
        <is>
          <t>Huntington, Ind. : Our Sunday Visitor, c1978.</t>
        </is>
      </c>
      <c r="M369" t="inlineStr">
        <is>
          <t>1978</t>
        </is>
      </c>
      <c r="O369" t="inlineStr">
        <is>
          <t>eng</t>
        </is>
      </c>
      <c r="P369" t="inlineStr">
        <is>
          <t>inu</t>
        </is>
      </c>
      <c r="R369" t="inlineStr">
        <is>
          <t xml:space="preserve">BT </t>
        </is>
      </c>
      <c r="S369" t="n">
        <v>7</v>
      </c>
      <c r="T369" t="n">
        <v>7</v>
      </c>
      <c r="U369" t="inlineStr">
        <is>
          <t>2005-09-19</t>
        </is>
      </c>
      <c r="V369" t="inlineStr">
        <is>
          <t>2005-09-19</t>
        </is>
      </c>
      <c r="W369" t="inlineStr">
        <is>
          <t>1991-08-09</t>
        </is>
      </c>
      <c r="X369" t="inlineStr">
        <is>
          <t>1991-08-09</t>
        </is>
      </c>
      <c r="Y369" t="n">
        <v>188</v>
      </c>
      <c r="Z369" t="n">
        <v>157</v>
      </c>
      <c r="AA369" t="n">
        <v>157</v>
      </c>
      <c r="AB369" t="n">
        <v>2</v>
      </c>
      <c r="AC369" t="n">
        <v>2</v>
      </c>
      <c r="AD369" t="n">
        <v>18</v>
      </c>
      <c r="AE369" t="n">
        <v>18</v>
      </c>
      <c r="AF369" t="n">
        <v>4</v>
      </c>
      <c r="AG369" t="n">
        <v>4</v>
      </c>
      <c r="AH369" t="n">
        <v>6</v>
      </c>
      <c r="AI369" t="n">
        <v>6</v>
      </c>
      <c r="AJ369" t="n">
        <v>14</v>
      </c>
      <c r="AK369" t="n">
        <v>14</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HYPERLINK("https://creighton-primo.hosted.exlibrisgroup.com/primo-explore/search?tab=default_tab&amp;search_scope=EVERYTHING&amp;vid=01CRU&amp;lang=en_US&amp;offset=0&amp;query=any,contains,991004534099702656","Catalog Record")</f>
        <v/>
      </c>
      <c r="AT369">
        <f>HYPERLINK("http://www.worldcat.org/oclc/3867746","WorldCat Record")</f>
        <v/>
      </c>
      <c r="AU369" t="inlineStr">
        <is>
          <t>2591122703:eng</t>
        </is>
      </c>
      <c r="AV369" t="inlineStr">
        <is>
          <t>3867746</t>
        </is>
      </c>
      <c r="AW369" t="inlineStr">
        <is>
          <t>991004534099702656</t>
        </is>
      </c>
      <c r="AX369" t="inlineStr">
        <is>
          <t>991004534099702656</t>
        </is>
      </c>
      <c r="AY369" t="inlineStr">
        <is>
          <t>2264766820002656</t>
        </is>
      </c>
      <c r="AZ369" t="inlineStr">
        <is>
          <t>BOOK</t>
        </is>
      </c>
      <c r="BB369" t="inlineStr">
        <is>
          <t>9780879738815</t>
        </is>
      </c>
      <c r="BC369" t="inlineStr">
        <is>
          <t>32285000710821</t>
        </is>
      </c>
      <c r="BD369" t="inlineStr">
        <is>
          <t>893436390</t>
        </is>
      </c>
    </row>
    <row r="370">
      <c r="A370" t="inlineStr">
        <is>
          <t>No</t>
        </is>
      </c>
      <c r="B370" t="inlineStr">
        <is>
          <t>BT202 .B6737 1989</t>
        </is>
      </c>
      <c r="C370" t="inlineStr">
        <is>
          <t>0                      BT 0202000B  6737        1989</t>
        </is>
      </c>
      <c r="D370" t="inlineStr">
        <is>
          <t>Jesus : the unanswered questions / John Bowden.</t>
        </is>
      </c>
      <c r="F370" t="inlineStr">
        <is>
          <t>No</t>
        </is>
      </c>
      <c r="G370" t="inlineStr">
        <is>
          <t>1</t>
        </is>
      </c>
      <c r="H370" t="inlineStr">
        <is>
          <t>No</t>
        </is>
      </c>
      <c r="I370" t="inlineStr">
        <is>
          <t>No</t>
        </is>
      </c>
      <c r="J370" t="inlineStr">
        <is>
          <t>0</t>
        </is>
      </c>
      <c r="K370" t="inlineStr">
        <is>
          <t>Bowden, John, 1935-2010.</t>
        </is>
      </c>
      <c r="L370" t="inlineStr">
        <is>
          <t>Nashville : Abingdon Press, 1989.</t>
        </is>
      </c>
      <c r="M370" t="inlineStr">
        <is>
          <t>1989</t>
        </is>
      </c>
      <c r="O370" t="inlineStr">
        <is>
          <t>eng</t>
        </is>
      </c>
      <c r="P370" t="inlineStr">
        <is>
          <t>tnu</t>
        </is>
      </c>
      <c r="R370" t="inlineStr">
        <is>
          <t xml:space="preserve">BT </t>
        </is>
      </c>
      <c r="S370" t="n">
        <v>9</v>
      </c>
      <c r="T370" t="n">
        <v>9</v>
      </c>
      <c r="U370" t="inlineStr">
        <is>
          <t>2000-09-14</t>
        </is>
      </c>
      <c r="V370" t="inlineStr">
        <is>
          <t>2000-09-14</t>
        </is>
      </c>
      <c r="W370" t="inlineStr">
        <is>
          <t>1990-03-21</t>
        </is>
      </c>
      <c r="X370" t="inlineStr">
        <is>
          <t>1990-03-21</t>
        </is>
      </c>
      <c r="Y370" t="n">
        <v>206</v>
      </c>
      <c r="Z370" t="n">
        <v>185</v>
      </c>
      <c r="AA370" t="n">
        <v>227</v>
      </c>
      <c r="AB370" t="n">
        <v>2</v>
      </c>
      <c r="AC370" t="n">
        <v>2</v>
      </c>
      <c r="AD370" t="n">
        <v>15</v>
      </c>
      <c r="AE370" t="n">
        <v>19</v>
      </c>
      <c r="AF370" t="n">
        <v>6</v>
      </c>
      <c r="AG370" t="n">
        <v>7</v>
      </c>
      <c r="AH370" t="n">
        <v>3</v>
      </c>
      <c r="AI370" t="n">
        <v>4</v>
      </c>
      <c r="AJ370" t="n">
        <v>7</v>
      </c>
      <c r="AK370" t="n">
        <v>10</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HYPERLINK("https://creighton-primo.hosted.exlibrisgroup.com/primo-explore/search?tab=default_tab&amp;search_scope=EVERYTHING&amp;vid=01CRU&amp;lang=en_US&amp;offset=0&amp;query=any,contains,991001400239702656","Catalog Record")</f>
        <v/>
      </c>
      <c r="AT370">
        <f>HYPERLINK("http://www.worldcat.org/oclc/18816725","WorldCat Record")</f>
        <v/>
      </c>
      <c r="AU370" t="inlineStr">
        <is>
          <t>3943443202:eng</t>
        </is>
      </c>
      <c r="AV370" t="inlineStr">
        <is>
          <t>18816725</t>
        </is>
      </c>
      <c r="AW370" t="inlineStr">
        <is>
          <t>991001400239702656</t>
        </is>
      </c>
      <c r="AX370" t="inlineStr">
        <is>
          <t>991001400239702656</t>
        </is>
      </c>
      <c r="AY370" t="inlineStr">
        <is>
          <t>2266145110002656</t>
        </is>
      </c>
      <c r="AZ370" t="inlineStr">
        <is>
          <t>BOOK</t>
        </is>
      </c>
      <c r="BB370" t="inlineStr">
        <is>
          <t>9780687200290</t>
        </is>
      </c>
      <c r="BC370" t="inlineStr">
        <is>
          <t>32285000088905</t>
        </is>
      </c>
      <c r="BD370" t="inlineStr">
        <is>
          <t>893866202</t>
        </is>
      </c>
    </row>
    <row r="371">
      <c r="A371" t="inlineStr">
        <is>
          <t>No</t>
        </is>
      </c>
      <c r="B371" t="inlineStr">
        <is>
          <t>BT202 .B69 1974</t>
        </is>
      </c>
      <c r="C371" t="inlineStr">
        <is>
          <t>0                      BT 0202000B  69          1974</t>
        </is>
      </c>
      <c r="D371" t="inlineStr">
        <is>
          <t>Jesus who became Christ / Peter De Rosa.</t>
        </is>
      </c>
      <c r="F371" t="inlineStr">
        <is>
          <t>No</t>
        </is>
      </c>
      <c r="G371" t="inlineStr">
        <is>
          <t>1</t>
        </is>
      </c>
      <c r="H371" t="inlineStr">
        <is>
          <t>No</t>
        </is>
      </c>
      <c r="I371" t="inlineStr">
        <is>
          <t>No</t>
        </is>
      </c>
      <c r="J371" t="inlineStr">
        <is>
          <t>0</t>
        </is>
      </c>
      <c r="K371" t="inlineStr">
        <is>
          <t>Boyd, Neil.</t>
        </is>
      </c>
      <c r="L371" t="inlineStr">
        <is>
          <t>Denville, N. J., Dimension Books [1974]</t>
        </is>
      </c>
      <c r="M371" t="inlineStr">
        <is>
          <t>1974</t>
        </is>
      </c>
      <c r="O371" t="inlineStr">
        <is>
          <t>eng</t>
        </is>
      </c>
      <c r="P371" t="inlineStr">
        <is>
          <t>___</t>
        </is>
      </c>
      <c r="R371" t="inlineStr">
        <is>
          <t xml:space="preserve">BT </t>
        </is>
      </c>
      <c r="S371" t="n">
        <v>2</v>
      </c>
      <c r="T371" t="n">
        <v>2</v>
      </c>
      <c r="U371" t="inlineStr">
        <is>
          <t>2000-09-12</t>
        </is>
      </c>
      <c r="V371" t="inlineStr">
        <is>
          <t>2000-09-12</t>
        </is>
      </c>
      <c r="W371" t="inlineStr">
        <is>
          <t>1990-03-21</t>
        </is>
      </c>
      <c r="X371" t="inlineStr">
        <is>
          <t>1990-03-21</t>
        </is>
      </c>
      <c r="Y371" t="n">
        <v>108</v>
      </c>
      <c r="Z371" t="n">
        <v>96</v>
      </c>
      <c r="AA371" t="n">
        <v>162</v>
      </c>
      <c r="AB371" t="n">
        <v>1</v>
      </c>
      <c r="AC371" t="n">
        <v>1</v>
      </c>
      <c r="AD371" t="n">
        <v>10</v>
      </c>
      <c r="AE371" t="n">
        <v>12</v>
      </c>
      <c r="AF371" t="n">
        <v>1</v>
      </c>
      <c r="AG371" t="n">
        <v>2</v>
      </c>
      <c r="AH371" t="n">
        <v>3</v>
      </c>
      <c r="AI371" t="n">
        <v>3</v>
      </c>
      <c r="AJ371" t="n">
        <v>8</v>
      </c>
      <c r="AK371" t="n">
        <v>10</v>
      </c>
      <c r="AL371" t="n">
        <v>0</v>
      </c>
      <c r="AM371" t="n">
        <v>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HYPERLINK("https://creighton-primo.hosted.exlibrisgroup.com/primo-explore/search?tab=default_tab&amp;search_scope=EVERYTHING&amp;vid=01CRU&amp;lang=en_US&amp;offset=0&amp;query=any,contains,991003359559702656","Catalog Record")</f>
        <v/>
      </c>
      <c r="AT371">
        <f>HYPERLINK("http://www.worldcat.org/oclc/895383","WorldCat Record")</f>
        <v/>
      </c>
      <c r="AU371" t="inlineStr">
        <is>
          <t>1880708:eng</t>
        </is>
      </c>
      <c r="AV371" t="inlineStr">
        <is>
          <t>895383</t>
        </is>
      </c>
      <c r="AW371" t="inlineStr">
        <is>
          <t>991003359559702656</t>
        </is>
      </c>
      <c r="AX371" t="inlineStr">
        <is>
          <t>991003359559702656</t>
        </is>
      </c>
      <c r="AY371" t="inlineStr">
        <is>
          <t>2258397500002656</t>
        </is>
      </c>
      <c r="AZ371" t="inlineStr">
        <is>
          <t>BOOK</t>
        </is>
      </c>
      <c r="BC371" t="inlineStr">
        <is>
          <t>32285000088913</t>
        </is>
      </c>
      <c r="BD371" t="inlineStr">
        <is>
          <t>893874697</t>
        </is>
      </c>
    </row>
    <row r="372">
      <c r="A372" t="inlineStr">
        <is>
          <t>No</t>
        </is>
      </c>
      <c r="B372" t="inlineStr">
        <is>
          <t>BT202 .C364 1991</t>
        </is>
      </c>
      <c r="C372" t="inlineStr">
        <is>
          <t>0                      BT 0202000C  364         1991</t>
        </is>
      </c>
      <c r="D372" t="inlineStr">
        <is>
          <t>From Jewish prophet to gentile God : the origins and development of New Testament Christology / P.M. Casey.</t>
        </is>
      </c>
      <c r="F372" t="inlineStr">
        <is>
          <t>No</t>
        </is>
      </c>
      <c r="G372" t="inlineStr">
        <is>
          <t>1</t>
        </is>
      </c>
      <c r="H372" t="inlineStr">
        <is>
          <t>No</t>
        </is>
      </c>
      <c r="I372" t="inlineStr">
        <is>
          <t>No</t>
        </is>
      </c>
      <c r="J372" t="inlineStr">
        <is>
          <t>0</t>
        </is>
      </c>
      <c r="K372" t="inlineStr">
        <is>
          <t>Casey, Maurice.</t>
        </is>
      </c>
      <c r="L372" t="inlineStr">
        <is>
          <t>Cambridge, England : J. Clarke &amp; Co. ; Louisville, Ky. : Westminster/J. Knox Press, c1991.</t>
        </is>
      </c>
      <c r="M372" t="inlineStr">
        <is>
          <t>1991</t>
        </is>
      </c>
      <c r="O372" t="inlineStr">
        <is>
          <t>eng</t>
        </is>
      </c>
      <c r="P372" t="inlineStr">
        <is>
          <t>enk</t>
        </is>
      </c>
      <c r="R372" t="inlineStr">
        <is>
          <t xml:space="preserve">BT </t>
        </is>
      </c>
      <c r="S372" t="n">
        <v>9</v>
      </c>
      <c r="T372" t="n">
        <v>9</v>
      </c>
      <c r="U372" t="inlineStr">
        <is>
          <t>2007-10-04</t>
        </is>
      </c>
      <c r="V372" t="inlineStr">
        <is>
          <t>2007-10-04</t>
        </is>
      </c>
      <c r="W372" t="inlineStr">
        <is>
          <t>1994-02-23</t>
        </is>
      </c>
      <c r="X372" t="inlineStr">
        <is>
          <t>1994-02-23</t>
        </is>
      </c>
      <c r="Y372" t="n">
        <v>375</v>
      </c>
      <c r="Z372" t="n">
        <v>276</v>
      </c>
      <c r="AA372" t="n">
        <v>278</v>
      </c>
      <c r="AB372" t="n">
        <v>1</v>
      </c>
      <c r="AC372" t="n">
        <v>1</v>
      </c>
      <c r="AD372" t="n">
        <v>16</v>
      </c>
      <c r="AE372" t="n">
        <v>16</v>
      </c>
      <c r="AF372" t="n">
        <v>6</v>
      </c>
      <c r="AG372" t="n">
        <v>6</v>
      </c>
      <c r="AH372" t="n">
        <v>5</v>
      </c>
      <c r="AI372" t="n">
        <v>5</v>
      </c>
      <c r="AJ372" t="n">
        <v>11</v>
      </c>
      <c r="AK372" t="n">
        <v>11</v>
      </c>
      <c r="AL372" t="n">
        <v>0</v>
      </c>
      <c r="AM372" t="n">
        <v>0</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HYPERLINK("https://creighton-primo.hosted.exlibrisgroup.com/primo-explore/search?tab=default_tab&amp;search_scope=EVERYTHING&amp;vid=01CRU&amp;lang=en_US&amp;offset=0&amp;query=any,contains,991001924359702656","Catalog Record")</f>
        <v/>
      </c>
      <c r="AT372">
        <f>HYPERLINK("http://www.worldcat.org/oclc/24302203","WorldCat Record")</f>
        <v/>
      </c>
      <c r="AU372" t="inlineStr">
        <is>
          <t>25810835:eng</t>
        </is>
      </c>
      <c r="AV372" t="inlineStr">
        <is>
          <t>24302203</t>
        </is>
      </c>
      <c r="AW372" t="inlineStr">
        <is>
          <t>991001924359702656</t>
        </is>
      </c>
      <c r="AX372" t="inlineStr">
        <is>
          <t>991001924359702656</t>
        </is>
      </c>
      <c r="AY372" t="inlineStr">
        <is>
          <t>2270637630002656</t>
        </is>
      </c>
      <c r="AZ372" t="inlineStr">
        <is>
          <t>BOOK</t>
        </is>
      </c>
      <c r="BB372" t="inlineStr">
        <is>
          <t>9780227679203</t>
        </is>
      </c>
      <c r="BC372" t="inlineStr">
        <is>
          <t>32285001843456</t>
        </is>
      </c>
      <c r="BD372" t="inlineStr">
        <is>
          <t>893785518</t>
        </is>
      </c>
    </row>
    <row r="373">
      <c r="A373" t="inlineStr">
        <is>
          <t>No</t>
        </is>
      </c>
      <c r="B373" t="inlineStr">
        <is>
          <t>BT202 .C37</t>
        </is>
      </c>
      <c r="C373" t="inlineStr">
        <is>
          <t>0                      BT 0202000C  37</t>
        </is>
      </c>
      <c r="D373" t="inlineStr">
        <is>
          <t>Select questions on Christology / International Theological Commission.</t>
        </is>
      </c>
      <c r="F373" t="inlineStr">
        <is>
          <t>No</t>
        </is>
      </c>
      <c r="G373" t="inlineStr">
        <is>
          <t>1</t>
        </is>
      </c>
      <c r="H373" t="inlineStr">
        <is>
          <t>No</t>
        </is>
      </c>
      <c r="I373" t="inlineStr">
        <is>
          <t>No</t>
        </is>
      </c>
      <c r="J373" t="inlineStr">
        <is>
          <t>0</t>
        </is>
      </c>
      <c r="K373" t="inlineStr">
        <is>
          <t>Catholic Church. Commissio Theologica Internationalis.</t>
        </is>
      </c>
      <c r="L373" t="inlineStr">
        <is>
          <t>Washington, D.C. : Publications Office, U.S. Catholic Conference, 1980.</t>
        </is>
      </c>
      <c r="M373" t="inlineStr">
        <is>
          <t>1980</t>
        </is>
      </c>
      <c r="O373" t="inlineStr">
        <is>
          <t>eng</t>
        </is>
      </c>
      <c r="P373" t="inlineStr">
        <is>
          <t>dcu</t>
        </is>
      </c>
      <c r="R373" t="inlineStr">
        <is>
          <t xml:space="preserve">BT </t>
        </is>
      </c>
      <c r="S373" t="n">
        <v>2</v>
      </c>
      <c r="T373" t="n">
        <v>2</v>
      </c>
      <c r="U373" t="inlineStr">
        <is>
          <t>1997-02-27</t>
        </is>
      </c>
      <c r="V373" t="inlineStr">
        <is>
          <t>1997-02-27</t>
        </is>
      </c>
      <c r="W373" t="inlineStr">
        <is>
          <t>1991-08-09</t>
        </is>
      </c>
      <c r="X373" t="inlineStr">
        <is>
          <t>1991-08-09</t>
        </is>
      </c>
      <c r="Y373" t="n">
        <v>83</v>
      </c>
      <c r="Z373" t="n">
        <v>76</v>
      </c>
      <c r="AA373" t="n">
        <v>76</v>
      </c>
      <c r="AB373" t="n">
        <v>1</v>
      </c>
      <c r="AC373" t="n">
        <v>1</v>
      </c>
      <c r="AD373" t="n">
        <v>12</v>
      </c>
      <c r="AE373" t="n">
        <v>12</v>
      </c>
      <c r="AF373" t="n">
        <v>3</v>
      </c>
      <c r="AG373" t="n">
        <v>3</v>
      </c>
      <c r="AH373" t="n">
        <v>5</v>
      </c>
      <c r="AI373" t="n">
        <v>5</v>
      </c>
      <c r="AJ373" t="n">
        <v>9</v>
      </c>
      <c r="AK373" t="n">
        <v>9</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HYPERLINK("https://creighton-primo.hosted.exlibrisgroup.com/primo-explore/search?tab=default_tab&amp;search_scope=EVERYTHING&amp;vid=01CRU&amp;lang=en_US&amp;offset=0&amp;query=any,contains,991005108119702656","Catalog Record")</f>
        <v/>
      </c>
      <c r="AT373">
        <f>HYPERLINK("http://www.worldcat.org/oclc/7369201","WorldCat Record")</f>
        <v/>
      </c>
      <c r="AU373" t="inlineStr">
        <is>
          <t>10624540371:eng</t>
        </is>
      </c>
      <c r="AV373" t="inlineStr">
        <is>
          <t>7369201</t>
        </is>
      </c>
      <c r="AW373" t="inlineStr">
        <is>
          <t>991005108119702656</t>
        </is>
      </c>
      <c r="AX373" t="inlineStr">
        <is>
          <t>991005108119702656</t>
        </is>
      </c>
      <c r="AY373" t="inlineStr">
        <is>
          <t>2254793600002656</t>
        </is>
      </c>
      <c r="AZ373" t="inlineStr">
        <is>
          <t>BOOK</t>
        </is>
      </c>
      <c r="BC373" t="inlineStr">
        <is>
          <t>32285000710854</t>
        </is>
      </c>
      <c r="BD373" t="inlineStr">
        <is>
          <t>893606843</t>
        </is>
      </c>
    </row>
    <row r="374">
      <c r="A374" t="inlineStr">
        <is>
          <t>No</t>
        </is>
      </c>
      <c r="B374" t="inlineStr">
        <is>
          <t>BT202 .C37 1983</t>
        </is>
      </c>
      <c r="C374" t="inlineStr">
        <is>
          <t>0                      BT 0202000C  37          1983</t>
        </is>
      </c>
      <c r="D374" t="inlineStr">
        <is>
          <t>Theology, christology, anthropology / International Theological Commission.</t>
        </is>
      </c>
      <c r="F374" t="inlineStr">
        <is>
          <t>No</t>
        </is>
      </c>
      <c r="G374" t="inlineStr">
        <is>
          <t>1</t>
        </is>
      </c>
      <c r="H374" t="inlineStr">
        <is>
          <t>No</t>
        </is>
      </c>
      <c r="I374" t="inlineStr">
        <is>
          <t>No</t>
        </is>
      </c>
      <c r="J374" t="inlineStr">
        <is>
          <t>0</t>
        </is>
      </c>
      <c r="K374" t="inlineStr">
        <is>
          <t>Catholic Church. Commissio Theologica Internationalis.</t>
        </is>
      </c>
      <c r="L374" t="inlineStr">
        <is>
          <t>[Washington, D.C. : Office of Publication Services, United States Catholic Conference], c1983.</t>
        </is>
      </c>
      <c r="M374" t="inlineStr">
        <is>
          <t>1983</t>
        </is>
      </c>
      <c r="O374" t="inlineStr">
        <is>
          <t>eng</t>
        </is>
      </c>
      <c r="P374" t="inlineStr">
        <is>
          <t>dcu</t>
        </is>
      </c>
      <c r="R374" t="inlineStr">
        <is>
          <t xml:space="preserve">BT </t>
        </is>
      </c>
      <c r="S374" t="n">
        <v>3</v>
      </c>
      <c r="T374" t="n">
        <v>3</v>
      </c>
      <c r="U374" t="inlineStr">
        <is>
          <t>2010-07-27</t>
        </is>
      </c>
      <c r="V374" t="inlineStr">
        <is>
          <t>2010-07-27</t>
        </is>
      </c>
      <c r="W374" t="inlineStr">
        <is>
          <t>1991-08-09</t>
        </is>
      </c>
      <c r="X374" t="inlineStr">
        <is>
          <t>1991-08-09</t>
        </is>
      </c>
      <c r="Y374" t="n">
        <v>105</v>
      </c>
      <c r="Z374" t="n">
        <v>91</v>
      </c>
      <c r="AA374" t="n">
        <v>91</v>
      </c>
      <c r="AB374" t="n">
        <v>1</v>
      </c>
      <c r="AC374" t="n">
        <v>1</v>
      </c>
      <c r="AD374" t="n">
        <v>14</v>
      </c>
      <c r="AE374" t="n">
        <v>14</v>
      </c>
      <c r="AF374" t="n">
        <v>4</v>
      </c>
      <c r="AG374" t="n">
        <v>4</v>
      </c>
      <c r="AH374" t="n">
        <v>5</v>
      </c>
      <c r="AI374" t="n">
        <v>5</v>
      </c>
      <c r="AJ374" t="n">
        <v>10</v>
      </c>
      <c r="AK374" t="n">
        <v>10</v>
      </c>
      <c r="AL374" t="n">
        <v>0</v>
      </c>
      <c r="AM374" t="n">
        <v>0</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HYPERLINK("https://creighton-primo.hosted.exlibrisgroup.com/primo-explore/search?tab=default_tab&amp;search_scope=EVERYTHING&amp;vid=01CRU&amp;lang=en_US&amp;offset=0&amp;query=any,contains,991000334499702656","Catalog Record")</f>
        <v/>
      </c>
      <c r="AT374">
        <f>HYPERLINK("http://www.worldcat.org/oclc/10227445","WorldCat Record")</f>
        <v/>
      </c>
      <c r="AU374" t="inlineStr">
        <is>
          <t>3194461:eng</t>
        </is>
      </c>
      <c r="AV374" t="inlineStr">
        <is>
          <t>10227445</t>
        </is>
      </c>
      <c r="AW374" t="inlineStr">
        <is>
          <t>991000334499702656</t>
        </is>
      </c>
      <c r="AX374" t="inlineStr">
        <is>
          <t>991000334499702656</t>
        </is>
      </c>
      <c r="AY374" t="inlineStr">
        <is>
          <t>2261716890002656</t>
        </is>
      </c>
      <c r="AZ374" t="inlineStr">
        <is>
          <t>BOOK</t>
        </is>
      </c>
      <c r="BC374" t="inlineStr">
        <is>
          <t>32285000710862</t>
        </is>
      </c>
      <c r="BD374" t="inlineStr">
        <is>
          <t>893620380</t>
        </is>
      </c>
    </row>
    <row r="375">
      <c r="A375" t="inlineStr">
        <is>
          <t>No</t>
        </is>
      </c>
      <c r="B375" t="inlineStr">
        <is>
          <t>BT202 .C5</t>
        </is>
      </c>
      <c r="C375" t="inlineStr">
        <is>
          <t>0                      BT 0202000C  5</t>
        </is>
      </c>
      <c r="D375" t="inlineStr">
        <is>
          <t>Christ, faith and history: Cambridge studies in Christology / edited by S. W. Sykes and J. P. Clayton.</t>
        </is>
      </c>
      <c r="F375" t="inlineStr">
        <is>
          <t>No</t>
        </is>
      </c>
      <c r="G375" t="inlineStr">
        <is>
          <t>1</t>
        </is>
      </c>
      <c r="H375" t="inlineStr">
        <is>
          <t>No</t>
        </is>
      </c>
      <c r="I375" t="inlineStr">
        <is>
          <t>No</t>
        </is>
      </c>
      <c r="J375" t="inlineStr">
        <is>
          <t>0</t>
        </is>
      </c>
      <c r="L375" t="inlineStr">
        <is>
          <t>London, Cambridge University Press, 1972.</t>
        </is>
      </c>
      <c r="M375" t="inlineStr">
        <is>
          <t>1972</t>
        </is>
      </c>
      <c r="O375" t="inlineStr">
        <is>
          <t>eng</t>
        </is>
      </c>
      <c r="P375" t="inlineStr">
        <is>
          <t>enk</t>
        </is>
      </c>
      <c r="R375" t="inlineStr">
        <is>
          <t xml:space="preserve">BT </t>
        </is>
      </c>
      <c r="S375" t="n">
        <v>6</v>
      </c>
      <c r="T375" t="n">
        <v>6</v>
      </c>
      <c r="U375" t="inlineStr">
        <is>
          <t>1995-12-19</t>
        </is>
      </c>
      <c r="V375" t="inlineStr">
        <is>
          <t>1995-12-19</t>
        </is>
      </c>
      <c r="W375" t="inlineStr">
        <is>
          <t>1991-08-09</t>
        </is>
      </c>
      <c r="X375" t="inlineStr">
        <is>
          <t>1991-08-09</t>
        </is>
      </c>
      <c r="Y375" t="n">
        <v>825</v>
      </c>
      <c r="Z375" t="n">
        <v>660</v>
      </c>
      <c r="AA375" t="n">
        <v>679</v>
      </c>
      <c r="AB375" t="n">
        <v>6</v>
      </c>
      <c r="AC375" t="n">
        <v>6</v>
      </c>
      <c r="AD375" t="n">
        <v>35</v>
      </c>
      <c r="AE375" t="n">
        <v>35</v>
      </c>
      <c r="AF375" t="n">
        <v>12</v>
      </c>
      <c r="AG375" t="n">
        <v>12</v>
      </c>
      <c r="AH375" t="n">
        <v>10</v>
      </c>
      <c r="AI375" t="n">
        <v>10</v>
      </c>
      <c r="AJ375" t="n">
        <v>19</v>
      </c>
      <c r="AK375" t="n">
        <v>19</v>
      </c>
      <c r="AL375" t="n">
        <v>5</v>
      </c>
      <c r="AM375" t="n">
        <v>5</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HYPERLINK("https://creighton-primo.hosted.exlibrisgroup.com/primo-explore/search?tab=default_tab&amp;search_scope=EVERYTHING&amp;vid=01CRU&amp;lang=en_US&amp;offset=0&amp;query=any,contains,991002896059702656","Catalog Record")</f>
        <v/>
      </c>
      <c r="AT375">
        <f>HYPERLINK("http://www.worldcat.org/oclc/514370","WorldCat Record")</f>
        <v/>
      </c>
      <c r="AU375" t="inlineStr">
        <is>
          <t>1486354:eng</t>
        </is>
      </c>
      <c r="AV375" t="inlineStr">
        <is>
          <t>514370</t>
        </is>
      </c>
      <c r="AW375" t="inlineStr">
        <is>
          <t>991002896059702656</t>
        </is>
      </c>
      <c r="AX375" t="inlineStr">
        <is>
          <t>991002896059702656</t>
        </is>
      </c>
      <c r="AY375" t="inlineStr">
        <is>
          <t>2261942890002656</t>
        </is>
      </c>
      <c r="AZ375" t="inlineStr">
        <is>
          <t>BOOK</t>
        </is>
      </c>
      <c r="BB375" t="inlineStr">
        <is>
          <t>9780521084512</t>
        </is>
      </c>
      <c r="BC375" t="inlineStr">
        <is>
          <t>32285000710888</t>
        </is>
      </c>
      <c r="BD375" t="inlineStr">
        <is>
          <t>893233572</t>
        </is>
      </c>
    </row>
    <row r="376">
      <c r="A376" t="inlineStr">
        <is>
          <t>No</t>
        </is>
      </c>
      <c r="B376" t="inlineStr">
        <is>
          <t>BT202 .C544 1982</t>
        </is>
      </c>
      <c r="C376" t="inlineStr">
        <is>
          <t>0                      BT 0202000C  544         1982</t>
        </is>
      </c>
      <c r="D376" t="inlineStr">
        <is>
          <t>Christological perspectives : essays in honor of Harvey K. McArthur / edited by Robert F. Berkey and Sarah A. Edwards.</t>
        </is>
      </c>
      <c r="F376" t="inlineStr">
        <is>
          <t>No</t>
        </is>
      </c>
      <c r="G376" t="inlineStr">
        <is>
          <t>1</t>
        </is>
      </c>
      <c r="H376" t="inlineStr">
        <is>
          <t>No</t>
        </is>
      </c>
      <c r="I376" t="inlineStr">
        <is>
          <t>No</t>
        </is>
      </c>
      <c r="J376" t="inlineStr">
        <is>
          <t>0</t>
        </is>
      </c>
      <c r="L376" t="inlineStr">
        <is>
          <t>New York : Pilgrim Press, c1982.</t>
        </is>
      </c>
      <c r="M376" t="inlineStr">
        <is>
          <t>1982</t>
        </is>
      </c>
      <c r="O376" t="inlineStr">
        <is>
          <t>eng</t>
        </is>
      </c>
      <c r="P376" t="inlineStr">
        <is>
          <t>nyu</t>
        </is>
      </c>
      <c r="R376" t="inlineStr">
        <is>
          <t xml:space="preserve">BT </t>
        </is>
      </c>
      <c r="S376" t="n">
        <v>2</v>
      </c>
      <c r="T376" t="n">
        <v>2</v>
      </c>
      <c r="U376" t="inlineStr">
        <is>
          <t>2007-11-19</t>
        </is>
      </c>
      <c r="V376" t="inlineStr">
        <is>
          <t>2007-11-19</t>
        </is>
      </c>
      <c r="W376" t="inlineStr">
        <is>
          <t>1991-08-09</t>
        </is>
      </c>
      <c r="X376" t="inlineStr">
        <is>
          <t>1991-08-09</t>
        </is>
      </c>
      <c r="Y376" t="n">
        <v>238</v>
      </c>
      <c r="Z376" t="n">
        <v>183</v>
      </c>
      <c r="AA376" t="n">
        <v>183</v>
      </c>
      <c r="AB376" t="n">
        <v>1</v>
      </c>
      <c r="AC376" t="n">
        <v>1</v>
      </c>
      <c r="AD376" t="n">
        <v>12</v>
      </c>
      <c r="AE376" t="n">
        <v>12</v>
      </c>
      <c r="AF376" t="n">
        <v>3</v>
      </c>
      <c r="AG376" t="n">
        <v>3</v>
      </c>
      <c r="AH376" t="n">
        <v>3</v>
      </c>
      <c r="AI376" t="n">
        <v>3</v>
      </c>
      <c r="AJ376" t="n">
        <v>8</v>
      </c>
      <c r="AK376" t="n">
        <v>8</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HYPERLINK("https://creighton-primo.hosted.exlibrisgroup.com/primo-explore/search?tab=default_tab&amp;search_scope=EVERYTHING&amp;vid=01CRU&amp;lang=en_US&amp;offset=0&amp;query=any,contains,991005191359702656","Catalog Record")</f>
        <v/>
      </c>
      <c r="AT376">
        <f>HYPERLINK("http://www.worldcat.org/oclc/7999417","WorldCat Record")</f>
        <v/>
      </c>
      <c r="AU376" t="inlineStr">
        <is>
          <t>1781768114:eng</t>
        </is>
      </c>
      <c r="AV376" t="inlineStr">
        <is>
          <t>7999417</t>
        </is>
      </c>
      <c r="AW376" t="inlineStr">
        <is>
          <t>991005191359702656</t>
        </is>
      </c>
      <c r="AX376" t="inlineStr">
        <is>
          <t>991005191359702656</t>
        </is>
      </c>
      <c r="AY376" t="inlineStr">
        <is>
          <t>2257914620002656</t>
        </is>
      </c>
      <c r="AZ376" t="inlineStr">
        <is>
          <t>BOOK</t>
        </is>
      </c>
      <c r="BB376" t="inlineStr">
        <is>
          <t>9780829804911</t>
        </is>
      </c>
      <c r="BC376" t="inlineStr">
        <is>
          <t>32285000710896</t>
        </is>
      </c>
      <c r="BD376" t="inlineStr">
        <is>
          <t>893418523</t>
        </is>
      </c>
    </row>
    <row r="377">
      <c r="A377" t="inlineStr">
        <is>
          <t>No</t>
        </is>
      </c>
      <c r="B377" t="inlineStr">
        <is>
          <t>BT202 .C64 1974</t>
        </is>
      </c>
      <c r="C377" t="inlineStr">
        <is>
          <t>0                      BT 0202000C  64          1974</t>
        </is>
      </c>
      <c r="D377" t="inlineStr">
        <is>
          <t>Does Jesus make a difference? : proceedings of the College Theology Society / edited by Thomas M. McFadden.</t>
        </is>
      </c>
      <c r="F377" t="inlineStr">
        <is>
          <t>No</t>
        </is>
      </c>
      <c r="G377" t="inlineStr">
        <is>
          <t>1</t>
        </is>
      </c>
      <c r="H377" t="inlineStr">
        <is>
          <t>No</t>
        </is>
      </c>
      <c r="I377" t="inlineStr">
        <is>
          <t>No</t>
        </is>
      </c>
      <c r="J377" t="inlineStr">
        <is>
          <t>0</t>
        </is>
      </c>
      <c r="K377" t="inlineStr">
        <is>
          <t>College Theology Society.</t>
        </is>
      </c>
      <c r="L377" t="inlineStr">
        <is>
          <t>New York, Seabury Press [1974]</t>
        </is>
      </c>
      <c r="M377" t="inlineStr">
        <is>
          <t>1974</t>
        </is>
      </c>
      <c r="O377" t="inlineStr">
        <is>
          <t>eng</t>
        </is>
      </c>
      <c r="P377" t="inlineStr">
        <is>
          <t>nyu</t>
        </is>
      </c>
      <c r="R377" t="inlineStr">
        <is>
          <t xml:space="preserve">BT </t>
        </is>
      </c>
      <c r="S377" t="n">
        <v>1</v>
      </c>
      <c r="T377" t="n">
        <v>1</v>
      </c>
      <c r="U377" t="inlineStr">
        <is>
          <t>1999-07-19</t>
        </is>
      </c>
      <c r="V377" t="inlineStr">
        <is>
          <t>1999-07-19</t>
        </is>
      </c>
      <c r="W377" t="inlineStr">
        <is>
          <t>1991-08-09</t>
        </is>
      </c>
      <c r="X377" t="inlineStr">
        <is>
          <t>1991-08-09</t>
        </is>
      </c>
      <c r="Y377" t="n">
        <v>287</v>
      </c>
      <c r="Z377" t="n">
        <v>260</v>
      </c>
      <c r="AA377" t="n">
        <v>287</v>
      </c>
      <c r="AB377" t="n">
        <v>2</v>
      </c>
      <c r="AC377" t="n">
        <v>2</v>
      </c>
      <c r="AD377" t="n">
        <v>30</v>
      </c>
      <c r="AE377" t="n">
        <v>33</v>
      </c>
      <c r="AF377" t="n">
        <v>10</v>
      </c>
      <c r="AG377" t="n">
        <v>13</v>
      </c>
      <c r="AH377" t="n">
        <v>6</v>
      </c>
      <c r="AI377" t="n">
        <v>6</v>
      </c>
      <c r="AJ377" t="n">
        <v>20</v>
      </c>
      <c r="AK377" t="n">
        <v>22</v>
      </c>
      <c r="AL377" t="n">
        <v>1</v>
      </c>
      <c r="AM377" t="n">
        <v>1</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HYPERLINK("https://creighton-primo.hosted.exlibrisgroup.com/primo-explore/search?tab=default_tab&amp;search_scope=EVERYTHING&amp;vid=01CRU&amp;lang=en_US&amp;offset=0&amp;query=any,contains,991003264389702656","Catalog Record")</f>
        <v/>
      </c>
      <c r="AT377">
        <f>HYPERLINK("http://www.worldcat.org/oclc/790268","WorldCat Record")</f>
        <v/>
      </c>
      <c r="AU377" t="inlineStr">
        <is>
          <t>191740803:eng</t>
        </is>
      </c>
      <c r="AV377" t="inlineStr">
        <is>
          <t>790268</t>
        </is>
      </c>
      <c r="AW377" t="inlineStr">
        <is>
          <t>991003264389702656</t>
        </is>
      </c>
      <c r="AX377" t="inlineStr">
        <is>
          <t>991003264389702656</t>
        </is>
      </c>
      <c r="AY377" t="inlineStr">
        <is>
          <t>2264058280002656</t>
        </is>
      </c>
      <c r="AZ377" t="inlineStr">
        <is>
          <t>BOOK</t>
        </is>
      </c>
      <c r="BB377" t="inlineStr">
        <is>
          <t>9780816411511</t>
        </is>
      </c>
      <c r="BC377" t="inlineStr">
        <is>
          <t>32285000710920</t>
        </is>
      </c>
      <c r="BD377" t="inlineStr">
        <is>
          <t>893246195</t>
        </is>
      </c>
    </row>
    <row r="378">
      <c r="A378" t="inlineStr">
        <is>
          <t>No</t>
        </is>
      </c>
      <c r="B378" t="inlineStr">
        <is>
          <t>BT202 .C6713</t>
        </is>
      </c>
      <c r="C378" t="inlineStr">
        <is>
          <t>0                      BT 0202000C  6713</t>
        </is>
      </c>
      <c r="D378" t="inlineStr">
        <is>
          <t>Jesus : the classic article from RGG expanded and updated / Hans Conzelmann. Translated by J. Raymond Lord. Edited with an introd. by John Reumann.</t>
        </is>
      </c>
      <c r="F378" t="inlineStr">
        <is>
          <t>No</t>
        </is>
      </c>
      <c r="G378" t="inlineStr">
        <is>
          <t>1</t>
        </is>
      </c>
      <c r="H378" t="inlineStr">
        <is>
          <t>No</t>
        </is>
      </c>
      <c r="I378" t="inlineStr">
        <is>
          <t>No</t>
        </is>
      </c>
      <c r="J378" t="inlineStr">
        <is>
          <t>0</t>
        </is>
      </c>
      <c r="K378" t="inlineStr">
        <is>
          <t>Conzelmann, Hans.</t>
        </is>
      </c>
      <c r="L378" t="inlineStr">
        <is>
          <t>Philadelphia, Fortress Press [1973]</t>
        </is>
      </c>
      <c r="M378" t="inlineStr">
        <is>
          <t>1973</t>
        </is>
      </c>
      <c r="O378" t="inlineStr">
        <is>
          <t>eng</t>
        </is>
      </c>
      <c r="P378" t="inlineStr">
        <is>
          <t>pau</t>
        </is>
      </c>
      <c r="R378" t="inlineStr">
        <is>
          <t xml:space="preserve">BT </t>
        </is>
      </c>
      <c r="S378" t="n">
        <v>1</v>
      </c>
      <c r="T378" t="n">
        <v>1</v>
      </c>
      <c r="U378" t="inlineStr">
        <is>
          <t>2000-09-09</t>
        </is>
      </c>
      <c r="V378" t="inlineStr">
        <is>
          <t>2000-09-09</t>
        </is>
      </c>
      <c r="W378" t="inlineStr">
        <is>
          <t>1991-08-09</t>
        </is>
      </c>
      <c r="X378" t="inlineStr">
        <is>
          <t>1991-08-09</t>
        </is>
      </c>
      <c r="Y378" t="n">
        <v>732</v>
      </c>
      <c r="Z378" t="n">
        <v>620</v>
      </c>
      <c r="AA378" t="n">
        <v>621</v>
      </c>
      <c r="AB378" t="n">
        <v>7</v>
      </c>
      <c r="AC378" t="n">
        <v>7</v>
      </c>
      <c r="AD378" t="n">
        <v>42</v>
      </c>
      <c r="AE378" t="n">
        <v>42</v>
      </c>
      <c r="AF378" t="n">
        <v>16</v>
      </c>
      <c r="AG378" t="n">
        <v>16</v>
      </c>
      <c r="AH378" t="n">
        <v>9</v>
      </c>
      <c r="AI378" t="n">
        <v>9</v>
      </c>
      <c r="AJ378" t="n">
        <v>24</v>
      </c>
      <c r="AK378" t="n">
        <v>24</v>
      </c>
      <c r="AL378" t="n">
        <v>5</v>
      </c>
      <c r="AM378" t="n">
        <v>5</v>
      </c>
      <c r="AN378" t="n">
        <v>0</v>
      </c>
      <c r="AO378" t="n">
        <v>0</v>
      </c>
      <c r="AP378" t="inlineStr">
        <is>
          <t>No</t>
        </is>
      </c>
      <c r="AQ378" t="inlineStr">
        <is>
          <t>Yes</t>
        </is>
      </c>
      <c r="AR378">
        <f>HYPERLINK("http://catalog.hathitrust.org/Record/001412079","HathiTrust Record")</f>
        <v/>
      </c>
      <c r="AS378">
        <f>HYPERLINK("https://creighton-primo.hosted.exlibrisgroup.com/primo-explore/search?tab=default_tab&amp;search_scope=EVERYTHING&amp;vid=01CRU&amp;lang=en_US&amp;offset=0&amp;query=any,contains,991003163359702656","Catalog Record")</f>
        <v/>
      </c>
      <c r="AT378">
        <f>HYPERLINK("http://www.worldcat.org/oclc/701708","WorldCat Record")</f>
        <v/>
      </c>
      <c r="AU378" t="inlineStr">
        <is>
          <t>374353144:eng</t>
        </is>
      </c>
      <c r="AV378" t="inlineStr">
        <is>
          <t>701708</t>
        </is>
      </c>
      <c r="AW378" t="inlineStr">
        <is>
          <t>991003163359702656</t>
        </is>
      </c>
      <c r="AX378" t="inlineStr">
        <is>
          <t>991003163359702656</t>
        </is>
      </c>
      <c r="AY378" t="inlineStr">
        <is>
          <t>2254954510002656</t>
        </is>
      </c>
      <c r="AZ378" t="inlineStr">
        <is>
          <t>BOOK</t>
        </is>
      </c>
      <c r="BB378" t="inlineStr">
        <is>
          <t>9780800610005</t>
        </is>
      </c>
      <c r="BC378" t="inlineStr">
        <is>
          <t>32285000710946</t>
        </is>
      </c>
      <c r="BD378" t="inlineStr">
        <is>
          <t>893623215</t>
        </is>
      </c>
    </row>
    <row r="379">
      <c r="A379" t="inlineStr">
        <is>
          <t>No</t>
        </is>
      </c>
      <c r="B379" t="inlineStr">
        <is>
          <t>BT202 .C8413</t>
        </is>
      </c>
      <c r="C379" t="inlineStr">
        <is>
          <t>0                      BT 0202000C  8413</t>
        </is>
      </c>
      <c r="D379" t="inlineStr">
        <is>
          <t>Jesus and the revolutionaries / Oscar Cullmann. Translated from the German by Gareth Putnam.</t>
        </is>
      </c>
      <c r="F379" t="inlineStr">
        <is>
          <t>No</t>
        </is>
      </c>
      <c r="G379" t="inlineStr">
        <is>
          <t>1</t>
        </is>
      </c>
      <c r="H379" t="inlineStr">
        <is>
          <t>No</t>
        </is>
      </c>
      <c r="I379" t="inlineStr">
        <is>
          <t>No</t>
        </is>
      </c>
      <c r="J379" t="inlineStr">
        <is>
          <t>0</t>
        </is>
      </c>
      <c r="K379" t="inlineStr">
        <is>
          <t>Cullmann, Oscar.</t>
        </is>
      </c>
      <c r="L379" t="inlineStr">
        <is>
          <t>New York, Harper &amp; Row [1970]</t>
        </is>
      </c>
      <c r="M379" t="inlineStr">
        <is>
          <t>1970</t>
        </is>
      </c>
      <c r="N379" t="inlineStr">
        <is>
          <t>[1st ed.]</t>
        </is>
      </c>
      <c r="O379" t="inlineStr">
        <is>
          <t>eng</t>
        </is>
      </c>
      <c r="P379" t="inlineStr">
        <is>
          <t>nyu</t>
        </is>
      </c>
      <c r="R379" t="inlineStr">
        <is>
          <t xml:space="preserve">BT </t>
        </is>
      </c>
      <c r="S379" t="n">
        <v>4</v>
      </c>
      <c r="T379" t="n">
        <v>4</v>
      </c>
      <c r="U379" t="inlineStr">
        <is>
          <t>2008-11-22</t>
        </is>
      </c>
      <c r="V379" t="inlineStr">
        <is>
          <t>2008-11-22</t>
        </is>
      </c>
      <c r="W379" t="inlineStr">
        <is>
          <t>1991-08-09</t>
        </is>
      </c>
      <c r="X379" t="inlineStr">
        <is>
          <t>1991-08-09</t>
        </is>
      </c>
      <c r="Y379" t="n">
        <v>792</v>
      </c>
      <c r="Z379" t="n">
        <v>708</v>
      </c>
      <c r="AA379" t="n">
        <v>716</v>
      </c>
      <c r="AB379" t="n">
        <v>6</v>
      </c>
      <c r="AC379" t="n">
        <v>6</v>
      </c>
      <c r="AD379" t="n">
        <v>42</v>
      </c>
      <c r="AE379" t="n">
        <v>42</v>
      </c>
      <c r="AF379" t="n">
        <v>17</v>
      </c>
      <c r="AG379" t="n">
        <v>17</v>
      </c>
      <c r="AH379" t="n">
        <v>9</v>
      </c>
      <c r="AI379" t="n">
        <v>9</v>
      </c>
      <c r="AJ379" t="n">
        <v>20</v>
      </c>
      <c r="AK379" t="n">
        <v>20</v>
      </c>
      <c r="AL379" t="n">
        <v>5</v>
      </c>
      <c r="AM379" t="n">
        <v>5</v>
      </c>
      <c r="AN379" t="n">
        <v>0</v>
      </c>
      <c r="AO379" t="n">
        <v>0</v>
      </c>
      <c r="AP379" t="inlineStr">
        <is>
          <t>No</t>
        </is>
      </c>
      <c r="AQ379" t="inlineStr">
        <is>
          <t>Yes</t>
        </is>
      </c>
      <c r="AR379">
        <f>HYPERLINK("http://catalog.hathitrust.org/Record/001412081","HathiTrust Record")</f>
        <v/>
      </c>
      <c r="AS379">
        <f>HYPERLINK("https://creighton-primo.hosted.exlibrisgroup.com/primo-explore/search?tab=default_tab&amp;search_scope=EVERYTHING&amp;vid=01CRU&amp;lang=en_US&amp;offset=0&amp;query=any,contains,991000599069702656","Catalog Record")</f>
        <v/>
      </c>
      <c r="AT379">
        <f>HYPERLINK("http://www.worldcat.org/oclc/97991","WorldCat Record")</f>
        <v/>
      </c>
      <c r="AU379" t="inlineStr">
        <is>
          <t>2908863199:eng</t>
        </is>
      </c>
      <c r="AV379" t="inlineStr">
        <is>
          <t>97991</t>
        </is>
      </c>
      <c r="AW379" t="inlineStr">
        <is>
          <t>991000599069702656</t>
        </is>
      </c>
      <c r="AX379" t="inlineStr">
        <is>
          <t>991000599069702656</t>
        </is>
      </c>
      <c r="AY379" t="inlineStr">
        <is>
          <t>2269781530002656</t>
        </is>
      </c>
      <c r="AZ379" t="inlineStr">
        <is>
          <t>BOOK</t>
        </is>
      </c>
      <c r="BC379" t="inlineStr">
        <is>
          <t>32285000710961</t>
        </is>
      </c>
      <c r="BD379" t="inlineStr">
        <is>
          <t>893871809</t>
        </is>
      </c>
    </row>
    <row r="380">
      <c r="A380" t="inlineStr">
        <is>
          <t>No</t>
        </is>
      </c>
      <c r="B380" t="inlineStr">
        <is>
          <t>BT202 .D57</t>
        </is>
      </c>
      <c r="C380" t="inlineStr">
        <is>
          <t>0                      BT 0202000D  57</t>
        </is>
      </c>
      <c r="D380" t="inlineStr">
        <is>
          <t>The founder of Christianity / [by] C. H. Dodd.</t>
        </is>
      </c>
      <c r="F380" t="inlineStr">
        <is>
          <t>No</t>
        </is>
      </c>
      <c r="G380" t="inlineStr">
        <is>
          <t>1</t>
        </is>
      </c>
      <c r="H380" t="inlineStr">
        <is>
          <t>No</t>
        </is>
      </c>
      <c r="I380" t="inlineStr">
        <is>
          <t>No</t>
        </is>
      </c>
      <c r="J380" t="inlineStr">
        <is>
          <t>0</t>
        </is>
      </c>
      <c r="K380" t="inlineStr">
        <is>
          <t>Dodd, C. H. (Charles Harold), 1884-1973.</t>
        </is>
      </c>
      <c r="L380" t="inlineStr">
        <is>
          <t>[New York] Macmillan [1970]</t>
        </is>
      </c>
      <c r="M380" t="inlineStr">
        <is>
          <t>1970</t>
        </is>
      </c>
      <c r="O380" t="inlineStr">
        <is>
          <t>eng</t>
        </is>
      </c>
      <c r="P380" t="inlineStr">
        <is>
          <t>nyu</t>
        </is>
      </c>
      <c r="R380" t="inlineStr">
        <is>
          <t xml:space="preserve">BT </t>
        </is>
      </c>
      <c r="S380" t="n">
        <v>3</v>
      </c>
      <c r="T380" t="n">
        <v>3</v>
      </c>
      <c r="U380" t="inlineStr">
        <is>
          <t>2000-09-17</t>
        </is>
      </c>
      <c r="V380" t="inlineStr">
        <is>
          <t>2000-09-17</t>
        </is>
      </c>
      <c r="W380" t="inlineStr">
        <is>
          <t>1991-08-09</t>
        </is>
      </c>
      <c r="X380" t="inlineStr">
        <is>
          <t>1991-08-09</t>
        </is>
      </c>
      <c r="Y380" t="n">
        <v>660</v>
      </c>
      <c r="Z380" t="n">
        <v>591</v>
      </c>
      <c r="AA380" t="n">
        <v>640</v>
      </c>
      <c r="AB380" t="n">
        <v>9</v>
      </c>
      <c r="AC380" t="n">
        <v>9</v>
      </c>
      <c r="AD380" t="n">
        <v>39</v>
      </c>
      <c r="AE380" t="n">
        <v>42</v>
      </c>
      <c r="AF380" t="n">
        <v>13</v>
      </c>
      <c r="AG380" t="n">
        <v>14</v>
      </c>
      <c r="AH380" t="n">
        <v>7</v>
      </c>
      <c r="AI380" t="n">
        <v>8</v>
      </c>
      <c r="AJ380" t="n">
        <v>24</v>
      </c>
      <c r="AK380" t="n">
        <v>26</v>
      </c>
      <c r="AL380" t="n">
        <v>6</v>
      </c>
      <c r="AM380" t="n">
        <v>6</v>
      </c>
      <c r="AN380" t="n">
        <v>0</v>
      </c>
      <c r="AO380" t="n">
        <v>0</v>
      </c>
      <c r="AP380" t="inlineStr">
        <is>
          <t>No</t>
        </is>
      </c>
      <c r="AQ380" t="inlineStr">
        <is>
          <t>Yes</t>
        </is>
      </c>
      <c r="AR380">
        <f>HYPERLINK("http://catalog.hathitrust.org/Record/001412082","HathiTrust Record")</f>
        <v/>
      </c>
      <c r="AS380">
        <f>HYPERLINK("https://creighton-primo.hosted.exlibrisgroup.com/primo-explore/search?tab=default_tab&amp;search_scope=EVERYTHING&amp;vid=01CRU&amp;lang=en_US&amp;offset=0&amp;query=any,contains,991000189799702656","Catalog Record")</f>
        <v/>
      </c>
      <c r="AT380">
        <f>HYPERLINK("http://www.worldcat.org/oclc/63796","WorldCat Record")</f>
        <v/>
      </c>
      <c r="AU380" t="inlineStr">
        <is>
          <t>398260:eng</t>
        </is>
      </c>
      <c r="AV380" t="inlineStr">
        <is>
          <t>63796</t>
        </is>
      </c>
      <c r="AW380" t="inlineStr">
        <is>
          <t>991000189799702656</t>
        </is>
      </c>
      <c r="AX380" t="inlineStr">
        <is>
          <t>991000189799702656</t>
        </is>
      </c>
      <c r="AY380" t="inlineStr">
        <is>
          <t>2256082590002656</t>
        </is>
      </c>
      <c r="AZ380" t="inlineStr">
        <is>
          <t>BOOK</t>
        </is>
      </c>
      <c r="BC380" t="inlineStr">
        <is>
          <t>32285000710987</t>
        </is>
      </c>
      <c r="BD380" t="inlineStr">
        <is>
          <t>893249167</t>
        </is>
      </c>
    </row>
    <row r="381">
      <c r="A381" t="inlineStr">
        <is>
          <t>No</t>
        </is>
      </c>
      <c r="B381" t="inlineStr">
        <is>
          <t>BT202 .D635 1986</t>
        </is>
      </c>
      <c r="C381" t="inlineStr">
        <is>
          <t>0                      BT 0202000D  635         1986</t>
        </is>
      </c>
      <c r="D381" t="inlineStr">
        <is>
          <t>Understanding the atonement for the mission of the church / John Driver ; foreword by C. Rene Padilla.</t>
        </is>
      </c>
      <c r="F381" t="inlineStr">
        <is>
          <t>No</t>
        </is>
      </c>
      <c r="G381" t="inlineStr">
        <is>
          <t>1</t>
        </is>
      </c>
      <c r="H381" t="inlineStr">
        <is>
          <t>No</t>
        </is>
      </c>
      <c r="I381" t="inlineStr">
        <is>
          <t>No</t>
        </is>
      </c>
      <c r="J381" t="inlineStr">
        <is>
          <t>0</t>
        </is>
      </c>
      <c r="K381" t="inlineStr">
        <is>
          <t>Driver, John, 1924-</t>
        </is>
      </c>
      <c r="L381" t="inlineStr">
        <is>
          <t>Scottdale, Pa. : Herald Press, c1986.</t>
        </is>
      </c>
      <c r="M381" t="inlineStr">
        <is>
          <t>1986</t>
        </is>
      </c>
      <c r="O381" t="inlineStr">
        <is>
          <t>eng</t>
        </is>
      </c>
      <c r="P381" t="inlineStr">
        <is>
          <t>pau</t>
        </is>
      </c>
      <c r="R381" t="inlineStr">
        <is>
          <t xml:space="preserve">BT </t>
        </is>
      </c>
      <c r="S381" t="n">
        <v>4</v>
      </c>
      <c r="T381" t="n">
        <v>4</v>
      </c>
      <c r="U381" t="inlineStr">
        <is>
          <t>1996-09-24</t>
        </is>
      </c>
      <c r="V381" t="inlineStr">
        <is>
          <t>1996-09-24</t>
        </is>
      </c>
      <c r="W381" t="inlineStr">
        <is>
          <t>1991-08-09</t>
        </is>
      </c>
      <c r="X381" t="inlineStr">
        <is>
          <t>1991-08-09</t>
        </is>
      </c>
      <c r="Y381" t="n">
        <v>206</v>
      </c>
      <c r="Z381" t="n">
        <v>162</v>
      </c>
      <c r="AA381" t="n">
        <v>167</v>
      </c>
      <c r="AB381" t="n">
        <v>2</v>
      </c>
      <c r="AC381" t="n">
        <v>2</v>
      </c>
      <c r="AD381" t="n">
        <v>11</v>
      </c>
      <c r="AE381" t="n">
        <v>11</v>
      </c>
      <c r="AF381" t="n">
        <v>6</v>
      </c>
      <c r="AG381" t="n">
        <v>6</v>
      </c>
      <c r="AH381" t="n">
        <v>1</v>
      </c>
      <c r="AI381" t="n">
        <v>1</v>
      </c>
      <c r="AJ381" t="n">
        <v>7</v>
      </c>
      <c r="AK381" t="n">
        <v>7</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HYPERLINK("https://creighton-primo.hosted.exlibrisgroup.com/primo-explore/search?tab=default_tab&amp;search_scope=EVERYTHING&amp;vid=01CRU&amp;lang=en_US&amp;offset=0&amp;query=any,contains,991000799149702656","Catalog Record")</f>
        <v/>
      </c>
      <c r="AT381">
        <f>HYPERLINK("http://www.worldcat.org/oclc/13216451","WorldCat Record")</f>
        <v/>
      </c>
      <c r="AU381" t="inlineStr">
        <is>
          <t>479447668:eng</t>
        </is>
      </c>
      <c r="AV381" t="inlineStr">
        <is>
          <t>13216451</t>
        </is>
      </c>
      <c r="AW381" t="inlineStr">
        <is>
          <t>991000799149702656</t>
        </is>
      </c>
      <c r="AX381" t="inlineStr">
        <is>
          <t>991000799149702656</t>
        </is>
      </c>
      <c r="AY381" t="inlineStr">
        <is>
          <t>2263828780002656</t>
        </is>
      </c>
      <c r="AZ381" t="inlineStr">
        <is>
          <t>BOOK</t>
        </is>
      </c>
      <c r="BB381" t="inlineStr">
        <is>
          <t>9780836134032</t>
        </is>
      </c>
      <c r="BC381" t="inlineStr">
        <is>
          <t>32285000710995</t>
        </is>
      </c>
      <c r="BD381" t="inlineStr">
        <is>
          <t>893696183</t>
        </is>
      </c>
    </row>
    <row r="382">
      <c r="A382" t="inlineStr">
        <is>
          <t>No</t>
        </is>
      </c>
      <c r="B382" t="inlineStr">
        <is>
          <t>BT202 .D64</t>
        </is>
      </c>
      <c r="C382" t="inlineStr">
        <is>
          <t>0                      BT 0202000D  64</t>
        </is>
      </c>
      <c r="D382" t="inlineStr">
        <is>
          <t>Christ in a changing world : toward an ethical Christology / Tom F. Driver.</t>
        </is>
      </c>
      <c r="F382" t="inlineStr">
        <is>
          <t>No</t>
        </is>
      </c>
      <c r="G382" t="inlineStr">
        <is>
          <t>1</t>
        </is>
      </c>
      <c r="H382" t="inlineStr">
        <is>
          <t>No</t>
        </is>
      </c>
      <c r="I382" t="inlineStr">
        <is>
          <t>No</t>
        </is>
      </c>
      <c r="J382" t="inlineStr">
        <is>
          <t>0</t>
        </is>
      </c>
      <c r="K382" t="inlineStr">
        <is>
          <t>Driver, Tom F. (Tom Faw), 1925-</t>
        </is>
      </c>
      <c r="L382" t="inlineStr">
        <is>
          <t>New York : Crossroad, 1981.</t>
        </is>
      </c>
      <c r="M382" t="inlineStr">
        <is>
          <t>1981</t>
        </is>
      </c>
      <c r="O382" t="inlineStr">
        <is>
          <t>eng</t>
        </is>
      </c>
      <c r="P382" t="inlineStr">
        <is>
          <t>nyu</t>
        </is>
      </c>
      <c r="R382" t="inlineStr">
        <is>
          <t xml:space="preserve">BT </t>
        </is>
      </c>
      <c r="S382" t="n">
        <v>2</v>
      </c>
      <c r="T382" t="n">
        <v>2</v>
      </c>
      <c r="U382" t="inlineStr">
        <is>
          <t>1992-01-06</t>
        </is>
      </c>
      <c r="V382" t="inlineStr">
        <is>
          <t>1992-01-06</t>
        </is>
      </c>
      <c r="W382" t="inlineStr">
        <is>
          <t>1991-08-09</t>
        </is>
      </c>
      <c r="X382" t="inlineStr">
        <is>
          <t>1991-08-09</t>
        </is>
      </c>
      <c r="Y382" t="n">
        <v>456</v>
      </c>
      <c r="Z382" t="n">
        <v>396</v>
      </c>
      <c r="AA382" t="n">
        <v>405</v>
      </c>
      <c r="AB382" t="n">
        <v>3</v>
      </c>
      <c r="AC382" t="n">
        <v>3</v>
      </c>
      <c r="AD382" t="n">
        <v>30</v>
      </c>
      <c r="AE382" t="n">
        <v>31</v>
      </c>
      <c r="AF382" t="n">
        <v>10</v>
      </c>
      <c r="AG382" t="n">
        <v>10</v>
      </c>
      <c r="AH382" t="n">
        <v>6</v>
      </c>
      <c r="AI382" t="n">
        <v>6</v>
      </c>
      <c r="AJ382" t="n">
        <v>20</v>
      </c>
      <c r="AK382" t="n">
        <v>21</v>
      </c>
      <c r="AL382" t="n">
        <v>2</v>
      </c>
      <c r="AM382" t="n">
        <v>2</v>
      </c>
      <c r="AN382" t="n">
        <v>0</v>
      </c>
      <c r="AO382" t="n">
        <v>0</v>
      </c>
      <c r="AP382" t="inlineStr">
        <is>
          <t>No</t>
        </is>
      </c>
      <c r="AQ382" t="inlineStr">
        <is>
          <t>Yes</t>
        </is>
      </c>
      <c r="AR382">
        <f>HYPERLINK("http://catalog.hathitrust.org/Record/000141555","HathiTrust Record")</f>
        <v/>
      </c>
      <c r="AS382">
        <f>HYPERLINK("https://creighton-primo.hosted.exlibrisgroup.com/primo-explore/search?tab=default_tab&amp;search_scope=EVERYTHING&amp;vid=01CRU&amp;lang=en_US&amp;offset=0&amp;query=any,contains,991005132389702656","Catalog Record")</f>
        <v/>
      </c>
      <c r="AT382">
        <f>HYPERLINK("http://www.worldcat.org/oclc/7573570","WorldCat Record")</f>
        <v/>
      </c>
      <c r="AU382" t="inlineStr">
        <is>
          <t>10472627:eng</t>
        </is>
      </c>
      <c r="AV382" t="inlineStr">
        <is>
          <t>7573570</t>
        </is>
      </c>
      <c r="AW382" t="inlineStr">
        <is>
          <t>991005132389702656</t>
        </is>
      </c>
      <c r="AX382" t="inlineStr">
        <is>
          <t>991005132389702656</t>
        </is>
      </c>
      <c r="AY382" t="inlineStr">
        <is>
          <t>2271468990002656</t>
        </is>
      </c>
      <c r="AZ382" t="inlineStr">
        <is>
          <t>BOOK</t>
        </is>
      </c>
      <c r="BB382" t="inlineStr">
        <is>
          <t>9780824501051</t>
        </is>
      </c>
      <c r="BC382" t="inlineStr">
        <is>
          <t>32285000711001</t>
        </is>
      </c>
      <c r="BD382" t="inlineStr">
        <is>
          <t>893810872</t>
        </is>
      </c>
    </row>
    <row r="383">
      <c r="A383" t="inlineStr">
        <is>
          <t>No</t>
        </is>
      </c>
      <c r="B383" t="inlineStr">
        <is>
          <t>BT202 .D79 1998</t>
        </is>
      </c>
      <c r="C383" t="inlineStr">
        <is>
          <t>0                      BT 0202000D  79          1998</t>
        </is>
      </c>
      <c r="D383" t="inlineStr">
        <is>
          <t>The Christ and the Spirit : collected essays of James D.G. Dunn.</t>
        </is>
      </c>
      <c r="E383" t="inlineStr">
        <is>
          <t>V.1</t>
        </is>
      </c>
      <c r="F383" t="inlineStr">
        <is>
          <t>Yes</t>
        </is>
      </c>
      <c r="G383" t="inlineStr">
        <is>
          <t>1</t>
        </is>
      </c>
      <c r="H383" t="inlineStr">
        <is>
          <t>No</t>
        </is>
      </c>
      <c r="I383" t="inlineStr">
        <is>
          <t>No</t>
        </is>
      </c>
      <c r="J383" t="inlineStr">
        <is>
          <t>0</t>
        </is>
      </c>
      <c r="K383" t="inlineStr">
        <is>
          <t>Dunn, James D. G., 1939-2020.</t>
        </is>
      </c>
      <c r="L383" t="inlineStr">
        <is>
          <t>Grand Rapids, Mich. : W.B. Eerdmans Pub. Co., c1998.</t>
        </is>
      </c>
      <c r="M383" t="inlineStr">
        <is>
          <t>1998</t>
        </is>
      </c>
      <c r="O383" t="inlineStr">
        <is>
          <t>eng</t>
        </is>
      </c>
      <c r="P383" t="inlineStr">
        <is>
          <t>miu</t>
        </is>
      </c>
      <c r="R383" t="inlineStr">
        <is>
          <t xml:space="preserve">BT </t>
        </is>
      </c>
      <c r="S383" t="n">
        <v>4</v>
      </c>
      <c r="T383" t="n">
        <v>5</v>
      </c>
      <c r="U383" t="inlineStr">
        <is>
          <t>2002-11-29</t>
        </is>
      </c>
      <c r="V383" t="inlineStr">
        <is>
          <t>2002-11-29</t>
        </is>
      </c>
      <c r="W383" t="inlineStr">
        <is>
          <t>1998-08-24</t>
        </is>
      </c>
      <c r="X383" t="inlineStr">
        <is>
          <t>1998-08-24</t>
        </is>
      </c>
      <c r="Y383" t="n">
        <v>308</v>
      </c>
      <c r="Z383" t="n">
        <v>236</v>
      </c>
      <c r="AA383" t="n">
        <v>247</v>
      </c>
      <c r="AB383" t="n">
        <v>1</v>
      </c>
      <c r="AC383" t="n">
        <v>1</v>
      </c>
      <c r="AD383" t="n">
        <v>17</v>
      </c>
      <c r="AE383" t="n">
        <v>17</v>
      </c>
      <c r="AF383" t="n">
        <v>9</v>
      </c>
      <c r="AG383" t="n">
        <v>9</v>
      </c>
      <c r="AH383" t="n">
        <v>3</v>
      </c>
      <c r="AI383" t="n">
        <v>3</v>
      </c>
      <c r="AJ383" t="n">
        <v>12</v>
      </c>
      <c r="AK383" t="n">
        <v>12</v>
      </c>
      <c r="AL383" t="n">
        <v>0</v>
      </c>
      <c r="AM383" t="n">
        <v>0</v>
      </c>
      <c r="AN383" t="n">
        <v>0</v>
      </c>
      <c r="AO383" t="n">
        <v>0</v>
      </c>
      <c r="AP383" t="inlineStr">
        <is>
          <t>No</t>
        </is>
      </c>
      <c r="AQ383" t="inlineStr">
        <is>
          <t>Yes</t>
        </is>
      </c>
      <c r="AR383">
        <f>HYPERLINK("http://catalog.hathitrust.org/Record/003977220","HathiTrust Record")</f>
        <v/>
      </c>
      <c r="AS383">
        <f>HYPERLINK("https://creighton-primo.hosted.exlibrisgroup.com/primo-explore/search?tab=default_tab&amp;search_scope=EVERYTHING&amp;vid=01CRU&amp;lang=en_US&amp;offset=0&amp;query=any,contains,991002837909702656","Catalog Record")</f>
        <v/>
      </c>
      <c r="AT383">
        <f>HYPERLINK("http://www.worldcat.org/oclc/37373498","WorldCat Record")</f>
        <v/>
      </c>
      <c r="AU383" t="inlineStr">
        <is>
          <t>2865704992:eng</t>
        </is>
      </c>
      <c r="AV383" t="inlineStr">
        <is>
          <t>37373498</t>
        </is>
      </c>
      <c r="AW383" t="inlineStr">
        <is>
          <t>991002837909702656</t>
        </is>
      </c>
      <c r="AX383" t="inlineStr">
        <is>
          <t>991002837909702656</t>
        </is>
      </c>
      <c r="AY383" t="inlineStr">
        <is>
          <t>2268763010002656</t>
        </is>
      </c>
      <c r="AZ383" t="inlineStr">
        <is>
          <t>BOOK</t>
        </is>
      </c>
      <c r="BB383" t="inlineStr">
        <is>
          <t>9780802841759</t>
        </is>
      </c>
      <c r="BC383" t="inlineStr">
        <is>
          <t>32285003461018</t>
        </is>
      </c>
      <c r="BD383" t="inlineStr">
        <is>
          <t>893716978</t>
        </is>
      </c>
    </row>
    <row r="384">
      <c r="A384" t="inlineStr">
        <is>
          <t>No</t>
        </is>
      </c>
      <c r="B384" t="inlineStr">
        <is>
          <t>BT202 .D79 1998</t>
        </is>
      </c>
      <c r="C384" t="inlineStr">
        <is>
          <t>0                      BT 0202000D  79          1998</t>
        </is>
      </c>
      <c r="D384" t="inlineStr">
        <is>
          <t>The Christ and the Spirit : collected essays of James D.G. Dunn.</t>
        </is>
      </c>
      <c r="E384" t="inlineStr">
        <is>
          <t>V.2</t>
        </is>
      </c>
      <c r="F384" t="inlineStr">
        <is>
          <t>Yes</t>
        </is>
      </c>
      <c r="G384" t="inlineStr">
        <is>
          <t>1</t>
        </is>
      </c>
      <c r="H384" t="inlineStr">
        <is>
          <t>No</t>
        </is>
      </c>
      <c r="I384" t="inlineStr">
        <is>
          <t>No</t>
        </is>
      </c>
      <c r="J384" t="inlineStr">
        <is>
          <t>0</t>
        </is>
      </c>
      <c r="K384" t="inlineStr">
        <is>
          <t>Dunn, James D. G., 1939-2020.</t>
        </is>
      </c>
      <c r="L384" t="inlineStr">
        <is>
          <t>Grand Rapids, Mich. : W.B. Eerdmans Pub. Co., c1998.</t>
        </is>
      </c>
      <c r="M384" t="inlineStr">
        <is>
          <t>1998</t>
        </is>
      </c>
      <c r="O384" t="inlineStr">
        <is>
          <t>eng</t>
        </is>
      </c>
      <c r="P384" t="inlineStr">
        <is>
          <t>miu</t>
        </is>
      </c>
      <c r="R384" t="inlineStr">
        <is>
          <t xml:space="preserve">BT </t>
        </is>
      </c>
      <c r="S384" t="n">
        <v>1</v>
      </c>
      <c r="T384" t="n">
        <v>5</v>
      </c>
      <c r="U384" t="inlineStr">
        <is>
          <t>2002-11-29</t>
        </is>
      </c>
      <c r="V384" t="inlineStr">
        <is>
          <t>2002-11-29</t>
        </is>
      </c>
      <c r="W384" t="inlineStr">
        <is>
          <t>1998-08-24</t>
        </is>
      </c>
      <c r="X384" t="inlineStr">
        <is>
          <t>1998-08-24</t>
        </is>
      </c>
      <c r="Y384" t="n">
        <v>308</v>
      </c>
      <c r="Z384" t="n">
        <v>236</v>
      </c>
      <c r="AA384" t="n">
        <v>247</v>
      </c>
      <c r="AB384" t="n">
        <v>1</v>
      </c>
      <c r="AC384" t="n">
        <v>1</v>
      </c>
      <c r="AD384" t="n">
        <v>17</v>
      </c>
      <c r="AE384" t="n">
        <v>17</v>
      </c>
      <c r="AF384" t="n">
        <v>9</v>
      </c>
      <c r="AG384" t="n">
        <v>9</v>
      </c>
      <c r="AH384" t="n">
        <v>3</v>
      </c>
      <c r="AI384" t="n">
        <v>3</v>
      </c>
      <c r="AJ384" t="n">
        <v>12</v>
      </c>
      <c r="AK384" t="n">
        <v>12</v>
      </c>
      <c r="AL384" t="n">
        <v>0</v>
      </c>
      <c r="AM384" t="n">
        <v>0</v>
      </c>
      <c r="AN384" t="n">
        <v>0</v>
      </c>
      <c r="AO384" t="n">
        <v>0</v>
      </c>
      <c r="AP384" t="inlineStr">
        <is>
          <t>No</t>
        </is>
      </c>
      <c r="AQ384" t="inlineStr">
        <is>
          <t>Yes</t>
        </is>
      </c>
      <c r="AR384">
        <f>HYPERLINK("http://catalog.hathitrust.org/Record/003977220","HathiTrust Record")</f>
        <v/>
      </c>
      <c r="AS384">
        <f>HYPERLINK("https://creighton-primo.hosted.exlibrisgroup.com/primo-explore/search?tab=default_tab&amp;search_scope=EVERYTHING&amp;vid=01CRU&amp;lang=en_US&amp;offset=0&amp;query=any,contains,991002837909702656","Catalog Record")</f>
        <v/>
      </c>
      <c r="AT384">
        <f>HYPERLINK("http://www.worldcat.org/oclc/37373498","WorldCat Record")</f>
        <v/>
      </c>
      <c r="AU384" t="inlineStr">
        <is>
          <t>2865704992:eng</t>
        </is>
      </c>
      <c r="AV384" t="inlineStr">
        <is>
          <t>37373498</t>
        </is>
      </c>
      <c r="AW384" t="inlineStr">
        <is>
          <t>991002837909702656</t>
        </is>
      </c>
      <c r="AX384" t="inlineStr">
        <is>
          <t>991002837909702656</t>
        </is>
      </c>
      <c r="AY384" t="inlineStr">
        <is>
          <t>2268763010002656</t>
        </is>
      </c>
      <c r="AZ384" t="inlineStr">
        <is>
          <t>BOOK</t>
        </is>
      </c>
      <c r="BB384" t="inlineStr">
        <is>
          <t>9780802841759</t>
        </is>
      </c>
      <c r="BC384" t="inlineStr">
        <is>
          <t>32285003461083</t>
        </is>
      </c>
      <c r="BD384" t="inlineStr">
        <is>
          <t>893698333</t>
        </is>
      </c>
    </row>
    <row r="385">
      <c r="A385" t="inlineStr">
        <is>
          <t>No</t>
        </is>
      </c>
      <c r="B385" t="inlineStr">
        <is>
          <t>BT202 .E274 1995</t>
        </is>
      </c>
      <c r="C385" t="inlineStr">
        <is>
          <t>0                      BT 0202000E  274         1995</t>
        </is>
      </c>
      <c r="D385" t="inlineStr">
        <is>
          <t>Jesus the wisdom of God : an ecological theology / Denis Edwards.</t>
        </is>
      </c>
      <c r="F385" t="inlineStr">
        <is>
          <t>No</t>
        </is>
      </c>
      <c r="G385" t="inlineStr">
        <is>
          <t>1</t>
        </is>
      </c>
      <c r="H385" t="inlineStr">
        <is>
          <t>No</t>
        </is>
      </c>
      <c r="I385" t="inlineStr">
        <is>
          <t>No</t>
        </is>
      </c>
      <c r="J385" t="inlineStr">
        <is>
          <t>0</t>
        </is>
      </c>
      <c r="K385" t="inlineStr">
        <is>
          <t>Edwards, Denis, 1943-</t>
        </is>
      </c>
      <c r="L385" t="inlineStr">
        <is>
          <t>Maryknoll, N.Y. : Orbis Books, c1995.</t>
        </is>
      </c>
      <c r="M385" t="inlineStr">
        <is>
          <t>1995</t>
        </is>
      </c>
      <c r="O385" t="inlineStr">
        <is>
          <t>eng</t>
        </is>
      </c>
      <c r="P385" t="inlineStr">
        <is>
          <t>nyu</t>
        </is>
      </c>
      <c r="Q385" t="inlineStr">
        <is>
          <t>Ecology and justice</t>
        </is>
      </c>
      <c r="R385" t="inlineStr">
        <is>
          <t xml:space="preserve">BT </t>
        </is>
      </c>
      <c r="S385" t="n">
        <v>5</v>
      </c>
      <c r="T385" t="n">
        <v>5</v>
      </c>
      <c r="U385" t="inlineStr">
        <is>
          <t>1998-03-26</t>
        </is>
      </c>
      <c r="V385" t="inlineStr">
        <is>
          <t>1998-03-26</t>
        </is>
      </c>
      <c r="W385" t="inlineStr">
        <is>
          <t>1996-03-25</t>
        </is>
      </c>
      <c r="X385" t="inlineStr">
        <is>
          <t>1996-03-25</t>
        </is>
      </c>
      <c r="Y385" t="n">
        <v>288</v>
      </c>
      <c r="Z385" t="n">
        <v>242</v>
      </c>
      <c r="AA385" t="n">
        <v>258</v>
      </c>
      <c r="AB385" t="n">
        <v>2</v>
      </c>
      <c r="AC385" t="n">
        <v>2</v>
      </c>
      <c r="AD385" t="n">
        <v>25</v>
      </c>
      <c r="AE385" t="n">
        <v>25</v>
      </c>
      <c r="AF385" t="n">
        <v>9</v>
      </c>
      <c r="AG385" t="n">
        <v>9</v>
      </c>
      <c r="AH385" t="n">
        <v>6</v>
      </c>
      <c r="AI385" t="n">
        <v>6</v>
      </c>
      <c r="AJ385" t="n">
        <v>17</v>
      </c>
      <c r="AK385" t="n">
        <v>17</v>
      </c>
      <c r="AL385" t="n">
        <v>1</v>
      </c>
      <c r="AM385" t="n">
        <v>1</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HYPERLINK("https://creighton-primo.hosted.exlibrisgroup.com/primo-explore/search?tab=default_tab&amp;search_scope=EVERYTHING&amp;vid=01CRU&amp;lang=en_US&amp;offset=0&amp;query=any,contains,991002412439702656","Catalog Record")</f>
        <v/>
      </c>
      <c r="AT385">
        <f>HYPERLINK("http://www.worldcat.org/oclc/31408442","WorldCat Record")</f>
        <v/>
      </c>
      <c r="AU385" t="inlineStr">
        <is>
          <t>32982073:eng</t>
        </is>
      </c>
      <c r="AV385" t="inlineStr">
        <is>
          <t>31408442</t>
        </is>
      </c>
      <c r="AW385" t="inlineStr">
        <is>
          <t>991002412439702656</t>
        </is>
      </c>
      <c r="AX385" t="inlineStr">
        <is>
          <t>991002412439702656</t>
        </is>
      </c>
      <c r="AY385" t="inlineStr">
        <is>
          <t>2267590280002656</t>
        </is>
      </c>
      <c r="AZ385" t="inlineStr">
        <is>
          <t>BOOK</t>
        </is>
      </c>
      <c r="BB385" t="inlineStr">
        <is>
          <t>9781570750021</t>
        </is>
      </c>
      <c r="BC385" t="inlineStr">
        <is>
          <t>32285002146230</t>
        </is>
      </c>
      <c r="BD385" t="inlineStr">
        <is>
          <t>893523576</t>
        </is>
      </c>
    </row>
    <row r="386">
      <c r="A386" t="inlineStr">
        <is>
          <t>No</t>
        </is>
      </c>
      <c r="B386" t="inlineStr">
        <is>
          <t>BT202 .E48 1988</t>
        </is>
      </c>
      <c r="C386" t="inlineStr">
        <is>
          <t>0                      BT 0202000E  48          1988</t>
        </is>
      </c>
      <c r="D386" t="inlineStr">
        <is>
          <t>Encountering Jesus : a debate on Christology / Stephen T. Davis, editor ... [et al.].</t>
        </is>
      </c>
      <c r="F386" t="inlineStr">
        <is>
          <t>No</t>
        </is>
      </c>
      <c r="G386" t="inlineStr">
        <is>
          <t>1</t>
        </is>
      </c>
      <c r="H386" t="inlineStr">
        <is>
          <t>No</t>
        </is>
      </c>
      <c r="I386" t="inlineStr">
        <is>
          <t>No</t>
        </is>
      </c>
      <c r="J386" t="inlineStr">
        <is>
          <t>0</t>
        </is>
      </c>
      <c r="L386" t="inlineStr">
        <is>
          <t>Atlanta : John Knox Press, c1988.</t>
        </is>
      </c>
      <c r="M386" t="inlineStr">
        <is>
          <t>1988</t>
        </is>
      </c>
      <c r="O386" t="inlineStr">
        <is>
          <t>eng</t>
        </is>
      </c>
      <c r="P386" t="inlineStr">
        <is>
          <t>gau</t>
        </is>
      </c>
      <c r="R386" t="inlineStr">
        <is>
          <t xml:space="preserve">BT </t>
        </is>
      </c>
      <c r="S386" t="n">
        <v>2</v>
      </c>
      <c r="T386" t="n">
        <v>2</v>
      </c>
      <c r="U386" t="inlineStr">
        <is>
          <t>1994-02-23</t>
        </is>
      </c>
      <c r="V386" t="inlineStr">
        <is>
          <t>1994-02-23</t>
        </is>
      </c>
      <c r="W386" t="inlineStr">
        <is>
          <t>1991-08-09</t>
        </is>
      </c>
      <c r="X386" t="inlineStr">
        <is>
          <t>1991-08-09</t>
        </is>
      </c>
      <c r="Y386" t="n">
        <v>393</v>
      </c>
      <c r="Z386" t="n">
        <v>335</v>
      </c>
      <c r="AA386" t="n">
        <v>340</v>
      </c>
      <c r="AB386" t="n">
        <v>2</v>
      </c>
      <c r="AC386" t="n">
        <v>2</v>
      </c>
      <c r="AD386" t="n">
        <v>16</v>
      </c>
      <c r="AE386" t="n">
        <v>16</v>
      </c>
      <c r="AF386" t="n">
        <v>5</v>
      </c>
      <c r="AG386" t="n">
        <v>5</v>
      </c>
      <c r="AH386" t="n">
        <v>4</v>
      </c>
      <c r="AI386" t="n">
        <v>4</v>
      </c>
      <c r="AJ386" t="n">
        <v>9</v>
      </c>
      <c r="AK386" t="n">
        <v>9</v>
      </c>
      <c r="AL386" t="n">
        <v>1</v>
      </c>
      <c r="AM386" t="n">
        <v>1</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HYPERLINK("https://creighton-primo.hosted.exlibrisgroup.com/primo-explore/search?tab=default_tab&amp;search_scope=EVERYTHING&amp;vid=01CRU&amp;lang=en_US&amp;offset=0&amp;query=any,contains,991001098279702656","Catalog Record")</f>
        <v/>
      </c>
      <c r="AT386">
        <f>HYPERLINK("http://www.worldcat.org/oclc/16277672","WorldCat Record")</f>
        <v/>
      </c>
      <c r="AU386" t="inlineStr">
        <is>
          <t>2752699:eng</t>
        </is>
      </c>
      <c r="AV386" t="inlineStr">
        <is>
          <t>16277672</t>
        </is>
      </c>
      <c r="AW386" t="inlineStr">
        <is>
          <t>991001098279702656</t>
        </is>
      </c>
      <c r="AX386" t="inlineStr">
        <is>
          <t>991001098279702656</t>
        </is>
      </c>
      <c r="AY386" t="inlineStr">
        <is>
          <t>2260892680002656</t>
        </is>
      </c>
      <c r="AZ386" t="inlineStr">
        <is>
          <t>BOOK</t>
        </is>
      </c>
      <c r="BB386" t="inlineStr">
        <is>
          <t>9780804205375</t>
        </is>
      </c>
      <c r="BC386" t="inlineStr">
        <is>
          <t>32285000711019</t>
        </is>
      </c>
      <c r="BD386" t="inlineStr">
        <is>
          <t>893690331</t>
        </is>
      </c>
    </row>
    <row r="387">
      <c r="A387" t="inlineStr">
        <is>
          <t>No</t>
        </is>
      </c>
      <c r="B387" t="inlineStr">
        <is>
          <t>BT202 .F37 1983</t>
        </is>
      </c>
      <c r="C387" t="inlineStr">
        <is>
          <t>0                      BT 0202000F  37          1983</t>
        </is>
      </c>
      <c r="D387" t="inlineStr">
        <is>
          <t>Seeking Jesus in contemplation and discernment / by Robert Faricy.</t>
        </is>
      </c>
      <c r="F387" t="inlineStr">
        <is>
          <t>No</t>
        </is>
      </c>
      <c r="G387" t="inlineStr">
        <is>
          <t>1</t>
        </is>
      </c>
      <c r="H387" t="inlineStr">
        <is>
          <t>No</t>
        </is>
      </c>
      <c r="I387" t="inlineStr">
        <is>
          <t>No</t>
        </is>
      </c>
      <c r="J387" t="inlineStr">
        <is>
          <t>0</t>
        </is>
      </c>
      <c r="K387" t="inlineStr">
        <is>
          <t>Faricy, Robert L., 1926-</t>
        </is>
      </c>
      <c r="L387" t="inlineStr">
        <is>
          <t>Wilmington : Michael Glazier, 1983.</t>
        </is>
      </c>
      <c r="M387" t="inlineStr">
        <is>
          <t>1983</t>
        </is>
      </c>
      <c r="O387" t="inlineStr">
        <is>
          <t>eng</t>
        </is>
      </c>
      <c r="P387" t="inlineStr">
        <is>
          <t>deu</t>
        </is>
      </c>
      <c r="Q387" t="inlineStr">
        <is>
          <t>Ways of prayer ; v. 7</t>
        </is>
      </c>
      <c r="R387" t="inlineStr">
        <is>
          <t xml:space="preserve">BT </t>
        </is>
      </c>
      <c r="S387" t="n">
        <v>3</v>
      </c>
      <c r="T387" t="n">
        <v>3</v>
      </c>
      <c r="U387" t="inlineStr">
        <is>
          <t>2002-05-29</t>
        </is>
      </c>
      <c r="V387" t="inlineStr">
        <is>
          <t>2002-05-29</t>
        </is>
      </c>
      <c r="W387" t="inlineStr">
        <is>
          <t>1991-08-09</t>
        </is>
      </c>
      <c r="X387" t="inlineStr">
        <is>
          <t>1991-08-09</t>
        </is>
      </c>
      <c r="Y387" t="n">
        <v>91</v>
      </c>
      <c r="Z387" t="n">
        <v>76</v>
      </c>
      <c r="AA387" t="n">
        <v>96</v>
      </c>
      <c r="AB387" t="n">
        <v>2</v>
      </c>
      <c r="AC387" t="n">
        <v>2</v>
      </c>
      <c r="AD387" t="n">
        <v>9</v>
      </c>
      <c r="AE387" t="n">
        <v>11</v>
      </c>
      <c r="AF387" t="n">
        <v>2</v>
      </c>
      <c r="AG387" t="n">
        <v>2</v>
      </c>
      <c r="AH387" t="n">
        <v>4</v>
      </c>
      <c r="AI387" t="n">
        <v>5</v>
      </c>
      <c r="AJ387" t="n">
        <v>6</v>
      </c>
      <c r="AK387" t="n">
        <v>8</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HYPERLINK("https://creighton-primo.hosted.exlibrisgroup.com/primo-explore/search?tab=default_tab&amp;search_scope=EVERYTHING&amp;vid=01CRU&amp;lang=en_US&amp;offset=0&amp;query=any,contains,991000448349702656","Catalog Record")</f>
        <v/>
      </c>
      <c r="AT387">
        <f>HYPERLINK("http://www.worldcat.org/oclc/10867328","WorldCat Record")</f>
        <v/>
      </c>
      <c r="AU387" t="inlineStr">
        <is>
          <t>3145283:eng</t>
        </is>
      </c>
      <c r="AV387" t="inlineStr">
        <is>
          <t>10867328</t>
        </is>
      </c>
      <c r="AW387" t="inlineStr">
        <is>
          <t>991000448349702656</t>
        </is>
      </c>
      <c r="AX387" t="inlineStr">
        <is>
          <t>991000448349702656</t>
        </is>
      </c>
      <c r="AY387" t="inlineStr">
        <is>
          <t>2272390910002656</t>
        </is>
      </c>
      <c r="AZ387" t="inlineStr">
        <is>
          <t>BOOK</t>
        </is>
      </c>
      <c r="BB387" t="inlineStr">
        <is>
          <t>9780907271239</t>
        </is>
      </c>
      <c r="BC387" t="inlineStr">
        <is>
          <t>32285000711035</t>
        </is>
      </c>
      <c r="BD387" t="inlineStr">
        <is>
          <t>893528057</t>
        </is>
      </c>
    </row>
    <row r="388">
      <c r="A388" t="inlineStr">
        <is>
          <t>No</t>
        </is>
      </c>
      <c r="B388" t="inlineStr">
        <is>
          <t>BT202 .F5 1968</t>
        </is>
      </c>
      <c r="C388" t="inlineStr">
        <is>
          <t>0                      BT 0202000F  5           1968</t>
        </is>
      </c>
      <c r="D388" t="inlineStr">
        <is>
          <t>Christ, the center of life / Joseph Fichtner.</t>
        </is>
      </c>
      <c r="F388" t="inlineStr">
        <is>
          <t>No</t>
        </is>
      </c>
      <c r="G388" t="inlineStr">
        <is>
          <t>1</t>
        </is>
      </c>
      <c r="H388" t="inlineStr">
        <is>
          <t>No</t>
        </is>
      </c>
      <c r="I388" t="inlineStr">
        <is>
          <t>No</t>
        </is>
      </c>
      <c r="J388" t="inlineStr">
        <is>
          <t>0</t>
        </is>
      </c>
      <c r="K388" t="inlineStr">
        <is>
          <t>Fichtner, Joseph.</t>
        </is>
      </c>
      <c r="L388" t="inlineStr">
        <is>
          <t>Milwaukee : Bruce Pub. Co., [1967, c1968]</t>
        </is>
      </c>
      <c r="M388" t="inlineStr">
        <is>
          <t>1967</t>
        </is>
      </c>
      <c r="O388" t="inlineStr">
        <is>
          <t>eng</t>
        </is>
      </c>
      <c r="P388" t="inlineStr">
        <is>
          <t>wiu</t>
        </is>
      </c>
      <c r="R388" t="inlineStr">
        <is>
          <t xml:space="preserve">BT </t>
        </is>
      </c>
      <c r="S388" t="n">
        <v>2</v>
      </c>
      <c r="T388" t="n">
        <v>2</v>
      </c>
      <c r="U388" t="inlineStr">
        <is>
          <t>1996-11-21</t>
        </is>
      </c>
      <c r="V388" t="inlineStr">
        <is>
          <t>1996-11-21</t>
        </is>
      </c>
      <c r="W388" t="inlineStr">
        <is>
          <t>1991-08-09</t>
        </is>
      </c>
      <c r="X388" t="inlineStr">
        <is>
          <t>1991-08-09</t>
        </is>
      </c>
      <c r="Y388" t="n">
        <v>135</v>
      </c>
      <c r="Z388" t="n">
        <v>126</v>
      </c>
      <c r="AA388" t="n">
        <v>126</v>
      </c>
      <c r="AB388" t="n">
        <v>3</v>
      </c>
      <c r="AC388" t="n">
        <v>3</v>
      </c>
      <c r="AD388" t="n">
        <v>16</v>
      </c>
      <c r="AE388" t="n">
        <v>16</v>
      </c>
      <c r="AF388" t="n">
        <v>2</v>
      </c>
      <c r="AG388" t="n">
        <v>2</v>
      </c>
      <c r="AH388" t="n">
        <v>3</v>
      </c>
      <c r="AI388" t="n">
        <v>3</v>
      </c>
      <c r="AJ388" t="n">
        <v>15</v>
      </c>
      <c r="AK388" t="n">
        <v>15</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HYPERLINK("https://creighton-primo.hosted.exlibrisgroup.com/primo-explore/search?tab=default_tab&amp;search_scope=EVERYTHING&amp;vid=01CRU&amp;lang=en_US&amp;offset=0&amp;query=any,contains,991002773509702656","Catalog Record")</f>
        <v/>
      </c>
      <c r="AT388">
        <f>HYPERLINK("http://www.worldcat.org/oclc/437874","WorldCat Record")</f>
        <v/>
      </c>
      <c r="AU388" t="inlineStr">
        <is>
          <t>2231928248:eng</t>
        </is>
      </c>
      <c r="AV388" t="inlineStr">
        <is>
          <t>437874</t>
        </is>
      </c>
      <c r="AW388" t="inlineStr">
        <is>
          <t>991002773509702656</t>
        </is>
      </c>
      <c r="AX388" t="inlineStr">
        <is>
          <t>991002773509702656</t>
        </is>
      </c>
      <c r="AY388" t="inlineStr">
        <is>
          <t>2267963570002656</t>
        </is>
      </c>
      <c r="AZ388" t="inlineStr">
        <is>
          <t>BOOK</t>
        </is>
      </c>
      <c r="BC388" t="inlineStr">
        <is>
          <t>32285000711043</t>
        </is>
      </c>
      <c r="BD388" t="inlineStr">
        <is>
          <t>893352514</t>
        </is>
      </c>
    </row>
    <row r="389">
      <c r="A389" t="inlineStr">
        <is>
          <t>No</t>
        </is>
      </c>
      <c r="B389" t="inlineStr">
        <is>
          <t>BT202 .F64 1985</t>
        </is>
      </c>
      <c r="C389" t="inlineStr">
        <is>
          <t>0                      BT 0202000F  64          1985</t>
        </is>
      </c>
      <c r="D389" t="inlineStr">
        <is>
          <t>Believing in Jesus : a popular overview of the Catholic faith / by Leonard Foley.</t>
        </is>
      </c>
      <c r="F389" t="inlineStr">
        <is>
          <t>No</t>
        </is>
      </c>
      <c r="G389" t="inlineStr">
        <is>
          <t>1</t>
        </is>
      </c>
      <c r="H389" t="inlineStr">
        <is>
          <t>No</t>
        </is>
      </c>
      <c r="I389" t="inlineStr">
        <is>
          <t>Yes</t>
        </is>
      </c>
      <c r="J389" t="inlineStr">
        <is>
          <t>0</t>
        </is>
      </c>
      <c r="K389" t="inlineStr">
        <is>
          <t>Foley, Leonard, 1913-1994.</t>
        </is>
      </c>
      <c r="L389" t="inlineStr">
        <is>
          <t>[Cincinnati, Ohio] : St. Anthony Messenger Press, c1985.</t>
        </is>
      </c>
      <c r="M389" t="inlineStr">
        <is>
          <t>1985</t>
        </is>
      </c>
      <c r="N389" t="inlineStr">
        <is>
          <t>Rev. ed.</t>
        </is>
      </c>
      <c r="O389" t="inlineStr">
        <is>
          <t>eng</t>
        </is>
      </c>
      <c r="P389" t="inlineStr">
        <is>
          <t>ohu</t>
        </is>
      </c>
      <c r="R389" t="inlineStr">
        <is>
          <t xml:space="preserve">BT </t>
        </is>
      </c>
      <c r="S389" t="n">
        <v>0</v>
      </c>
      <c r="T389" t="n">
        <v>0</v>
      </c>
      <c r="U389" t="inlineStr">
        <is>
          <t>2010-08-19</t>
        </is>
      </c>
      <c r="V389" t="inlineStr">
        <is>
          <t>2010-08-19</t>
        </is>
      </c>
      <c r="W389" t="inlineStr">
        <is>
          <t>1998-12-17</t>
        </is>
      </c>
      <c r="X389" t="inlineStr">
        <is>
          <t>1998-12-17</t>
        </is>
      </c>
      <c r="Y389" t="n">
        <v>122</v>
      </c>
      <c r="Z389" t="n">
        <v>112</v>
      </c>
      <c r="AA389" t="n">
        <v>292</v>
      </c>
      <c r="AB389" t="n">
        <v>2</v>
      </c>
      <c r="AC389" t="n">
        <v>4</v>
      </c>
      <c r="AD389" t="n">
        <v>7</v>
      </c>
      <c r="AE389" t="n">
        <v>20</v>
      </c>
      <c r="AF389" t="n">
        <v>3</v>
      </c>
      <c r="AG389" t="n">
        <v>7</v>
      </c>
      <c r="AH389" t="n">
        <v>2</v>
      </c>
      <c r="AI389" t="n">
        <v>5</v>
      </c>
      <c r="AJ389" t="n">
        <v>4</v>
      </c>
      <c r="AK389" t="n">
        <v>13</v>
      </c>
      <c r="AL389" t="n">
        <v>0</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HYPERLINK("https://creighton-primo.hosted.exlibrisgroup.com/primo-explore/search?tab=default_tab&amp;search_scope=EVERYTHING&amp;vid=01CRU&amp;lang=en_US&amp;offset=0&amp;query=any,contains,991000861319702656","Catalog Record")</f>
        <v/>
      </c>
      <c r="AT389">
        <f>HYPERLINK("http://www.worldcat.org/oclc/13688529","WorldCat Record")</f>
        <v/>
      </c>
      <c r="AU389" t="inlineStr">
        <is>
          <t>922451:eng</t>
        </is>
      </c>
      <c r="AV389" t="inlineStr">
        <is>
          <t>13688529</t>
        </is>
      </c>
      <c r="AW389" t="inlineStr">
        <is>
          <t>991000861319702656</t>
        </is>
      </c>
      <c r="AX389" t="inlineStr">
        <is>
          <t>991000861319702656</t>
        </is>
      </c>
      <c r="AY389" t="inlineStr">
        <is>
          <t>2271396030002656</t>
        </is>
      </c>
      <c r="AZ389" t="inlineStr">
        <is>
          <t>BOOK</t>
        </is>
      </c>
      <c r="BB389" t="inlineStr">
        <is>
          <t>9780867160741</t>
        </is>
      </c>
      <c r="BC389" t="inlineStr">
        <is>
          <t>32285003507679</t>
        </is>
      </c>
      <c r="BD389" t="inlineStr">
        <is>
          <t>893790923</t>
        </is>
      </c>
    </row>
    <row r="390">
      <c r="A390" t="inlineStr">
        <is>
          <t>No</t>
        </is>
      </c>
      <c r="B390" t="inlineStr">
        <is>
          <t>BT202 .G2813 1984</t>
        </is>
      </c>
      <c r="C390" t="inlineStr">
        <is>
          <t>0                      BT 0202000G  2813        1984</t>
        </is>
      </c>
      <c r="D390" t="inlineStr">
        <is>
          <t>The person of Christ : covenant between God and man : a theological insight / by Jean Galot.</t>
        </is>
      </c>
      <c r="F390" t="inlineStr">
        <is>
          <t>No</t>
        </is>
      </c>
      <c r="G390" t="inlineStr">
        <is>
          <t>1</t>
        </is>
      </c>
      <c r="H390" t="inlineStr">
        <is>
          <t>No</t>
        </is>
      </c>
      <c r="I390" t="inlineStr">
        <is>
          <t>No</t>
        </is>
      </c>
      <c r="J390" t="inlineStr">
        <is>
          <t>0</t>
        </is>
      </c>
      <c r="K390" t="inlineStr">
        <is>
          <t>Galot, Jean.</t>
        </is>
      </c>
      <c r="L390" t="inlineStr">
        <is>
          <t>Chicago : Franciscan Herald Press, 1983, c1984.</t>
        </is>
      </c>
      <c r="M390" t="inlineStr">
        <is>
          <t>1983</t>
        </is>
      </c>
      <c r="O390" t="inlineStr">
        <is>
          <t>eng</t>
        </is>
      </c>
      <c r="P390" t="inlineStr">
        <is>
          <t>ilu</t>
        </is>
      </c>
      <c r="R390" t="inlineStr">
        <is>
          <t xml:space="preserve">BT </t>
        </is>
      </c>
      <c r="S390" t="n">
        <v>9</v>
      </c>
      <c r="T390" t="n">
        <v>9</v>
      </c>
      <c r="U390" t="inlineStr">
        <is>
          <t>2000-09-17</t>
        </is>
      </c>
      <c r="V390" t="inlineStr">
        <is>
          <t>2000-09-17</t>
        </is>
      </c>
      <c r="W390" t="inlineStr">
        <is>
          <t>1991-08-09</t>
        </is>
      </c>
      <c r="X390" t="inlineStr">
        <is>
          <t>1991-08-09</t>
        </is>
      </c>
      <c r="Y390" t="n">
        <v>93</v>
      </c>
      <c r="Z390" t="n">
        <v>80</v>
      </c>
      <c r="AA390" t="n">
        <v>94</v>
      </c>
      <c r="AB390" t="n">
        <v>2</v>
      </c>
      <c r="AC390" t="n">
        <v>2</v>
      </c>
      <c r="AD390" t="n">
        <v>9</v>
      </c>
      <c r="AE390" t="n">
        <v>9</v>
      </c>
      <c r="AF390" t="n">
        <v>2</v>
      </c>
      <c r="AG390" t="n">
        <v>2</v>
      </c>
      <c r="AH390" t="n">
        <v>2</v>
      </c>
      <c r="AI390" t="n">
        <v>2</v>
      </c>
      <c r="AJ390" t="n">
        <v>7</v>
      </c>
      <c r="AK390" t="n">
        <v>7</v>
      </c>
      <c r="AL390" t="n">
        <v>0</v>
      </c>
      <c r="AM390" t="n">
        <v>0</v>
      </c>
      <c r="AN390" t="n">
        <v>0</v>
      </c>
      <c r="AO390" t="n">
        <v>0</v>
      </c>
      <c r="AP390" t="inlineStr">
        <is>
          <t>No</t>
        </is>
      </c>
      <c r="AQ390" t="inlineStr">
        <is>
          <t>Yes</t>
        </is>
      </c>
      <c r="AR390">
        <f>HYPERLINK("http://catalog.hathitrust.org/Record/000340254","HathiTrust Record")</f>
        <v/>
      </c>
      <c r="AS390">
        <f>HYPERLINK("https://creighton-primo.hosted.exlibrisgroup.com/primo-explore/search?tab=default_tab&amp;search_scope=EVERYTHING&amp;vid=01CRU&amp;lang=en_US&amp;offset=0&amp;query=any,contains,991000393849702656","Catalog Record")</f>
        <v/>
      </c>
      <c r="AT390">
        <f>HYPERLINK("http://www.worldcat.org/oclc/10559101","WorldCat Record")</f>
        <v/>
      </c>
      <c r="AU390" t="inlineStr">
        <is>
          <t>8913081173:eng</t>
        </is>
      </c>
      <c r="AV390" t="inlineStr">
        <is>
          <t>10559101</t>
        </is>
      </c>
      <c r="AW390" t="inlineStr">
        <is>
          <t>991000393849702656</t>
        </is>
      </c>
      <c r="AX390" t="inlineStr">
        <is>
          <t>991000393849702656</t>
        </is>
      </c>
      <c r="AY390" t="inlineStr">
        <is>
          <t>2271979080002656</t>
        </is>
      </c>
      <c r="AZ390" t="inlineStr">
        <is>
          <t>BOOK</t>
        </is>
      </c>
      <c r="BB390" t="inlineStr">
        <is>
          <t>9780819908322</t>
        </is>
      </c>
      <c r="BC390" t="inlineStr">
        <is>
          <t>32285000711076</t>
        </is>
      </c>
      <c r="BD390" t="inlineStr">
        <is>
          <t>893595504</t>
        </is>
      </c>
    </row>
    <row r="391">
      <c r="A391" t="inlineStr">
        <is>
          <t>No</t>
        </is>
      </c>
      <c r="B391" t="inlineStr">
        <is>
          <t>BT202 .G287</t>
        </is>
      </c>
      <c r="C391" t="inlineStr">
        <is>
          <t>0                      BT 0202000G  287</t>
        </is>
      </c>
      <c r="D391" t="inlineStr">
        <is>
          <t>Who is Christ? : A theology of the incarnation / by Jean Galot.</t>
        </is>
      </c>
      <c r="F391" t="inlineStr">
        <is>
          <t>No</t>
        </is>
      </c>
      <c r="G391" t="inlineStr">
        <is>
          <t>1</t>
        </is>
      </c>
      <c r="H391" t="inlineStr">
        <is>
          <t>No</t>
        </is>
      </c>
      <c r="I391" t="inlineStr">
        <is>
          <t>No</t>
        </is>
      </c>
      <c r="J391" t="inlineStr">
        <is>
          <t>0</t>
        </is>
      </c>
      <c r="K391" t="inlineStr">
        <is>
          <t>Galot, Jean.</t>
        </is>
      </c>
      <c r="L391" t="inlineStr">
        <is>
          <t>Chicago, IL : Franciscan Herald Press, c1981.</t>
        </is>
      </c>
      <c r="M391" t="inlineStr">
        <is>
          <t>1981</t>
        </is>
      </c>
      <c r="O391" t="inlineStr">
        <is>
          <t>eng</t>
        </is>
      </c>
      <c r="P391" t="inlineStr">
        <is>
          <t>ilu</t>
        </is>
      </c>
      <c r="R391" t="inlineStr">
        <is>
          <t xml:space="preserve">BT </t>
        </is>
      </c>
      <c r="S391" t="n">
        <v>5</v>
      </c>
      <c r="T391" t="n">
        <v>5</v>
      </c>
      <c r="U391" t="inlineStr">
        <is>
          <t>2001-02-04</t>
        </is>
      </c>
      <c r="V391" t="inlineStr">
        <is>
          <t>2001-02-04</t>
        </is>
      </c>
      <c r="W391" t="inlineStr">
        <is>
          <t>1991-08-09</t>
        </is>
      </c>
      <c r="X391" t="inlineStr">
        <is>
          <t>1991-08-09</t>
        </is>
      </c>
      <c r="Y391" t="n">
        <v>185</v>
      </c>
      <c r="Z391" t="n">
        <v>159</v>
      </c>
      <c r="AA391" t="n">
        <v>169</v>
      </c>
      <c r="AB391" t="n">
        <v>2</v>
      </c>
      <c r="AC391" t="n">
        <v>2</v>
      </c>
      <c r="AD391" t="n">
        <v>18</v>
      </c>
      <c r="AE391" t="n">
        <v>18</v>
      </c>
      <c r="AF391" t="n">
        <v>2</v>
      </c>
      <c r="AG391" t="n">
        <v>2</v>
      </c>
      <c r="AH391" t="n">
        <v>6</v>
      </c>
      <c r="AI391" t="n">
        <v>6</v>
      </c>
      <c r="AJ391" t="n">
        <v>15</v>
      </c>
      <c r="AK391" t="n">
        <v>15</v>
      </c>
      <c r="AL391" t="n">
        <v>0</v>
      </c>
      <c r="AM391" t="n">
        <v>0</v>
      </c>
      <c r="AN391" t="n">
        <v>0</v>
      </c>
      <c r="AO391" t="n">
        <v>0</v>
      </c>
      <c r="AP391" t="inlineStr">
        <is>
          <t>No</t>
        </is>
      </c>
      <c r="AQ391" t="inlineStr">
        <is>
          <t>Yes</t>
        </is>
      </c>
      <c r="AR391">
        <f>HYPERLINK("http://catalog.hathitrust.org/Record/000188275","HathiTrust Record")</f>
        <v/>
      </c>
      <c r="AS391">
        <f>HYPERLINK("https://creighton-primo.hosted.exlibrisgroup.com/primo-explore/search?tab=default_tab&amp;search_scope=EVERYTHING&amp;vid=01CRU&amp;lang=en_US&amp;offset=0&amp;query=any,contains,991005012709702656","Catalog Record")</f>
        <v/>
      </c>
      <c r="AT391">
        <f>HYPERLINK("http://www.worldcat.org/oclc/6603951","WorldCat Record")</f>
        <v/>
      </c>
      <c r="AU391" t="inlineStr">
        <is>
          <t>22724626:eng</t>
        </is>
      </c>
      <c r="AV391" t="inlineStr">
        <is>
          <t>6603951</t>
        </is>
      </c>
      <c r="AW391" t="inlineStr">
        <is>
          <t>991005012709702656</t>
        </is>
      </c>
      <c r="AX391" t="inlineStr">
        <is>
          <t>991005012709702656</t>
        </is>
      </c>
      <c r="AY391" t="inlineStr">
        <is>
          <t>2255052190002656</t>
        </is>
      </c>
      <c r="AZ391" t="inlineStr">
        <is>
          <t>BOOK</t>
        </is>
      </c>
      <c r="BB391" t="inlineStr">
        <is>
          <t>9780819908131</t>
        </is>
      </c>
      <c r="BC391" t="inlineStr">
        <is>
          <t>32285000711084</t>
        </is>
      </c>
      <c r="BD391" t="inlineStr">
        <is>
          <t>893533030</t>
        </is>
      </c>
    </row>
    <row r="392">
      <c r="A392" t="inlineStr">
        <is>
          <t>No</t>
        </is>
      </c>
      <c r="B392" t="inlineStr">
        <is>
          <t>BT202 .G684</t>
        </is>
      </c>
      <c r="C392" t="inlineStr">
        <is>
          <t>0                      BT 0202000G  684</t>
        </is>
      </c>
      <c r="D392" t="inlineStr">
        <is>
          <t>The problem of Christ / Domenico Grasso.</t>
        </is>
      </c>
      <c r="F392" t="inlineStr">
        <is>
          <t>No</t>
        </is>
      </c>
      <c r="G392" t="inlineStr">
        <is>
          <t>1</t>
        </is>
      </c>
      <c r="H392" t="inlineStr">
        <is>
          <t>No</t>
        </is>
      </c>
      <c r="I392" t="inlineStr">
        <is>
          <t>No</t>
        </is>
      </c>
      <c r="J392" t="inlineStr">
        <is>
          <t>0</t>
        </is>
      </c>
      <c r="K392" t="inlineStr">
        <is>
          <t>Grasso, Domenico, 1917-</t>
        </is>
      </c>
      <c r="L392" t="inlineStr">
        <is>
          <t>Staten Island, N.Y., Alba House [1969]</t>
        </is>
      </c>
      <c r="M392" t="inlineStr">
        <is>
          <t>1969</t>
        </is>
      </c>
      <c r="O392" t="inlineStr">
        <is>
          <t>eng</t>
        </is>
      </c>
      <c r="P392" t="inlineStr">
        <is>
          <t>nyu</t>
        </is>
      </c>
      <c r="R392" t="inlineStr">
        <is>
          <t xml:space="preserve">BT </t>
        </is>
      </c>
      <c r="S392" t="n">
        <v>1</v>
      </c>
      <c r="T392" t="n">
        <v>1</v>
      </c>
      <c r="U392" t="inlineStr">
        <is>
          <t>2000-09-20</t>
        </is>
      </c>
      <c r="V392" t="inlineStr">
        <is>
          <t>2000-09-20</t>
        </is>
      </c>
      <c r="W392" t="inlineStr">
        <is>
          <t>1991-08-09</t>
        </is>
      </c>
      <c r="X392" t="inlineStr">
        <is>
          <t>1991-08-09</t>
        </is>
      </c>
      <c r="Y392" t="n">
        <v>129</v>
      </c>
      <c r="Z392" t="n">
        <v>113</v>
      </c>
      <c r="AA392" t="n">
        <v>118</v>
      </c>
      <c r="AB392" t="n">
        <v>3</v>
      </c>
      <c r="AC392" t="n">
        <v>3</v>
      </c>
      <c r="AD392" t="n">
        <v>19</v>
      </c>
      <c r="AE392" t="n">
        <v>19</v>
      </c>
      <c r="AF392" t="n">
        <v>4</v>
      </c>
      <c r="AG392" t="n">
        <v>4</v>
      </c>
      <c r="AH392" t="n">
        <v>5</v>
      </c>
      <c r="AI392" t="n">
        <v>5</v>
      </c>
      <c r="AJ392" t="n">
        <v>16</v>
      </c>
      <c r="AK392" t="n">
        <v>16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HYPERLINK("https://creighton-primo.hosted.exlibrisgroup.com/primo-explore/search?tab=default_tab&amp;search_scope=EVERYTHING&amp;vid=01CRU&amp;lang=en_US&amp;offset=0&amp;query=any,contains,991000130129702656","Catalog Record")</f>
        <v/>
      </c>
      <c r="AT392">
        <f>HYPERLINK("http://www.worldcat.org/oclc/53782","WorldCat Record")</f>
        <v/>
      </c>
      <c r="AU392" t="inlineStr">
        <is>
          <t>1780658083:eng</t>
        </is>
      </c>
      <c r="AV392" t="inlineStr">
        <is>
          <t>53782</t>
        </is>
      </c>
      <c r="AW392" t="inlineStr">
        <is>
          <t>991000130129702656</t>
        </is>
      </c>
      <c r="AX392" t="inlineStr">
        <is>
          <t>991000130129702656</t>
        </is>
      </c>
      <c r="AY392" t="inlineStr">
        <is>
          <t>2257458130002656</t>
        </is>
      </c>
      <c r="AZ392" t="inlineStr">
        <is>
          <t>BOOK</t>
        </is>
      </c>
      <c r="BC392" t="inlineStr">
        <is>
          <t>32285000711100</t>
        </is>
      </c>
      <c r="BD392" t="inlineStr">
        <is>
          <t>893884143</t>
        </is>
      </c>
    </row>
    <row r="393">
      <c r="A393" t="inlineStr">
        <is>
          <t>No</t>
        </is>
      </c>
      <c r="B393" t="inlineStr">
        <is>
          <t>BT202 .G687</t>
        </is>
      </c>
      <c r="C393" t="inlineStr">
        <is>
          <t>0                      BT 0202000G  687</t>
        </is>
      </c>
      <c r="D393" t="inlineStr">
        <is>
          <t>The Jesus myth / [by] Andrew M. Greeley.</t>
        </is>
      </c>
      <c r="F393" t="inlineStr">
        <is>
          <t>No</t>
        </is>
      </c>
      <c r="G393" t="inlineStr">
        <is>
          <t>1</t>
        </is>
      </c>
      <c r="H393" t="inlineStr">
        <is>
          <t>No</t>
        </is>
      </c>
      <c r="I393" t="inlineStr">
        <is>
          <t>No</t>
        </is>
      </c>
      <c r="J393" t="inlineStr">
        <is>
          <t>0</t>
        </is>
      </c>
      <c r="K393" t="inlineStr">
        <is>
          <t>Greeley, Andrew M., 1928-2013.</t>
        </is>
      </c>
      <c r="L393" t="inlineStr">
        <is>
          <t>Garden City, N.Y., Doubleday, 1971.</t>
        </is>
      </c>
      <c r="M393" t="inlineStr">
        <is>
          <t>1971</t>
        </is>
      </c>
      <c r="O393" t="inlineStr">
        <is>
          <t>eng</t>
        </is>
      </c>
      <c r="P393" t="inlineStr">
        <is>
          <t>nyu</t>
        </is>
      </c>
      <c r="R393" t="inlineStr">
        <is>
          <t xml:space="preserve">BT </t>
        </is>
      </c>
      <c r="S393" t="n">
        <v>1</v>
      </c>
      <c r="T393" t="n">
        <v>1</v>
      </c>
      <c r="U393" t="inlineStr">
        <is>
          <t>2001-02-04</t>
        </is>
      </c>
      <c r="V393" t="inlineStr">
        <is>
          <t>2001-02-04</t>
        </is>
      </c>
      <c r="W393" t="inlineStr">
        <is>
          <t>1991-08-09</t>
        </is>
      </c>
      <c r="X393" t="inlineStr">
        <is>
          <t>1991-08-09</t>
        </is>
      </c>
      <c r="Y393" t="n">
        <v>590</v>
      </c>
      <c r="Z393" t="n">
        <v>550</v>
      </c>
      <c r="AA393" t="n">
        <v>624</v>
      </c>
      <c r="AB393" t="n">
        <v>3</v>
      </c>
      <c r="AC393" t="n">
        <v>3</v>
      </c>
      <c r="AD393" t="n">
        <v>32</v>
      </c>
      <c r="AE393" t="n">
        <v>34</v>
      </c>
      <c r="AF393" t="n">
        <v>12</v>
      </c>
      <c r="AG393" t="n">
        <v>12</v>
      </c>
      <c r="AH393" t="n">
        <v>6</v>
      </c>
      <c r="AI393" t="n">
        <v>8</v>
      </c>
      <c r="AJ393" t="n">
        <v>23</v>
      </c>
      <c r="AK393" t="n">
        <v>24</v>
      </c>
      <c r="AL393" t="n">
        <v>2</v>
      </c>
      <c r="AM393" t="n">
        <v>2</v>
      </c>
      <c r="AN393" t="n">
        <v>0</v>
      </c>
      <c r="AO393" t="n">
        <v>0</v>
      </c>
      <c r="AP393" t="inlineStr">
        <is>
          <t>No</t>
        </is>
      </c>
      <c r="AQ393" t="inlineStr">
        <is>
          <t>Yes</t>
        </is>
      </c>
      <c r="AR393">
        <f>HYPERLINK("http://catalog.hathitrust.org/Record/006762641","HathiTrust Record")</f>
        <v/>
      </c>
      <c r="AS393">
        <f>HYPERLINK("https://creighton-primo.hosted.exlibrisgroup.com/primo-explore/search?tab=default_tab&amp;search_scope=EVERYTHING&amp;vid=01CRU&amp;lang=en_US&amp;offset=0&amp;query=any,contains,991001225419702656","Catalog Record")</f>
        <v/>
      </c>
      <c r="AT393">
        <f>HYPERLINK("http://www.worldcat.org/oclc/199739","WorldCat Record")</f>
        <v/>
      </c>
      <c r="AU393" t="inlineStr">
        <is>
          <t>454100:eng</t>
        </is>
      </c>
      <c r="AV393" t="inlineStr">
        <is>
          <t>199739</t>
        </is>
      </c>
      <c r="AW393" t="inlineStr">
        <is>
          <t>991001225419702656</t>
        </is>
      </c>
      <c r="AX393" t="inlineStr">
        <is>
          <t>991001225419702656</t>
        </is>
      </c>
      <c r="AY393" t="inlineStr">
        <is>
          <t>2269747250002656</t>
        </is>
      </c>
      <c r="AZ393" t="inlineStr">
        <is>
          <t>BOOK</t>
        </is>
      </c>
      <c r="BC393" t="inlineStr">
        <is>
          <t>32285000711118</t>
        </is>
      </c>
      <c r="BD393" t="inlineStr">
        <is>
          <t>893784940</t>
        </is>
      </c>
    </row>
    <row r="394">
      <c r="A394" t="inlineStr">
        <is>
          <t>No</t>
        </is>
      </c>
      <c r="B394" t="inlineStr">
        <is>
          <t>BT202 .H4313</t>
        </is>
      </c>
      <c r="C394" t="inlineStr">
        <is>
          <t>0                      BT 0202000H  4313</t>
        </is>
      </c>
      <c r="D394" t="inlineStr">
        <is>
          <t>Was Jesus a revolutionist? / by Martin Hengel. Translated by William Klassen.</t>
        </is>
      </c>
      <c r="F394" t="inlineStr">
        <is>
          <t>No</t>
        </is>
      </c>
      <c r="G394" t="inlineStr">
        <is>
          <t>1</t>
        </is>
      </c>
      <c r="H394" t="inlineStr">
        <is>
          <t>No</t>
        </is>
      </c>
      <c r="I394" t="inlineStr">
        <is>
          <t>No</t>
        </is>
      </c>
      <c r="J394" t="inlineStr">
        <is>
          <t>0</t>
        </is>
      </c>
      <c r="K394" t="inlineStr">
        <is>
          <t>Hengel, Martin.</t>
        </is>
      </c>
      <c r="L394" t="inlineStr">
        <is>
          <t>Philadelphia, Fortress Press [1971]</t>
        </is>
      </c>
      <c r="M394" t="inlineStr">
        <is>
          <t>1971</t>
        </is>
      </c>
      <c r="O394" t="inlineStr">
        <is>
          <t>eng</t>
        </is>
      </c>
      <c r="P394" t="inlineStr">
        <is>
          <t>pau</t>
        </is>
      </c>
      <c r="Q394" t="inlineStr">
        <is>
          <t>Facet books. Biblical series ; 28</t>
        </is>
      </c>
      <c r="R394" t="inlineStr">
        <is>
          <t xml:space="preserve">BT </t>
        </is>
      </c>
      <c r="S394" t="n">
        <v>5</v>
      </c>
      <c r="T394" t="n">
        <v>5</v>
      </c>
      <c r="U394" t="inlineStr">
        <is>
          <t>2010-03-17</t>
        </is>
      </c>
      <c r="V394" t="inlineStr">
        <is>
          <t>2010-03-17</t>
        </is>
      </c>
      <c r="W394" t="inlineStr">
        <is>
          <t>1991-08-09</t>
        </is>
      </c>
      <c r="X394" t="inlineStr">
        <is>
          <t>1991-08-09</t>
        </is>
      </c>
      <c r="Y394" t="n">
        <v>385</v>
      </c>
      <c r="Z394" t="n">
        <v>310</v>
      </c>
      <c r="AA394" t="n">
        <v>311</v>
      </c>
      <c r="AB394" t="n">
        <v>3</v>
      </c>
      <c r="AC394" t="n">
        <v>3</v>
      </c>
      <c r="AD394" t="n">
        <v>23</v>
      </c>
      <c r="AE394" t="n">
        <v>23</v>
      </c>
      <c r="AF394" t="n">
        <v>9</v>
      </c>
      <c r="AG394" t="n">
        <v>9</v>
      </c>
      <c r="AH394" t="n">
        <v>3</v>
      </c>
      <c r="AI394" t="n">
        <v>3</v>
      </c>
      <c r="AJ394" t="n">
        <v>15</v>
      </c>
      <c r="AK394" t="n">
        <v>15</v>
      </c>
      <c r="AL394" t="n">
        <v>2</v>
      </c>
      <c r="AM394" t="n">
        <v>2</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HYPERLINK("https://creighton-primo.hosted.exlibrisgroup.com/primo-explore/search?tab=default_tab&amp;search_scope=EVERYTHING&amp;vid=01CRU&amp;lang=en_US&amp;offset=0&amp;query=any,contains,991000906029702656","Catalog Record")</f>
        <v/>
      </c>
      <c r="AT394">
        <f>HYPERLINK("http://www.worldcat.org/oclc/157176","WorldCat Record")</f>
        <v/>
      </c>
      <c r="AU394" t="inlineStr">
        <is>
          <t>1192871:eng</t>
        </is>
      </c>
      <c r="AV394" t="inlineStr">
        <is>
          <t>157176</t>
        </is>
      </c>
      <c r="AW394" t="inlineStr">
        <is>
          <t>991000906029702656</t>
        </is>
      </c>
      <c r="AX394" t="inlineStr">
        <is>
          <t>991000906029702656</t>
        </is>
      </c>
      <c r="AY394" t="inlineStr">
        <is>
          <t>2255778650002656</t>
        </is>
      </c>
      <c r="AZ394" t="inlineStr">
        <is>
          <t>BOOK</t>
        </is>
      </c>
      <c r="BB394" t="inlineStr">
        <is>
          <t>9780800630669</t>
        </is>
      </c>
      <c r="BC394" t="inlineStr">
        <is>
          <t>32285000711159</t>
        </is>
      </c>
      <c r="BD394" t="inlineStr">
        <is>
          <t>893327700</t>
        </is>
      </c>
    </row>
    <row r="395">
      <c r="A395" t="inlineStr">
        <is>
          <t>No</t>
        </is>
      </c>
      <c r="B395" t="inlineStr">
        <is>
          <t>BT202 .H5913</t>
        </is>
      </c>
      <c r="C395" t="inlineStr">
        <is>
          <t>0                      BT 0202000H  5913</t>
        </is>
      </c>
      <c r="D395" t="inlineStr">
        <is>
          <t>Jesus in bad company / Adolf Holl. Translated from the German by Simon King.</t>
        </is>
      </c>
      <c r="F395" t="inlineStr">
        <is>
          <t>No</t>
        </is>
      </c>
      <c r="G395" t="inlineStr">
        <is>
          <t>1</t>
        </is>
      </c>
      <c r="H395" t="inlineStr">
        <is>
          <t>No</t>
        </is>
      </c>
      <c r="I395" t="inlineStr">
        <is>
          <t>No</t>
        </is>
      </c>
      <c r="J395" t="inlineStr">
        <is>
          <t>0</t>
        </is>
      </c>
      <c r="K395" t="inlineStr">
        <is>
          <t>Holl, Adolf.</t>
        </is>
      </c>
      <c r="L395" t="inlineStr">
        <is>
          <t>New York, Holt, Rinehart and Winston [1973, c1972]</t>
        </is>
      </c>
      <c r="M395" t="inlineStr">
        <is>
          <t>1973</t>
        </is>
      </c>
      <c r="O395" t="inlineStr">
        <is>
          <t>eng</t>
        </is>
      </c>
      <c r="P395" t="inlineStr">
        <is>
          <t>nyu</t>
        </is>
      </c>
      <c r="R395" t="inlineStr">
        <is>
          <t xml:space="preserve">BT </t>
        </is>
      </c>
      <c r="S395" t="n">
        <v>2</v>
      </c>
      <c r="T395" t="n">
        <v>2</v>
      </c>
      <c r="U395" t="inlineStr">
        <is>
          <t>1993-04-17</t>
        </is>
      </c>
      <c r="V395" t="inlineStr">
        <is>
          <t>1993-04-17</t>
        </is>
      </c>
      <c r="W395" t="inlineStr">
        <is>
          <t>1991-08-12</t>
        </is>
      </c>
      <c r="X395" t="inlineStr">
        <is>
          <t>1991-08-12</t>
        </is>
      </c>
      <c r="Y395" t="n">
        <v>372</v>
      </c>
      <c r="Z395" t="n">
        <v>352</v>
      </c>
      <c r="AA395" t="n">
        <v>407</v>
      </c>
      <c r="AB395" t="n">
        <v>6</v>
      </c>
      <c r="AC395" t="n">
        <v>7</v>
      </c>
      <c r="AD395" t="n">
        <v>26</v>
      </c>
      <c r="AE395" t="n">
        <v>29</v>
      </c>
      <c r="AF395" t="n">
        <v>8</v>
      </c>
      <c r="AG395" t="n">
        <v>9</v>
      </c>
      <c r="AH395" t="n">
        <v>6</v>
      </c>
      <c r="AI395" t="n">
        <v>7</v>
      </c>
      <c r="AJ395" t="n">
        <v>15</v>
      </c>
      <c r="AK395" t="n">
        <v>16</v>
      </c>
      <c r="AL395" t="n">
        <v>4</v>
      </c>
      <c r="AM395" t="n">
        <v>5</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HYPERLINK("https://creighton-primo.hosted.exlibrisgroup.com/primo-explore/search?tab=default_tab&amp;search_scope=EVERYTHING&amp;vid=01CRU&amp;lang=en_US&amp;offset=0&amp;query=any,contains,991002999029702656","Catalog Record")</f>
        <v/>
      </c>
      <c r="AT395">
        <f>HYPERLINK("http://www.worldcat.org/oclc/567310","WorldCat Record")</f>
        <v/>
      </c>
      <c r="AU395" t="inlineStr">
        <is>
          <t>1400428:eng</t>
        </is>
      </c>
      <c r="AV395" t="inlineStr">
        <is>
          <t>567310</t>
        </is>
      </c>
      <c r="AW395" t="inlineStr">
        <is>
          <t>991002999029702656</t>
        </is>
      </c>
      <c r="AX395" t="inlineStr">
        <is>
          <t>991002999029702656</t>
        </is>
      </c>
      <c r="AY395" t="inlineStr">
        <is>
          <t>2258113580002656</t>
        </is>
      </c>
      <c r="AZ395" t="inlineStr">
        <is>
          <t>BOOK</t>
        </is>
      </c>
      <c r="BB395" t="inlineStr">
        <is>
          <t>9780030013867</t>
        </is>
      </c>
      <c r="BC395" t="inlineStr">
        <is>
          <t>32285000711183</t>
        </is>
      </c>
      <c r="BD395" t="inlineStr">
        <is>
          <t>893511464</t>
        </is>
      </c>
    </row>
    <row r="396">
      <c r="A396" t="inlineStr">
        <is>
          <t>No</t>
        </is>
      </c>
      <c r="B396" t="inlineStr">
        <is>
          <t>BT202 .K73 1966</t>
        </is>
      </c>
      <c r="C396" t="inlineStr">
        <is>
          <t>0                      BT 0202000K  73          1966</t>
        </is>
      </c>
      <c r="D396" t="inlineStr">
        <is>
          <t>Anthropos and Son of man; a study in the religious syncretism of the Hellenistic Orient / Carl H. Kraeling.</t>
        </is>
      </c>
      <c r="F396" t="inlineStr">
        <is>
          <t>No</t>
        </is>
      </c>
      <c r="G396" t="inlineStr">
        <is>
          <t>1</t>
        </is>
      </c>
      <c r="H396" t="inlineStr">
        <is>
          <t>No</t>
        </is>
      </c>
      <c r="I396" t="inlineStr">
        <is>
          <t>No</t>
        </is>
      </c>
      <c r="J396" t="inlineStr">
        <is>
          <t>0</t>
        </is>
      </c>
      <c r="K396" t="inlineStr">
        <is>
          <t>Kraeling, Carl H. (Carl Hermann), 1897-1966.</t>
        </is>
      </c>
      <c r="L396" t="inlineStr">
        <is>
          <t>New York : AMS Press, 1966.</t>
        </is>
      </c>
      <c r="M396" t="inlineStr">
        <is>
          <t>1966</t>
        </is>
      </c>
      <c r="O396" t="inlineStr">
        <is>
          <t>eng</t>
        </is>
      </c>
      <c r="P396" t="inlineStr">
        <is>
          <t>___</t>
        </is>
      </c>
      <c r="Q396" t="inlineStr">
        <is>
          <t>Columbia University oriental studies ; v. 25</t>
        </is>
      </c>
      <c r="R396" t="inlineStr">
        <is>
          <t xml:space="preserve">BT </t>
        </is>
      </c>
      <c r="S396" t="n">
        <v>7</v>
      </c>
      <c r="T396" t="n">
        <v>7</v>
      </c>
      <c r="U396" t="inlineStr">
        <is>
          <t>2005-09-21</t>
        </is>
      </c>
      <c r="V396" t="inlineStr">
        <is>
          <t>2005-09-21</t>
        </is>
      </c>
      <c r="W396" t="inlineStr">
        <is>
          <t>1991-08-12</t>
        </is>
      </c>
      <c r="X396" t="inlineStr">
        <is>
          <t>1991-08-12</t>
        </is>
      </c>
      <c r="Y396" t="n">
        <v>162</v>
      </c>
      <c r="Z396" t="n">
        <v>146</v>
      </c>
      <c r="AA396" t="n">
        <v>293</v>
      </c>
      <c r="AB396" t="n">
        <v>1</v>
      </c>
      <c r="AC396" t="n">
        <v>1</v>
      </c>
      <c r="AD396" t="n">
        <v>7</v>
      </c>
      <c r="AE396" t="n">
        <v>12</v>
      </c>
      <c r="AF396" t="n">
        <v>2</v>
      </c>
      <c r="AG396" t="n">
        <v>6</v>
      </c>
      <c r="AH396" t="n">
        <v>1</v>
      </c>
      <c r="AI396" t="n">
        <v>1</v>
      </c>
      <c r="AJ396" t="n">
        <v>4</v>
      </c>
      <c r="AK396" t="n">
        <v>6</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HYPERLINK("https://creighton-primo.hosted.exlibrisgroup.com/primo-explore/search?tab=default_tab&amp;search_scope=EVERYTHING&amp;vid=01CRU&amp;lang=en_US&amp;offset=0&amp;query=any,contains,991003139509702656","Catalog Record")</f>
        <v/>
      </c>
      <c r="AT396">
        <f>HYPERLINK("http://www.worldcat.org/oclc/681231","WorldCat Record")</f>
        <v/>
      </c>
      <c r="AU396" t="inlineStr">
        <is>
          <t>573963:eng</t>
        </is>
      </c>
      <c r="AV396" t="inlineStr">
        <is>
          <t>681231</t>
        </is>
      </c>
      <c r="AW396" t="inlineStr">
        <is>
          <t>991003139509702656</t>
        </is>
      </c>
      <c r="AX396" t="inlineStr">
        <is>
          <t>991003139509702656</t>
        </is>
      </c>
      <c r="AY396" t="inlineStr">
        <is>
          <t>2266712280002656</t>
        </is>
      </c>
      <c r="AZ396" t="inlineStr">
        <is>
          <t>BOOK</t>
        </is>
      </c>
      <c r="BC396" t="inlineStr">
        <is>
          <t>32285000711225</t>
        </is>
      </c>
      <c r="BD396" t="inlineStr">
        <is>
          <t>893617045</t>
        </is>
      </c>
    </row>
    <row r="397">
      <c r="A397" t="inlineStr">
        <is>
          <t>No</t>
        </is>
      </c>
      <c r="B397" t="inlineStr">
        <is>
          <t>BT202 .L45613 1980</t>
        </is>
      </c>
      <c r="C397" t="inlineStr">
        <is>
          <t>0                      BT 0202000L  45613       1980</t>
        </is>
      </c>
      <c r="D397" t="inlineStr">
        <is>
          <t>Jesus, a pictorial history of the New Testament / text by Eugen Weiler ; photos. by Erich Lessing.</t>
        </is>
      </c>
      <c r="F397" t="inlineStr">
        <is>
          <t>No</t>
        </is>
      </c>
      <c r="G397" t="inlineStr">
        <is>
          <t>1</t>
        </is>
      </c>
      <c r="H397" t="inlineStr">
        <is>
          <t>No</t>
        </is>
      </c>
      <c r="I397" t="inlineStr">
        <is>
          <t>No</t>
        </is>
      </c>
      <c r="J397" t="inlineStr">
        <is>
          <t>0</t>
        </is>
      </c>
      <c r="K397" t="inlineStr">
        <is>
          <t>Lessing, Erich.</t>
        </is>
      </c>
      <c r="L397" t="inlineStr">
        <is>
          <t>New York : Seabury Press, 1980, c1975.</t>
        </is>
      </c>
      <c r="M397" t="inlineStr">
        <is>
          <t>1980</t>
        </is>
      </c>
      <c r="O397" t="inlineStr">
        <is>
          <t>eng</t>
        </is>
      </c>
      <c r="P397" t="inlineStr">
        <is>
          <t>nyu</t>
        </is>
      </c>
      <c r="R397" t="inlineStr">
        <is>
          <t xml:space="preserve">BT </t>
        </is>
      </c>
      <c r="S397" t="n">
        <v>3</v>
      </c>
      <c r="T397" t="n">
        <v>3</v>
      </c>
      <c r="U397" t="inlineStr">
        <is>
          <t>2000-07-12</t>
        </is>
      </c>
      <c r="V397" t="inlineStr">
        <is>
          <t>2000-07-12</t>
        </is>
      </c>
      <c r="W397" t="inlineStr">
        <is>
          <t>1991-08-12</t>
        </is>
      </c>
      <c r="X397" t="inlineStr">
        <is>
          <t>1991-08-12</t>
        </is>
      </c>
      <c r="Y397" t="n">
        <v>107</v>
      </c>
      <c r="Z397" t="n">
        <v>92</v>
      </c>
      <c r="AA397" t="n">
        <v>92</v>
      </c>
      <c r="AB397" t="n">
        <v>2</v>
      </c>
      <c r="AC397" t="n">
        <v>2</v>
      </c>
      <c r="AD397" t="n">
        <v>7</v>
      </c>
      <c r="AE397" t="n">
        <v>7</v>
      </c>
      <c r="AF397" t="n">
        <v>0</v>
      </c>
      <c r="AG397" t="n">
        <v>0</v>
      </c>
      <c r="AH397" t="n">
        <v>2</v>
      </c>
      <c r="AI397" t="n">
        <v>2</v>
      </c>
      <c r="AJ397" t="n">
        <v>4</v>
      </c>
      <c r="AK397" t="n">
        <v>4</v>
      </c>
      <c r="AL397" t="n">
        <v>1</v>
      </c>
      <c r="AM397" t="n">
        <v>1</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HYPERLINK("https://creighton-primo.hosted.exlibrisgroup.com/primo-explore/search?tab=default_tab&amp;search_scope=EVERYTHING&amp;vid=01CRU&amp;lang=en_US&amp;offset=0&amp;query=any,contains,991005060909702656","Catalog Record")</f>
        <v/>
      </c>
      <c r="AT397">
        <f>HYPERLINK("http://www.worldcat.org/oclc/6917843","WorldCat Record")</f>
        <v/>
      </c>
      <c r="AU397" t="inlineStr">
        <is>
          <t>3860666123:eng</t>
        </is>
      </c>
      <c r="AV397" t="inlineStr">
        <is>
          <t>6917843</t>
        </is>
      </c>
      <c r="AW397" t="inlineStr">
        <is>
          <t>991005060909702656</t>
        </is>
      </c>
      <c r="AX397" t="inlineStr">
        <is>
          <t>991005060909702656</t>
        </is>
      </c>
      <c r="AY397" t="inlineStr">
        <is>
          <t>2264644950002656</t>
        </is>
      </c>
      <c r="AZ397" t="inlineStr">
        <is>
          <t>BOOK</t>
        </is>
      </c>
      <c r="BB397" t="inlineStr">
        <is>
          <t>9780816422876</t>
        </is>
      </c>
      <c r="BC397" t="inlineStr">
        <is>
          <t>32285000711266</t>
        </is>
      </c>
      <c r="BD397" t="inlineStr">
        <is>
          <t>893883271</t>
        </is>
      </c>
    </row>
    <row r="398">
      <c r="A398" t="inlineStr">
        <is>
          <t>No</t>
        </is>
      </c>
      <c r="B398" t="inlineStr">
        <is>
          <t>BT202 .L6 1964</t>
        </is>
      </c>
      <c r="C398" t="inlineStr">
        <is>
          <t>0                      BT 0202000L  6           1964</t>
        </is>
      </c>
      <c r="D398" t="inlineStr">
        <is>
          <t>De Verbo incarnato / B. Lonergan.</t>
        </is>
      </c>
      <c r="F398" t="inlineStr">
        <is>
          <t>No</t>
        </is>
      </c>
      <c r="G398" t="inlineStr">
        <is>
          <t>1</t>
        </is>
      </c>
      <c r="H398" t="inlineStr">
        <is>
          <t>No</t>
        </is>
      </c>
      <c r="I398" t="inlineStr">
        <is>
          <t>No</t>
        </is>
      </c>
      <c r="J398" t="inlineStr">
        <is>
          <t>0</t>
        </is>
      </c>
      <c r="K398" t="inlineStr">
        <is>
          <t>Lonergan, Bernard J. F.</t>
        </is>
      </c>
      <c r="L398" t="inlineStr">
        <is>
          <t>Romae : Pontifica Universitas Gregoriana, 1964.</t>
        </is>
      </c>
      <c r="M398" t="inlineStr">
        <is>
          <t>1964</t>
        </is>
      </c>
      <c r="N398" t="inlineStr">
        <is>
          <t>3. ed.</t>
        </is>
      </c>
      <c r="O398" t="inlineStr">
        <is>
          <t>ita</t>
        </is>
      </c>
      <c r="P398" t="inlineStr">
        <is>
          <t xml:space="preserve">it </t>
        </is>
      </c>
      <c r="R398" t="inlineStr">
        <is>
          <t xml:space="preserve">BT </t>
        </is>
      </c>
      <c r="S398" t="n">
        <v>1</v>
      </c>
      <c r="T398" t="n">
        <v>1</v>
      </c>
      <c r="U398" t="inlineStr">
        <is>
          <t>2010-06-24</t>
        </is>
      </c>
      <c r="V398" t="inlineStr">
        <is>
          <t>2010-06-24</t>
        </is>
      </c>
      <c r="W398" t="inlineStr">
        <is>
          <t>1991-08-12</t>
        </is>
      </c>
      <c r="X398" t="inlineStr">
        <is>
          <t>1991-08-12</t>
        </is>
      </c>
      <c r="Y398" t="n">
        <v>23</v>
      </c>
      <c r="Z398" t="n">
        <v>19</v>
      </c>
      <c r="AA398" t="n">
        <v>19</v>
      </c>
      <c r="AB398" t="n">
        <v>1</v>
      </c>
      <c r="AC398" t="n">
        <v>1</v>
      </c>
      <c r="AD398" t="n">
        <v>6</v>
      </c>
      <c r="AE398" t="n">
        <v>6</v>
      </c>
      <c r="AF398" t="n">
        <v>0</v>
      </c>
      <c r="AG398" t="n">
        <v>0</v>
      </c>
      <c r="AH398" t="n">
        <v>2</v>
      </c>
      <c r="AI398" t="n">
        <v>2</v>
      </c>
      <c r="AJ398" t="n">
        <v>5</v>
      </c>
      <c r="AK398" t="n">
        <v>5</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HYPERLINK("https://creighton-primo.hosted.exlibrisgroup.com/primo-explore/search?tab=default_tab&amp;search_scope=EVERYTHING&amp;vid=01CRU&amp;lang=en_US&amp;offset=0&amp;query=any,contains,991004853569702656","Catalog Record")</f>
        <v/>
      </c>
      <c r="AT398">
        <f>HYPERLINK("http://www.worldcat.org/oclc/5640751","WorldCat Record")</f>
        <v/>
      </c>
      <c r="AU398" t="inlineStr">
        <is>
          <t>5092728307:ita</t>
        </is>
      </c>
      <c r="AV398" t="inlineStr">
        <is>
          <t>5640751</t>
        </is>
      </c>
      <c r="AW398" t="inlineStr">
        <is>
          <t>991004853569702656</t>
        </is>
      </c>
      <c r="AX398" t="inlineStr">
        <is>
          <t>991004853569702656</t>
        </is>
      </c>
      <c r="AY398" t="inlineStr">
        <is>
          <t>2255762960002656</t>
        </is>
      </c>
      <c r="AZ398" t="inlineStr">
        <is>
          <t>BOOK</t>
        </is>
      </c>
      <c r="BC398" t="inlineStr">
        <is>
          <t>32285000711274</t>
        </is>
      </c>
      <c r="BD398" t="inlineStr">
        <is>
          <t>893254163</t>
        </is>
      </c>
    </row>
    <row r="399">
      <c r="A399" t="inlineStr">
        <is>
          <t>No</t>
        </is>
      </c>
      <c r="B399" t="inlineStr">
        <is>
          <t>BT202 .M3</t>
        </is>
      </c>
      <c r="C399" t="inlineStr">
        <is>
          <t>0                      BT 0202000M  3</t>
        </is>
      </c>
      <c r="D399" t="inlineStr">
        <is>
          <t>The shape of christology / by John McIntyre.</t>
        </is>
      </c>
      <c r="F399" t="inlineStr">
        <is>
          <t>No</t>
        </is>
      </c>
      <c r="G399" t="inlineStr">
        <is>
          <t>1</t>
        </is>
      </c>
      <c r="H399" t="inlineStr">
        <is>
          <t>No</t>
        </is>
      </c>
      <c r="I399" t="inlineStr">
        <is>
          <t>No</t>
        </is>
      </c>
      <c r="J399" t="inlineStr">
        <is>
          <t>0</t>
        </is>
      </c>
      <c r="K399" t="inlineStr">
        <is>
          <t>McIntyre, John, 1916-2005.</t>
        </is>
      </c>
      <c r="L399" t="inlineStr">
        <is>
          <t>Philadelphia, Westminster Press [1966]</t>
        </is>
      </c>
      <c r="M399" t="inlineStr">
        <is>
          <t>1966</t>
        </is>
      </c>
      <c r="O399" t="inlineStr">
        <is>
          <t>eng</t>
        </is>
      </c>
      <c r="P399" t="inlineStr">
        <is>
          <t>pau</t>
        </is>
      </c>
      <c r="R399" t="inlineStr">
        <is>
          <t xml:space="preserve">BT </t>
        </is>
      </c>
      <c r="S399" t="n">
        <v>3</v>
      </c>
      <c r="T399" t="n">
        <v>3</v>
      </c>
      <c r="U399" t="inlineStr">
        <is>
          <t>2006-11-12</t>
        </is>
      </c>
      <c r="V399" t="inlineStr">
        <is>
          <t>2006-11-12</t>
        </is>
      </c>
      <c r="W399" t="inlineStr">
        <is>
          <t>1991-08-12</t>
        </is>
      </c>
      <c r="X399" t="inlineStr">
        <is>
          <t>1991-08-12</t>
        </is>
      </c>
      <c r="Y399" t="n">
        <v>300</v>
      </c>
      <c r="Z399" t="n">
        <v>283</v>
      </c>
      <c r="AA399" t="n">
        <v>342</v>
      </c>
      <c r="AB399" t="n">
        <v>3</v>
      </c>
      <c r="AC399" t="n">
        <v>3</v>
      </c>
      <c r="AD399" t="n">
        <v>24</v>
      </c>
      <c r="AE399" t="n">
        <v>28</v>
      </c>
      <c r="AF399" t="n">
        <v>10</v>
      </c>
      <c r="AG399" t="n">
        <v>12</v>
      </c>
      <c r="AH399" t="n">
        <v>5</v>
      </c>
      <c r="AI399" t="n">
        <v>6</v>
      </c>
      <c r="AJ399" t="n">
        <v>13</v>
      </c>
      <c r="AK399" t="n">
        <v>15</v>
      </c>
      <c r="AL399" t="n">
        <v>2</v>
      </c>
      <c r="AM399" t="n">
        <v>2</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HYPERLINK("https://creighton-primo.hosted.exlibrisgroup.com/primo-explore/search?tab=default_tab&amp;search_scope=EVERYTHING&amp;vid=01CRU&amp;lang=en_US&amp;offset=0&amp;query=any,contains,991003142649702656","Catalog Record")</f>
        <v/>
      </c>
      <c r="AT399">
        <f>HYPERLINK("http://www.worldcat.org/oclc/683911","WorldCat Record")</f>
        <v/>
      </c>
      <c r="AU399" t="inlineStr">
        <is>
          <t>101376374:eng</t>
        </is>
      </c>
      <c r="AV399" t="inlineStr">
        <is>
          <t>683911</t>
        </is>
      </c>
      <c r="AW399" t="inlineStr">
        <is>
          <t>991003142649702656</t>
        </is>
      </c>
      <c r="AX399" t="inlineStr">
        <is>
          <t>991003142649702656</t>
        </is>
      </c>
      <c r="AY399" t="inlineStr">
        <is>
          <t>2265707730002656</t>
        </is>
      </c>
      <c r="AZ399" t="inlineStr">
        <is>
          <t>BOOK</t>
        </is>
      </c>
      <c r="BC399" t="inlineStr">
        <is>
          <t>32285000711308</t>
        </is>
      </c>
      <c r="BD399" t="inlineStr">
        <is>
          <t>893258102</t>
        </is>
      </c>
    </row>
    <row r="400">
      <c r="A400" t="inlineStr">
        <is>
          <t>No</t>
        </is>
      </c>
      <c r="B400" t="inlineStr">
        <is>
          <t>BT202 .M316 1981</t>
        </is>
      </c>
      <c r="C400" t="inlineStr">
        <is>
          <t>0                      BT 0202000M  316         1981</t>
        </is>
      </c>
      <c r="D400" t="inlineStr">
        <is>
          <t>Broken but loved : healing through Christ's power / by George A. Maloney.</t>
        </is>
      </c>
      <c r="F400" t="inlineStr">
        <is>
          <t>No</t>
        </is>
      </c>
      <c r="G400" t="inlineStr">
        <is>
          <t>1</t>
        </is>
      </c>
      <c r="H400" t="inlineStr">
        <is>
          <t>No</t>
        </is>
      </c>
      <c r="I400" t="inlineStr">
        <is>
          <t>No</t>
        </is>
      </c>
      <c r="J400" t="inlineStr">
        <is>
          <t>0</t>
        </is>
      </c>
      <c r="K400" t="inlineStr">
        <is>
          <t>Maloney, George A., 1924-2005.</t>
        </is>
      </c>
      <c r="L400" t="inlineStr">
        <is>
          <t>New York, N.Y. : Alba House, c1981.</t>
        </is>
      </c>
      <c r="M400" t="inlineStr">
        <is>
          <t>1981</t>
        </is>
      </c>
      <c r="O400" t="inlineStr">
        <is>
          <t>eng</t>
        </is>
      </c>
      <c r="P400" t="inlineStr">
        <is>
          <t>nyu</t>
        </is>
      </c>
      <c r="R400" t="inlineStr">
        <is>
          <t xml:space="preserve">BT </t>
        </is>
      </c>
      <c r="S400" t="n">
        <v>5</v>
      </c>
      <c r="T400" t="n">
        <v>5</v>
      </c>
      <c r="U400" t="inlineStr">
        <is>
          <t>2006-10-27</t>
        </is>
      </c>
      <c r="V400" t="inlineStr">
        <is>
          <t>2006-10-27</t>
        </is>
      </c>
      <c r="W400" t="inlineStr">
        <is>
          <t>1990-04-30</t>
        </is>
      </c>
      <c r="X400" t="inlineStr">
        <is>
          <t>1990-04-30</t>
        </is>
      </c>
      <c r="Y400" t="n">
        <v>117</v>
      </c>
      <c r="Z400" t="n">
        <v>100</v>
      </c>
      <c r="AA400" t="n">
        <v>100</v>
      </c>
      <c r="AB400" t="n">
        <v>2</v>
      </c>
      <c r="AC400" t="n">
        <v>2</v>
      </c>
      <c r="AD400" t="n">
        <v>12</v>
      </c>
      <c r="AE400" t="n">
        <v>12</v>
      </c>
      <c r="AF400" t="n">
        <v>3</v>
      </c>
      <c r="AG400" t="n">
        <v>3</v>
      </c>
      <c r="AH400" t="n">
        <v>3</v>
      </c>
      <c r="AI400" t="n">
        <v>3</v>
      </c>
      <c r="AJ400" t="n">
        <v>8</v>
      </c>
      <c r="AK400" t="n">
        <v>8</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HYPERLINK("https://creighton-primo.hosted.exlibrisgroup.com/primo-explore/search?tab=default_tab&amp;search_scope=EVERYTHING&amp;vid=01CRU&amp;lang=en_US&amp;offset=0&amp;query=any,contains,991005096709702656","Catalog Record")</f>
        <v/>
      </c>
      <c r="AT400">
        <f>HYPERLINK("http://www.worldcat.org/oclc/7274568","WorldCat Record")</f>
        <v/>
      </c>
      <c r="AU400" t="inlineStr">
        <is>
          <t>366299897:eng</t>
        </is>
      </c>
      <c r="AV400" t="inlineStr">
        <is>
          <t>7274568</t>
        </is>
      </c>
      <c r="AW400" t="inlineStr">
        <is>
          <t>991005096709702656</t>
        </is>
      </c>
      <c r="AX400" t="inlineStr">
        <is>
          <t>991005096709702656</t>
        </is>
      </c>
      <c r="AY400" t="inlineStr">
        <is>
          <t>2260365310002656</t>
        </is>
      </c>
      <c r="AZ400" t="inlineStr">
        <is>
          <t>BOOK</t>
        </is>
      </c>
      <c r="BB400" t="inlineStr">
        <is>
          <t>9780818904110</t>
        </is>
      </c>
      <c r="BC400" t="inlineStr">
        <is>
          <t>32285000128123</t>
        </is>
      </c>
      <c r="BD400" t="inlineStr">
        <is>
          <t>893600604</t>
        </is>
      </c>
    </row>
    <row r="401">
      <c r="A401" t="inlineStr">
        <is>
          <t>No</t>
        </is>
      </c>
      <c r="B401" t="inlineStr">
        <is>
          <t>BT202 .M35</t>
        </is>
      </c>
      <c r="C401" t="inlineStr">
        <is>
          <t>0                      BT 0202000M  35</t>
        </is>
      </c>
      <c r="D401" t="inlineStr">
        <is>
          <t>Bright darkness: Jesus--lover of mankind / George A. Maloney.</t>
        </is>
      </c>
      <c r="F401" t="inlineStr">
        <is>
          <t>No</t>
        </is>
      </c>
      <c r="G401" t="inlineStr">
        <is>
          <t>1</t>
        </is>
      </c>
      <c r="H401" t="inlineStr">
        <is>
          <t>No</t>
        </is>
      </c>
      <c r="I401" t="inlineStr">
        <is>
          <t>No</t>
        </is>
      </c>
      <c r="J401" t="inlineStr">
        <is>
          <t>0</t>
        </is>
      </c>
      <c r="K401" t="inlineStr">
        <is>
          <t>Maloney, George A., 1924-2005.</t>
        </is>
      </c>
      <c r="L401" t="inlineStr">
        <is>
          <t>Denville, N.J. : Dimension Books [1977]</t>
        </is>
      </c>
      <c r="M401" t="inlineStr">
        <is>
          <t>1977</t>
        </is>
      </c>
      <c r="O401" t="inlineStr">
        <is>
          <t>eng</t>
        </is>
      </c>
      <c r="P401" t="inlineStr">
        <is>
          <t>nju</t>
        </is>
      </c>
      <c r="R401" t="inlineStr">
        <is>
          <t xml:space="preserve">BT </t>
        </is>
      </c>
      <c r="S401" t="n">
        <v>4</v>
      </c>
      <c r="T401" t="n">
        <v>4</v>
      </c>
      <c r="U401" t="inlineStr">
        <is>
          <t>1999-09-19</t>
        </is>
      </c>
      <c r="V401" t="inlineStr">
        <is>
          <t>1999-09-19</t>
        </is>
      </c>
      <c r="W401" t="inlineStr">
        <is>
          <t>1991-08-12</t>
        </is>
      </c>
      <c r="X401" t="inlineStr">
        <is>
          <t>1991-08-12</t>
        </is>
      </c>
      <c r="Y401" t="n">
        <v>139</v>
      </c>
      <c r="Z401" t="n">
        <v>113</v>
      </c>
      <c r="AA401" t="n">
        <v>118</v>
      </c>
      <c r="AB401" t="n">
        <v>2</v>
      </c>
      <c r="AC401" t="n">
        <v>2</v>
      </c>
      <c r="AD401" t="n">
        <v>16</v>
      </c>
      <c r="AE401" t="n">
        <v>16</v>
      </c>
      <c r="AF401" t="n">
        <v>3</v>
      </c>
      <c r="AG401" t="n">
        <v>3</v>
      </c>
      <c r="AH401" t="n">
        <v>4</v>
      </c>
      <c r="AI401" t="n">
        <v>4</v>
      </c>
      <c r="AJ401" t="n">
        <v>13</v>
      </c>
      <c r="AK401" t="n">
        <v>13</v>
      </c>
      <c r="AL401" t="n">
        <v>0</v>
      </c>
      <c r="AM401" t="n">
        <v>0</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HYPERLINK("https://creighton-primo.hosted.exlibrisgroup.com/primo-explore/search?tab=default_tab&amp;search_scope=EVERYTHING&amp;vid=01CRU&amp;lang=en_US&amp;offset=0&amp;query=any,contains,991004322149702656","Catalog Record")</f>
        <v/>
      </c>
      <c r="AT401">
        <f>HYPERLINK("http://www.worldcat.org/oclc/3019914","WorldCat Record")</f>
        <v/>
      </c>
      <c r="AU401" t="inlineStr">
        <is>
          <t>4823803414:eng</t>
        </is>
      </c>
      <c r="AV401" t="inlineStr">
        <is>
          <t>3019914</t>
        </is>
      </c>
      <c r="AW401" t="inlineStr">
        <is>
          <t>991004322149702656</t>
        </is>
      </c>
      <c r="AX401" t="inlineStr">
        <is>
          <t>991004322149702656</t>
        </is>
      </c>
      <c r="AY401" t="inlineStr">
        <is>
          <t>2256074610002656</t>
        </is>
      </c>
      <c r="AZ401" t="inlineStr">
        <is>
          <t>BOOK</t>
        </is>
      </c>
      <c r="BC401" t="inlineStr">
        <is>
          <t>32285000711324</t>
        </is>
      </c>
      <c r="BD401" t="inlineStr">
        <is>
          <t>893894854</t>
        </is>
      </c>
    </row>
    <row r="402">
      <c r="A402" t="inlineStr">
        <is>
          <t>No</t>
        </is>
      </c>
      <c r="B402" t="inlineStr">
        <is>
          <t>BT202 .M55213 1990</t>
        </is>
      </c>
      <c r="C402" t="inlineStr">
        <is>
          <t>0                      BT 0202000M  55213       1990</t>
        </is>
      </c>
      <c r="D402" t="inlineStr">
        <is>
          <t>The way of Jesus Christ : christology in messianic dimensions / Jürgen Moltmann.</t>
        </is>
      </c>
      <c r="F402" t="inlineStr">
        <is>
          <t>No</t>
        </is>
      </c>
      <c r="G402" t="inlineStr">
        <is>
          <t>1</t>
        </is>
      </c>
      <c r="H402" t="inlineStr">
        <is>
          <t>No</t>
        </is>
      </c>
      <c r="I402" t="inlineStr">
        <is>
          <t>Yes</t>
        </is>
      </c>
      <c r="J402" t="inlineStr">
        <is>
          <t>0</t>
        </is>
      </c>
      <c r="K402" t="inlineStr">
        <is>
          <t>Moltmann, Jürgen.</t>
        </is>
      </c>
      <c r="L402" t="inlineStr">
        <is>
          <t>San Francisco : HarperSanFrancisco, 1990.</t>
        </is>
      </c>
      <c r="M402" t="inlineStr">
        <is>
          <t>1990</t>
        </is>
      </c>
      <c r="N402" t="inlineStr">
        <is>
          <t>1st HarperCollins ed.</t>
        </is>
      </c>
      <c r="O402" t="inlineStr">
        <is>
          <t>eng</t>
        </is>
      </c>
      <c r="P402" t="inlineStr">
        <is>
          <t>cau</t>
        </is>
      </c>
      <c r="R402" t="inlineStr">
        <is>
          <t xml:space="preserve">BT </t>
        </is>
      </c>
      <c r="S402" t="n">
        <v>7</v>
      </c>
      <c r="T402" t="n">
        <v>7</v>
      </c>
      <c r="U402" t="inlineStr">
        <is>
          <t>2005-11-04</t>
        </is>
      </c>
      <c r="V402" t="inlineStr">
        <is>
          <t>2005-11-04</t>
        </is>
      </c>
      <c r="W402" t="inlineStr">
        <is>
          <t>1991-02-25</t>
        </is>
      </c>
      <c r="X402" t="inlineStr">
        <is>
          <t>1991-02-25</t>
        </is>
      </c>
      <c r="Y402" t="n">
        <v>354</v>
      </c>
      <c r="Z402" t="n">
        <v>332</v>
      </c>
      <c r="AA402" t="n">
        <v>520</v>
      </c>
      <c r="AB402" t="n">
        <v>5</v>
      </c>
      <c r="AC402" t="n">
        <v>5</v>
      </c>
      <c r="AD402" t="n">
        <v>26</v>
      </c>
      <c r="AE402" t="n">
        <v>36</v>
      </c>
      <c r="AF402" t="n">
        <v>9</v>
      </c>
      <c r="AG402" t="n">
        <v>15</v>
      </c>
      <c r="AH402" t="n">
        <v>6</v>
      </c>
      <c r="AI402" t="n">
        <v>7</v>
      </c>
      <c r="AJ402" t="n">
        <v>13</v>
      </c>
      <c r="AK402" t="n">
        <v>19</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HYPERLINK("https://creighton-primo.hosted.exlibrisgroup.com/primo-explore/search?tab=default_tab&amp;search_scope=EVERYTHING&amp;vid=01CRU&amp;lang=en_US&amp;offset=0&amp;query=any,contains,991001710889702656","Catalog Record")</f>
        <v/>
      </c>
      <c r="AT402">
        <f>HYPERLINK("http://www.worldcat.org/oclc/21596237","WorldCat Record")</f>
        <v/>
      </c>
      <c r="AU402" t="inlineStr">
        <is>
          <t>13240168:eng</t>
        </is>
      </c>
      <c r="AV402" t="inlineStr">
        <is>
          <t>21596237</t>
        </is>
      </c>
      <c r="AW402" t="inlineStr">
        <is>
          <t>991001710889702656</t>
        </is>
      </c>
      <c r="AX402" t="inlineStr">
        <is>
          <t>991001710889702656</t>
        </is>
      </c>
      <c r="AY402" t="inlineStr">
        <is>
          <t>2254823290002656</t>
        </is>
      </c>
      <c r="AZ402" t="inlineStr">
        <is>
          <t>BOOK</t>
        </is>
      </c>
      <c r="BB402" t="inlineStr">
        <is>
          <t>9780060659103</t>
        </is>
      </c>
      <c r="BC402" t="inlineStr">
        <is>
          <t>32285000491521</t>
        </is>
      </c>
      <c r="BD402" t="inlineStr">
        <is>
          <t>893709484</t>
        </is>
      </c>
    </row>
    <row r="403">
      <c r="A403" t="inlineStr">
        <is>
          <t>No</t>
        </is>
      </c>
      <c r="B403" t="inlineStr">
        <is>
          <t>BT202 .N62</t>
        </is>
      </c>
      <c r="C403" t="inlineStr">
        <is>
          <t>0                      BT 0202000N  62</t>
        </is>
      </c>
      <c r="D403" t="inlineStr">
        <is>
          <t>Jesus is dead / by Henri Nicholson.</t>
        </is>
      </c>
      <c r="F403" t="inlineStr">
        <is>
          <t>No</t>
        </is>
      </c>
      <c r="G403" t="inlineStr">
        <is>
          <t>1</t>
        </is>
      </c>
      <c r="H403" t="inlineStr">
        <is>
          <t>No</t>
        </is>
      </c>
      <c r="I403" t="inlineStr">
        <is>
          <t>No</t>
        </is>
      </c>
      <c r="J403" t="inlineStr">
        <is>
          <t>0</t>
        </is>
      </c>
      <c r="K403" t="inlineStr">
        <is>
          <t>Nicholson, H. B. (Henry B.)</t>
        </is>
      </c>
      <c r="L403" t="inlineStr">
        <is>
          <t>New York Vantage Press [1971]</t>
        </is>
      </c>
      <c r="M403" t="inlineStr">
        <is>
          <t>1971</t>
        </is>
      </c>
      <c r="N403" t="inlineStr">
        <is>
          <t>1st ed.</t>
        </is>
      </c>
      <c r="O403" t="inlineStr">
        <is>
          <t>eng</t>
        </is>
      </c>
      <c r="P403" t="inlineStr">
        <is>
          <t>___</t>
        </is>
      </c>
      <c r="R403" t="inlineStr">
        <is>
          <t xml:space="preserve">BT </t>
        </is>
      </c>
      <c r="S403" t="n">
        <v>9</v>
      </c>
      <c r="T403" t="n">
        <v>9</v>
      </c>
      <c r="U403" t="inlineStr">
        <is>
          <t>2002-12-01</t>
        </is>
      </c>
      <c r="V403" t="inlineStr">
        <is>
          <t>2002-12-01</t>
        </is>
      </c>
      <c r="W403" t="inlineStr">
        <is>
          <t>1991-08-22</t>
        </is>
      </c>
      <c r="X403" t="inlineStr">
        <is>
          <t>1991-08-22</t>
        </is>
      </c>
      <c r="Y403" t="n">
        <v>49</v>
      </c>
      <c r="Z403" t="n">
        <v>49</v>
      </c>
      <c r="AA403" t="n">
        <v>49</v>
      </c>
      <c r="AB403" t="n">
        <v>1</v>
      </c>
      <c r="AC403" t="n">
        <v>1</v>
      </c>
      <c r="AD403" t="n">
        <v>6</v>
      </c>
      <c r="AE403" t="n">
        <v>6</v>
      </c>
      <c r="AF403" t="n">
        <v>2</v>
      </c>
      <c r="AG403" t="n">
        <v>2</v>
      </c>
      <c r="AH403" t="n">
        <v>1</v>
      </c>
      <c r="AI403" t="n">
        <v>1</v>
      </c>
      <c r="AJ403" t="n">
        <v>4</v>
      </c>
      <c r="AK403" t="n">
        <v>4</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HYPERLINK("https://creighton-primo.hosted.exlibrisgroup.com/primo-explore/search?tab=default_tab&amp;search_scope=EVERYTHING&amp;vid=01CRU&amp;lang=en_US&amp;offset=0&amp;query=any,contains,991003213039702656","Catalog Record")</f>
        <v/>
      </c>
      <c r="AT403">
        <f>HYPERLINK("http://www.worldcat.org/oclc/739563","WorldCat Record")</f>
        <v/>
      </c>
      <c r="AU403" t="inlineStr">
        <is>
          <t>1797307:eng</t>
        </is>
      </c>
      <c r="AV403" t="inlineStr">
        <is>
          <t>739563</t>
        </is>
      </c>
      <c r="AW403" t="inlineStr">
        <is>
          <t>991003213039702656</t>
        </is>
      </c>
      <c r="AX403" t="inlineStr">
        <is>
          <t>991003213039702656</t>
        </is>
      </c>
      <c r="AY403" t="inlineStr">
        <is>
          <t>2256068420002656</t>
        </is>
      </c>
      <c r="AZ403" t="inlineStr">
        <is>
          <t>BOOK</t>
        </is>
      </c>
      <c r="BC403" t="inlineStr">
        <is>
          <t>32285000746072</t>
        </is>
      </c>
      <c r="BD403" t="inlineStr">
        <is>
          <t>893868194</t>
        </is>
      </c>
    </row>
    <row r="404">
      <c r="A404" t="inlineStr">
        <is>
          <t>No</t>
        </is>
      </c>
      <c r="B404" t="inlineStr">
        <is>
          <t>BT202 .O3177 1992</t>
        </is>
      </c>
      <c r="C404" t="inlineStr">
        <is>
          <t>0                      BT 0202000O  3177        1992</t>
        </is>
      </c>
      <c r="D404" t="inlineStr">
        <is>
          <t>A post-patriarchal christology / David W. Odell-Scott.</t>
        </is>
      </c>
      <c r="F404" t="inlineStr">
        <is>
          <t>No</t>
        </is>
      </c>
      <c r="G404" t="inlineStr">
        <is>
          <t>1</t>
        </is>
      </c>
      <c r="H404" t="inlineStr">
        <is>
          <t>No</t>
        </is>
      </c>
      <c r="I404" t="inlineStr">
        <is>
          <t>No</t>
        </is>
      </c>
      <c r="J404" t="inlineStr">
        <is>
          <t>0</t>
        </is>
      </c>
      <c r="K404" t="inlineStr">
        <is>
          <t>Odell-Scott, David W.</t>
        </is>
      </c>
      <c r="L404" t="inlineStr">
        <is>
          <t>Atlanta, Ga. : Scholars Press, c1991.</t>
        </is>
      </c>
      <c r="M404" t="inlineStr">
        <is>
          <t>1991</t>
        </is>
      </c>
      <c r="O404" t="inlineStr">
        <is>
          <t>eng</t>
        </is>
      </c>
      <c r="P404" t="inlineStr">
        <is>
          <t>gau</t>
        </is>
      </c>
      <c r="Q404" t="inlineStr">
        <is>
          <t>American Academy of Religion academy series ; no. 78</t>
        </is>
      </c>
      <c r="R404" t="inlineStr">
        <is>
          <t xml:space="preserve">BT </t>
        </is>
      </c>
      <c r="S404" t="n">
        <v>3</v>
      </c>
      <c r="T404" t="n">
        <v>3</v>
      </c>
      <c r="U404" t="inlineStr">
        <is>
          <t>1997-09-10</t>
        </is>
      </c>
      <c r="V404" t="inlineStr">
        <is>
          <t>1997-09-10</t>
        </is>
      </c>
      <c r="W404" t="inlineStr">
        <is>
          <t>1992-11-09</t>
        </is>
      </c>
      <c r="X404" t="inlineStr">
        <is>
          <t>1992-11-09</t>
        </is>
      </c>
      <c r="Y404" t="n">
        <v>216</v>
      </c>
      <c r="Z404" t="n">
        <v>167</v>
      </c>
      <c r="AA404" t="n">
        <v>174</v>
      </c>
      <c r="AB404" t="n">
        <v>1</v>
      </c>
      <c r="AC404" t="n">
        <v>1</v>
      </c>
      <c r="AD404" t="n">
        <v>15</v>
      </c>
      <c r="AE404" t="n">
        <v>15</v>
      </c>
      <c r="AF404" t="n">
        <v>6</v>
      </c>
      <c r="AG404" t="n">
        <v>6</v>
      </c>
      <c r="AH404" t="n">
        <v>7</v>
      </c>
      <c r="AI404" t="n">
        <v>7</v>
      </c>
      <c r="AJ404" t="n">
        <v>6</v>
      </c>
      <c r="AK404" t="n">
        <v>6</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HYPERLINK("https://creighton-primo.hosted.exlibrisgroup.com/primo-explore/search?tab=default_tab&amp;search_scope=EVERYTHING&amp;vid=01CRU&amp;lang=en_US&amp;offset=0&amp;query=any,contains,991001945879702656","Catalog Record")</f>
        <v/>
      </c>
      <c r="AT404">
        <f>HYPERLINK("http://www.worldcat.org/oclc/24590186","WorldCat Record")</f>
        <v/>
      </c>
      <c r="AU404" t="inlineStr">
        <is>
          <t>20776509:eng</t>
        </is>
      </c>
      <c r="AV404" t="inlineStr">
        <is>
          <t>24590186</t>
        </is>
      </c>
      <c r="AW404" t="inlineStr">
        <is>
          <t>991001945879702656</t>
        </is>
      </c>
      <c r="AX404" t="inlineStr">
        <is>
          <t>991001945879702656</t>
        </is>
      </c>
      <c r="AY404" t="inlineStr">
        <is>
          <t>2272754150002656</t>
        </is>
      </c>
      <c r="AZ404" t="inlineStr">
        <is>
          <t>BOOK</t>
        </is>
      </c>
      <c r="BB404" t="inlineStr">
        <is>
          <t>9781555406578</t>
        </is>
      </c>
      <c r="BC404" t="inlineStr">
        <is>
          <t>32285001361111</t>
        </is>
      </c>
      <c r="BD404" t="inlineStr">
        <is>
          <t>893590764</t>
        </is>
      </c>
    </row>
    <row r="405">
      <c r="A405" t="inlineStr">
        <is>
          <t>No</t>
        </is>
      </c>
      <c r="B405" t="inlineStr">
        <is>
          <t>BT202 .O32 1982</t>
        </is>
      </c>
      <c r="C405" t="inlineStr">
        <is>
          <t>0                      BT 0202000O  32          1982</t>
        </is>
      </c>
      <c r="D405" t="inlineStr">
        <is>
          <t>The point of Christology / Schubert M. Ogden.</t>
        </is>
      </c>
      <c r="F405" t="inlineStr">
        <is>
          <t>No</t>
        </is>
      </c>
      <c r="G405" t="inlineStr">
        <is>
          <t>1</t>
        </is>
      </c>
      <c r="H405" t="inlineStr">
        <is>
          <t>No</t>
        </is>
      </c>
      <c r="I405" t="inlineStr">
        <is>
          <t>No</t>
        </is>
      </c>
      <c r="J405" t="inlineStr">
        <is>
          <t>0</t>
        </is>
      </c>
      <c r="K405" t="inlineStr">
        <is>
          <t>Ogden, Schubert M. (Schubert Miles), 1928-2019.</t>
        </is>
      </c>
      <c r="L405" t="inlineStr">
        <is>
          <t>San Francisco : Harper &amp; Row, c1982.</t>
        </is>
      </c>
      <c r="M405" t="inlineStr">
        <is>
          <t>1982</t>
        </is>
      </c>
      <c r="N405" t="inlineStr">
        <is>
          <t>1st ed.</t>
        </is>
      </c>
      <c r="O405" t="inlineStr">
        <is>
          <t>eng</t>
        </is>
      </c>
      <c r="P405" t="inlineStr">
        <is>
          <t>cau</t>
        </is>
      </c>
      <c r="R405" t="inlineStr">
        <is>
          <t xml:space="preserve">BT </t>
        </is>
      </c>
      <c r="S405" t="n">
        <v>4</v>
      </c>
      <c r="T405" t="n">
        <v>4</v>
      </c>
      <c r="U405" t="inlineStr">
        <is>
          <t>1992-06-17</t>
        </is>
      </c>
      <c r="V405" t="inlineStr">
        <is>
          <t>1992-06-17</t>
        </is>
      </c>
      <c r="W405" t="inlineStr">
        <is>
          <t>1991-08-12</t>
        </is>
      </c>
      <c r="X405" t="inlineStr">
        <is>
          <t>1991-08-12</t>
        </is>
      </c>
      <c r="Y405" t="n">
        <v>464</v>
      </c>
      <c r="Z405" t="n">
        <v>413</v>
      </c>
      <c r="AA405" t="n">
        <v>468</v>
      </c>
      <c r="AB405" t="n">
        <v>5</v>
      </c>
      <c r="AC405" t="n">
        <v>5</v>
      </c>
      <c r="AD405" t="n">
        <v>33</v>
      </c>
      <c r="AE405" t="n">
        <v>37</v>
      </c>
      <c r="AF405" t="n">
        <v>11</v>
      </c>
      <c r="AG405" t="n">
        <v>14</v>
      </c>
      <c r="AH405" t="n">
        <v>8</v>
      </c>
      <c r="AI405" t="n">
        <v>8</v>
      </c>
      <c r="AJ405" t="n">
        <v>21</v>
      </c>
      <c r="AK405" t="n">
        <v>23</v>
      </c>
      <c r="AL405" t="n">
        <v>4</v>
      </c>
      <c r="AM405" t="n">
        <v>4</v>
      </c>
      <c r="AN405" t="n">
        <v>0</v>
      </c>
      <c r="AO405" t="n">
        <v>0</v>
      </c>
      <c r="AP405" t="inlineStr">
        <is>
          <t>No</t>
        </is>
      </c>
      <c r="AQ405" t="inlineStr">
        <is>
          <t>Yes</t>
        </is>
      </c>
      <c r="AR405">
        <f>HYPERLINK("http://catalog.hathitrust.org/Record/000763642","HathiTrust Record")</f>
        <v/>
      </c>
      <c r="AS405">
        <f>HYPERLINK("https://creighton-primo.hosted.exlibrisgroup.com/primo-explore/search?tab=default_tab&amp;search_scope=EVERYTHING&amp;vid=01CRU&amp;lang=en_US&amp;offset=0&amp;query=any,contains,991005194169702656","Catalog Record")</f>
        <v/>
      </c>
      <c r="AT405">
        <f>HYPERLINK("http://www.worldcat.org/oclc/8033539","WorldCat Record")</f>
        <v/>
      </c>
      <c r="AU405" t="inlineStr">
        <is>
          <t>8721447:eng</t>
        </is>
      </c>
      <c r="AV405" t="inlineStr">
        <is>
          <t>8033539</t>
        </is>
      </c>
      <c r="AW405" t="inlineStr">
        <is>
          <t>991005194169702656</t>
        </is>
      </c>
      <c r="AX405" t="inlineStr">
        <is>
          <t>991005194169702656</t>
        </is>
      </c>
      <c r="AY405" t="inlineStr">
        <is>
          <t>2269551300002656</t>
        </is>
      </c>
      <c r="AZ405" t="inlineStr">
        <is>
          <t>BOOK</t>
        </is>
      </c>
      <c r="BB405" t="inlineStr">
        <is>
          <t>9780060663520</t>
        </is>
      </c>
      <c r="BC405" t="inlineStr">
        <is>
          <t>32285000711399</t>
        </is>
      </c>
      <c r="BD405" t="inlineStr">
        <is>
          <t>893320210</t>
        </is>
      </c>
    </row>
    <row r="406">
      <c r="A406" t="inlineStr">
        <is>
          <t>No</t>
        </is>
      </c>
      <c r="B406" t="inlineStr">
        <is>
          <t>BT202 .O34</t>
        </is>
      </c>
      <c r="C406" t="inlineStr">
        <is>
          <t>0                      BT 0202000O  34</t>
        </is>
      </c>
      <c r="D406" t="inlineStr">
        <is>
          <t>Models of Jesus / John F. O'Grady.</t>
        </is>
      </c>
      <c r="F406" t="inlineStr">
        <is>
          <t>No</t>
        </is>
      </c>
      <c r="G406" t="inlineStr">
        <is>
          <t>1</t>
        </is>
      </c>
      <c r="H406" t="inlineStr">
        <is>
          <t>No</t>
        </is>
      </c>
      <c r="I406" t="inlineStr">
        <is>
          <t>No</t>
        </is>
      </c>
      <c r="J406" t="inlineStr">
        <is>
          <t>0</t>
        </is>
      </c>
      <c r="K406" t="inlineStr">
        <is>
          <t>O'Grady, John F.</t>
        </is>
      </c>
      <c r="L406" t="inlineStr">
        <is>
          <t>Garden City, N.Y. : Doubleday, 1981.</t>
        </is>
      </c>
      <c r="M406" t="inlineStr">
        <is>
          <t>1981</t>
        </is>
      </c>
      <c r="N406" t="inlineStr">
        <is>
          <t>1st ed.</t>
        </is>
      </c>
      <c r="O406" t="inlineStr">
        <is>
          <t>eng</t>
        </is>
      </c>
      <c r="P406" t="inlineStr">
        <is>
          <t>nyu</t>
        </is>
      </c>
      <c r="R406" t="inlineStr">
        <is>
          <t xml:space="preserve">BT </t>
        </is>
      </c>
      <c r="S406" t="n">
        <v>5</v>
      </c>
      <c r="T406" t="n">
        <v>5</v>
      </c>
      <c r="U406" t="inlineStr">
        <is>
          <t>2010-10-28</t>
        </is>
      </c>
      <c r="V406" t="inlineStr">
        <is>
          <t>2010-10-28</t>
        </is>
      </c>
      <c r="W406" t="inlineStr">
        <is>
          <t>1991-08-12</t>
        </is>
      </c>
      <c r="X406" t="inlineStr">
        <is>
          <t>1991-08-12</t>
        </is>
      </c>
      <c r="Y406" t="n">
        <v>493</v>
      </c>
      <c r="Z406" t="n">
        <v>452</v>
      </c>
      <c r="AA406" t="n">
        <v>496</v>
      </c>
      <c r="AB406" t="n">
        <v>7</v>
      </c>
      <c r="AC406" t="n">
        <v>7</v>
      </c>
      <c r="AD406" t="n">
        <v>33</v>
      </c>
      <c r="AE406" t="n">
        <v>37</v>
      </c>
      <c r="AF406" t="n">
        <v>12</v>
      </c>
      <c r="AG406" t="n">
        <v>15</v>
      </c>
      <c r="AH406" t="n">
        <v>6</v>
      </c>
      <c r="AI406" t="n">
        <v>8</v>
      </c>
      <c r="AJ406" t="n">
        <v>20</v>
      </c>
      <c r="AK406" t="n">
        <v>22</v>
      </c>
      <c r="AL406" t="n">
        <v>5</v>
      </c>
      <c r="AM406" t="n">
        <v>5</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HYPERLINK("https://creighton-primo.hosted.exlibrisgroup.com/primo-explore/search?tab=default_tab&amp;search_scope=EVERYTHING&amp;vid=01CRU&amp;lang=en_US&amp;offset=0&amp;query=any,contains,991005037139702656","Catalog Record")</f>
        <v/>
      </c>
      <c r="AT406">
        <f>HYPERLINK("http://www.worldcat.org/oclc/6762479","WorldCat Record")</f>
        <v/>
      </c>
      <c r="AU406" t="inlineStr">
        <is>
          <t>455814:eng</t>
        </is>
      </c>
      <c r="AV406" t="inlineStr">
        <is>
          <t>6762479</t>
        </is>
      </c>
      <c r="AW406" t="inlineStr">
        <is>
          <t>991005037139702656</t>
        </is>
      </c>
      <c r="AX406" t="inlineStr">
        <is>
          <t>991005037139702656</t>
        </is>
      </c>
      <c r="AY406" t="inlineStr">
        <is>
          <t>2262935890002656</t>
        </is>
      </c>
      <c r="AZ406" t="inlineStr">
        <is>
          <t>BOOK</t>
        </is>
      </c>
      <c r="BB406" t="inlineStr">
        <is>
          <t>9780385173209</t>
        </is>
      </c>
      <c r="BC406" t="inlineStr">
        <is>
          <t>32285000711407</t>
        </is>
      </c>
      <c r="BD406" t="inlineStr">
        <is>
          <t>893776730</t>
        </is>
      </c>
    </row>
    <row r="407">
      <c r="A407" t="inlineStr">
        <is>
          <t>No</t>
        </is>
      </c>
      <c r="B407" t="inlineStr">
        <is>
          <t>BT202 .R35</t>
        </is>
      </c>
      <c r="C407" t="inlineStr">
        <is>
          <t>0                      BT 0202000R  35</t>
        </is>
      </c>
      <c r="D407" t="inlineStr">
        <is>
          <t>Jesus and the living past / Michael Ramsey.</t>
        </is>
      </c>
      <c r="F407" t="inlineStr">
        <is>
          <t>No</t>
        </is>
      </c>
      <c r="G407" t="inlineStr">
        <is>
          <t>1</t>
        </is>
      </c>
      <c r="H407" t="inlineStr">
        <is>
          <t>No</t>
        </is>
      </c>
      <c r="I407" t="inlineStr">
        <is>
          <t>No</t>
        </is>
      </c>
      <c r="J407" t="inlineStr">
        <is>
          <t>0</t>
        </is>
      </c>
      <c r="K407" t="inlineStr">
        <is>
          <t>Ramsey, Michael, 1904-1988.</t>
        </is>
      </c>
      <c r="L407" t="inlineStr">
        <is>
          <t>Oxford ; New York : Oxford University Press, 1980.</t>
        </is>
      </c>
      <c r="M407" t="inlineStr">
        <is>
          <t>1980</t>
        </is>
      </c>
      <c r="O407" t="inlineStr">
        <is>
          <t>eng</t>
        </is>
      </c>
      <c r="P407" t="inlineStr">
        <is>
          <t>enk</t>
        </is>
      </c>
      <c r="Q407" t="inlineStr">
        <is>
          <t>The Hale lectures ; 1978</t>
        </is>
      </c>
      <c r="R407" t="inlineStr">
        <is>
          <t xml:space="preserve">BT </t>
        </is>
      </c>
      <c r="S407" t="n">
        <v>4</v>
      </c>
      <c r="T407" t="n">
        <v>4</v>
      </c>
      <c r="U407" t="inlineStr">
        <is>
          <t>1996-11-18</t>
        </is>
      </c>
      <c r="V407" t="inlineStr">
        <is>
          <t>1996-11-18</t>
        </is>
      </c>
      <c r="W407" t="inlineStr">
        <is>
          <t>1991-08-12</t>
        </is>
      </c>
      <c r="X407" t="inlineStr">
        <is>
          <t>1991-08-12</t>
        </is>
      </c>
      <c r="Y407" t="n">
        <v>377</v>
      </c>
      <c r="Z407" t="n">
        <v>278</v>
      </c>
      <c r="AA407" t="n">
        <v>289</v>
      </c>
      <c r="AB407" t="n">
        <v>4</v>
      </c>
      <c r="AC407" t="n">
        <v>4</v>
      </c>
      <c r="AD407" t="n">
        <v>12</v>
      </c>
      <c r="AE407" t="n">
        <v>12</v>
      </c>
      <c r="AF407" t="n">
        <v>2</v>
      </c>
      <c r="AG407" t="n">
        <v>2</v>
      </c>
      <c r="AH407" t="n">
        <v>3</v>
      </c>
      <c r="AI407" t="n">
        <v>3</v>
      </c>
      <c r="AJ407" t="n">
        <v>6</v>
      </c>
      <c r="AK407" t="n">
        <v>6</v>
      </c>
      <c r="AL407" t="n">
        <v>2</v>
      </c>
      <c r="AM407" t="n">
        <v>2</v>
      </c>
      <c r="AN407" t="n">
        <v>0</v>
      </c>
      <c r="AO407" t="n">
        <v>0</v>
      </c>
      <c r="AP407" t="inlineStr">
        <is>
          <t>No</t>
        </is>
      </c>
      <c r="AQ407" t="inlineStr">
        <is>
          <t>Yes</t>
        </is>
      </c>
      <c r="AR407">
        <f>HYPERLINK("http://catalog.hathitrust.org/Record/000741426","HathiTrust Record")</f>
        <v/>
      </c>
      <c r="AS407">
        <f>HYPERLINK("https://creighton-primo.hosted.exlibrisgroup.com/primo-explore/search?tab=default_tab&amp;search_scope=EVERYTHING&amp;vid=01CRU&amp;lang=en_US&amp;offset=0&amp;query=any,contains,991004940729702656","Catalog Record")</f>
        <v/>
      </c>
      <c r="AT407">
        <f>HYPERLINK("http://www.worldcat.org/oclc/6186831","WorldCat Record")</f>
        <v/>
      </c>
      <c r="AU407" t="inlineStr">
        <is>
          <t>2288150856:eng</t>
        </is>
      </c>
      <c r="AV407" t="inlineStr">
        <is>
          <t>6186831</t>
        </is>
      </c>
      <c r="AW407" t="inlineStr">
        <is>
          <t>991004940729702656</t>
        </is>
      </c>
      <c r="AX407" t="inlineStr">
        <is>
          <t>991004940729702656</t>
        </is>
      </c>
      <c r="AY407" t="inlineStr">
        <is>
          <t>2262449250002656</t>
        </is>
      </c>
      <c r="AZ407" t="inlineStr">
        <is>
          <t>BOOK</t>
        </is>
      </c>
      <c r="BB407" t="inlineStr">
        <is>
          <t>9780192139634</t>
        </is>
      </c>
      <c r="BC407" t="inlineStr">
        <is>
          <t>32285000711472</t>
        </is>
      </c>
      <c r="BD407" t="inlineStr">
        <is>
          <t>893412115</t>
        </is>
      </c>
    </row>
    <row r="408">
      <c r="A408" t="inlineStr">
        <is>
          <t>No</t>
        </is>
      </c>
      <c r="B408" t="inlineStr">
        <is>
          <t>BT202 .R43 1985</t>
        </is>
      </c>
      <c r="C408" t="inlineStr">
        <is>
          <t>0                      BT 0202000R  43          1985</t>
        </is>
      </c>
      <c r="D408" t="inlineStr">
        <is>
          <t>An unlikely catechism : some challenges for the creedless Catholic / William Reiser.</t>
        </is>
      </c>
      <c r="F408" t="inlineStr">
        <is>
          <t>No</t>
        </is>
      </c>
      <c r="G408" t="inlineStr">
        <is>
          <t>1</t>
        </is>
      </c>
      <c r="H408" t="inlineStr">
        <is>
          <t>No</t>
        </is>
      </c>
      <c r="I408" t="inlineStr">
        <is>
          <t>No</t>
        </is>
      </c>
      <c r="J408" t="inlineStr">
        <is>
          <t>0</t>
        </is>
      </c>
      <c r="K408" t="inlineStr">
        <is>
          <t>Reiser, William E.</t>
        </is>
      </c>
      <c r="L408" t="inlineStr">
        <is>
          <t>New York : Paulist Press, c1985.</t>
        </is>
      </c>
      <c r="M408" t="inlineStr">
        <is>
          <t>1985</t>
        </is>
      </c>
      <c r="O408" t="inlineStr">
        <is>
          <t>eng</t>
        </is>
      </c>
      <c r="P408" t="inlineStr">
        <is>
          <t>nyu</t>
        </is>
      </c>
      <c r="R408" t="inlineStr">
        <is>
          <t xml:space="preserve">BT </t>
        </is>
      </c>
      <c r="S408" t="n">
        <v>1</v>
      </c>
      <c r="T408" t="n">
        <v>1</v>
      </c>
      <c r="U408" t="inlineStr">
        <is>
          <t>2000-09-19</t>
        </is>
      </c>
      <c r="V408" t="inlineStr">
        <is>
          <t>2000-09-19</t>
        </is>
      </c>
      <c r="W408" t="inlineStr">
        <is>
          <t>1991-08-12</t>
        </is>
      </c>
      <c r="X408" t="inlineStr">
        <is>
          <t>1991-08-12</t>
        </is>
      </c>
      <c r="Y408" t="n">
        <v>101</v>
      </c>
      <c r="Z408" t="n">
        <v>91</v>
      </c>
      <c r="AA408" t="n">
        <v>91</v>
      </c>
      <c r="AB408" t="n">
        <v>1</v>
      </c>
      <c r="AC408" t="n">
        <v>1</v>
      </c>
      <c r="AD408" t="n">
        <v>14</v>
      </c>
      <c r="AE408" t="n">
        <v>14</v>
      </c>
      <c r="AF408" t="n">
        <v>2</v>
      </c>
      <c r="AG408" t="n">
        <v>2</v>
      </c>
      <c r="AH408" t="n">
        <v>2</v>
      </c>
      <c r="AI408" t="n">
        <v>2</v>
      </c>
      <c r="AJ408" t="n">
        <v>13</v>
      </c>
      <c r="AK408" t="n">
        <v>13</v>
      </c>
      <c r="AL408" t="n">
        <v>0</v>
      </c>
      <c r="AM408" t="n">
        <v>0</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HYPERLINK("https://creighton-primo.hosted.exlibrisgroup.com/primo-explore/search?tab=default_tab&amp;search_scope=EVERYTHING&amp;vid=01CRU&amp;lang=en_US&amp;offset=0&amp;query=any,contains,991000676319702656","Catalog Record")</f>
        <v/>
      </c>
      <c r="AT408">
        <f>HYPERLINK("http://www.worldcat.org/oclc/12355464","WorldCat Record")</f>
        <v/>
      </c>
      <c r="AU408" t="inlineStr">
        <is>
          <t>10624460242:eng</t>
        </is>
      </c>
      <c r="AV408" t="inlineStr">
        <is>
          <t>12355464</t>
        </is>
      </c>
      <c r="AW408" t="inlineStr">
        <is>
          <t>991000676319702656</t>
        </is>
      </c>
      <c r="AX408" t="inlineStr">
        <is>
          <t>991000676319702656</t>
        </is>
      </c>
      <c r="AY408" t="inlineStr">
        <is>
          <t>2267173870002656</t>
        </is>
      </c>
      <c r="AZ408" t="inlineStr">
        <is>
          <t>BOOK</t>
        </is>
      </c>
      <c r="BB408" t="inlineStr">
        <is>
          <t>9780809127061</t>
        </is>
      </c>
      <c r="BC408" t="inlineStr">
        <is>
          <t>32285000711498</t>
        </is>
      </c>
      <c r="BD408" t="inlineStr">
        <is>
          <t>893778136</t>
        </is>
      </c>
    </row>
    <row r="409">
      <c r="A409" t="inlineStr">
        <is>
          <t>No</t>
        </is>
      </c>
      <c r="B409" t="inlineStr">
        <is>
          <t>BT202 .R49 1982</t>
        </is>
      </c>
      <c r="C409" t="inlineStr">
        <is>
          <t>0                      BT 0202000R  49          1982</t>
        </is>
      </c>
      <c r="D409" t="inlineStr">
        <is>
          <t>A kenotic Christology : in the humanity of Jesus the Christ, the compassion of our God / Lucien J. Richard.</t>
        </is>
      </c>
      <c r="F409" t="inlineStr">
        <is>
          <t>No</t>
        </is>
      </c>
      <c r="G409" t="inlineStr">
        <is>
          <t>1</t>
        </is>
      </c>
      <c r="H409" t="inlineStr">
        <is>
          <t>No</t>
        </is>
      </c>
      <c r="I409" t="inlineStr">
        <is>
          <t>No</t>
        </is>
      </c>
      <c r="J409" t="inlineStr">
        <is>
          <t>0</t>
        </is>
      </c>
      <c r="K409" t="inlineStr">
        <is>
          <t>Richard, Lucien.</t>
        </is>
      </c>
      <c r="L409" t="inlineStr">
        <is>
          <t>Washington, D.C. : University Press of America, c1982.</t>
        </is>
      </c>
      <c r="M409" t="inlineStr">
        <is>
          <t>1982</t>
        </is>
      </c>
      <c r="O409" t="inlineStr">
        <is>
          <t>eng</t>
        </is>
      </c>
      <c r="P409" t="inlineStr">
        <is>
          <t>dcu</t>
        </is>
      </c>
      <c r="R409" t="inlineStr">
        <is>
          <t xml:space="preserve">BT </t>
        </is>
      </c>
      <c r="S409" t="n">
        <v>9</v>
      </c>
      <c r="T409" t="n">
        <v>9</v>
      </c>
      <c r="U409" t="inlineStr">
        <is>
          <t>2007-04-09</t>
        </is>
      </c>
      <c r="V409" t="inlineStr">
        <is>
          <t>2007-04-09</t>
        </is>
      </c>
      <c r="W409" t="inlineStr">
        <is>
          <t>1991-08-12</t>
        </is>
      </c>
      <c r="X409" t="inlineStr">
        <is>
          <t>1991-08-12</t>
        </is>
      </c>
      <c r="Y409" t="n">
        <v>209</v>
      </c>
      <c r="Z409" t="n">
        <v>169</v>
      </c>
      <c r="AA409" t="n">
        <v>169</v>
      </c>
      <c r="AB409" t="n">
        <v>2</v>
      </c>
      <c r="AC409" t="n">
        <v>2</v>
      </c>
      <c r="AD409" t="n">
        <v>23</v>
      </c>
      <c r="AE409" t="n">
        <v>23</v>
      </c>
      <c r="AF409" t="n">
        <v>6</v>
      </c>
      <c r="AG409" t="n">
        <v>6</v>
      </c>
      <c r="AH409" t="n">
        <v>5</v>
      </c>
      <c r="AI409" t="n">
        <v>5</v>
      </c>
      <c r="AJ409" t="n">
        <v>19</v>
      </c>
      <c r="AK409" t="n">
        <v>19</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HYPERLINK("https://creighton-primo.hosted.exlibrisgroup.com/primo-explore/search?tab=default_tab&amp;search_scope=EVERYTHING&amp;vid=01CRU&amp;lang=en_US&amp;offset=0&amp;query=any,contains,991005391739702656","Catalog Record")</f>
        <v/>
      </c>
      <c r="AT409">
        <f>HYPERLINK("http://www.worldcat.org/oclc/8020629","WorldCat Record")</f>
        <v/>
      </c>
      <c r="AU409" t="inlineStr">
        <is>
          <t>21009067:eng</t>
        </is>
      </c>
      <c r="AV409" t="inlineStr">
        <is>
          <t>8020629</t>
        </is>
      </c>
      <c r="AW409" t="inlineStr">
        <is>
          <t>991005391739702656</t>
        </is>
      </c>
      <c r="AX409" t="inlineStr">
        <is>
          <t>991005391739702656</t>
        </is>
      </c>
      <c r="AY409" t="inlineStr">
        <is>
          <t>2270897040002656</t>
        </is>
      </c>
      <c r="AZ409" t="inlineStr">
        <is>
          <t>BOOK</t>
        </is>
      </c>
      <c r="BB409" t="inlineStr">
        <is>
          <t>9780819121998</t>
        </is>
      </c>
      <c r="BC409" t="inlineStr">
        <is>
          <t>32285000711506</t>
        </is>
      </c>
      <c r="BD409" t="inlineStr">
        <is>
          <t>893508186</t>
        </is>
      </c>
    </row>
    <row r="410">
      <c r="A410" t="inlineStr">
        <is>
          <t>No</t>
        </is>
      </c>
      <c r="B410" t="inlineStr">
        <is>
          <t>BT202 .R57</t>
        </is>
      </c>
      <c r="C410" t="inlineStr">
        <is>
          <t>0                      BT 0202000R  57</t>
        </is>
      </c>
      <c r="D410" t="inlineStr">
        <is>
          <t>Memory and hope : an inquiry concerning the presence of Christ / Dietrich Ritschl.</t>
        </is>
      </c>
      <c r="F410" t="inlineStr">
        <is>
          <t>No</t>
        </is>
      </c>
      <c r="G410" t="inlineStr">
        <is>
          <t>1</t>
        </is>
      </c>
      <c r="H410" t="inlineStr">
        <is>
          <t>No</t>
        </is>
      </c>
      <c r="I410" t="inlineStr">
        <is>
          <t>No</t>
        </is>
      </c>
      <c r="J410" t="inlineStr">
        <is>
          <t>0</t>
        </is>
      </c>
      <c r="K410" t="inlineStr">
        <is>
          <t>Ritschl, Dietrich.</t>
        </is>
      </c>
      <c r="L410" t="inlineStr">
        <is>
          <t>New York, Macmillan [1967]</t>
        </is>
      </c>
      <c r="M410" t="inlineStr">
        <is>
          <t>1967</t>
        </is>
      </c>
      <c r="O410" t="inlineStr">
        <is>
          <t>eng</t>
        </is>
      </c>
      <c r="P410" t="inlineStr">
        <is>
          <t>nyu</t>
        </is>
      </c>
      <c r="R410" t="inlineStr">
        <is>
          <t xml:space="preserve">BT </t>
        </is>
      </c>
      <c r="S410" t="n">
        <v>1</v>
      </c>
      <c r="T410" t="n">
        <v>1</v>
      </c>
      <c r="U410" t="inlineStr">
        <is>
          <t>1992-03-12</t>
        </is>
      </c>
      <c r="V410" t="inlineStr">
        <is>
          <t>1992-03-12</t>
        </is>
      </c>
      <c r="W410" t="inlineStr">
        <is>
          <t>1991-08-12</t>
        </is>
      </c>
      <c r="X410" t="inlineStr">
        <is>
          <t>1991-08-12</t>
        </is>
      </c>
      <c r="Y410" t="n">
        <v>352</v>
      </c>
      <c r="Z410" t="n">
        <v>298</v>
      </c>
      <c r="AA410" t="n">
        <v>303</v>
      </c>
      <c r="AB410" t="n">
        <v>3</v>
      </c>
      <c r="AC410" t="n">
        <v>3</v>
      </c>
      <c r="AD410" t="n">
        <v>26</v>
      </c>
      <c r="AE410" t="n">
        <v>26</v>
      </c>
      <c r="AF410" t="n">
        <v>8</v>
      </c>
      <c r="AG410" t="n">
        <v>8</v>
      </c>
      <c r="AH410" t="n">
        <v>5</v>
      </c>
      <c r="AI410" t="n">
        <v>5</v>
      </c>
      <c r="AJ410" t="n">
        <v>17</v>
      </c>
      <c r="AK410" t="n">
        <v>17</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HYPERLINK("https://creighton-primo.hosted.exlibrisgroup.com/primo-explore/search?tab=default_tab&amp;search_scope=EVERYTHING&amp;vid=01CRU&amp;lang=en_US&amp;offset=0&amp;query=any,contains,991003971549702656","Catalog Record")</f>
        <v/>
      </c>
      <c r="AT410">
        <f>HYPERLINK("http://www.worldcat.org/oclc/1992689","WorldCat Record")</f>
        <v/>
      </c>
      <c r="AU410" t="inlineStr">
        <is>
          <t>296952860:eng</t>
        </is>
      </c>
      <c r="AV410" t="inlineStr">
        <is>
          <t>1992689</t>
        </is>
      </c>
      <c r="AW410" t="inlineStr">
        <is>
          <t>991003971549702656</t>
        </is>
      </c>
      <c r="AX410" t="inlineStr">
        <is>
          <t>991003971549702656</t>
        </is>
      </c>
      <c r="AY410" t="inlineStr">
        <is>
          <t>2261926060002656</t>
        </is>
      </c>
      <c r="AZ410" t="inlineStr">
        <is>
          <t>BOOK</t>
        </is>
      </c>
      <c r="BC410" t="inlineStr">
        <is>
          <t>32285000711522</t>
        </is>
      </c>
      <c r="BD410" t="inlineStr">
        <is>
          <t>893442013</t>
        </is>
      </c>
    </row>
    <row r="411">
      <c r="A411" t="inlineStr">
        <is>
          <t>No</t>
        </is>
      </c>
      <c r="B411" t="inlineStr">
        <is>
          <t>BT202 .S23</t>
        </is>
      </c>
      <c r="C411" t="inlineStr">
        <is>
          <t>0                      BT 0202000S  23</t>
        </is>
      </c>
      <c r="D411" t="inlineStr">
        <is>
          <t>The New Testament Christological hymns; their historical religious background / by Jack T. Sanders.</t>
        </is>
      </c>
      <c r="F411" t="inlineStr">
        <is>
          <t>No</t>
        </is>
      </c>
      <c r="G411" t="inlineStr">
        <is>
          <t>1</t>
        </is>
      </c>
      <c r="H411" t="inlineStr">
        <is>
          <t>No</t>
        </is>
      </c>
      <c r="I411" t="inlineStr">
        <is>
          <t>No</t>
        </is>
      </c>
      <c r="J411" t="inlineStr">
        <is>
          <t>0</t>
        </is>
      </c>
      <c r="K411" t="inlineStr">
        <is>
          <t>Sanders, Jack T.</t>
        </is>
      </c>
      <c r="L411" t="inlineStr">
        <is>
          <t>Cambridge [Eng.] University Press, 1971.</t>
        </is>
      </c>
      <c r="M411" t="inlineStr">
        <is>
          <t>1971</t>
        </is>
      </c>
      <c r="O411" t="inlineStr">
        <is>
          <t>eng</t>
        </is>
      </c>
      <c r="P411" t="inlineStr">
        <is>
          <t>enk</t>
        </is>
      </c>
      <c r="Q411" t="inlineStr">
        <is>
          <t>Society for New Testament Studies. Monograph series, 15</t>
        </is>
      </c>
      <c r="R411" t="inlineStr">
        <is>
          <t xml:space="preserve">BT </t>
        </is>
      </c>
      <c r="S411" t="n">
        <v>2</v>
      </c>
      <c r="T411" t="n">
        <v>2</v>
      </c>
      <c r="U411" t="inlineStr">
        <is>
          <t>1998-12-03</t>
        </is>
      </c>
      <c r="V411" t="inlineStr">
        <is>
          <t>1998-12-03</t>
        </is>
      </c>
      <c r="W411" t="inlineStr">
        <is>
          <t>1991-08-12</t>
        </is>
      </c>
      <c r="X411" t="inlineStr">
        <is>
          <t>1991-08-12</t>
        </is>
      </c>
      <c r="Y411" t="n">
        <v>544</v>
      </c>
      <c r="Z411" t="n">
        <v>428</v>
      </c>
      <c r="AA411" t="n">
        <v>433</v>
      </c>
      <c r="AB411" t="n">
        <v>3</v>
      </c>
      <c r="AC411" t="n">
        <v>3</v>
      </c>
      <c r="AD411" t="n">
        <v>29</v>
      </c>
      <c r="AE411" t="n">
        <v>29</v>
      </c>
      <c r="AF411" t="n">
        <v>10</v>
      </c>
      <c r="AG411" t="n">
        <v>10</v>
      </c>
      <c r="AH411" t="n">
        <v>7</v>
      </c>
      <c r="AI411" t="n">
        <v>7</v>
      </c>
      <c r="AJ411" t="n">
        <v>18</v>
      </c>
      <c r="AK411" t="n">
        <v>18</v>
      </c>
      <c r="AL411" t="n">
        <v>2</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HYPERLINK("https://creighton-primo.hosted.exlibrisgroup.com/primo-explore/search?tab=default_tab&amp;search_scope=EVERYTHING&amp;vid=01CRU&amp;lang=en_US&amp;offset=0&amp;query=any,contains,991000750039702656","Catalog Record")</f>
        <v/>
      </c>
      <c r="AT411">
        <f>HYPERLINK("http://www.worldcat.org/oclc/130061","WorldCat Record")</f>
        <v/>
      </c>
      <c r="AU411" t="inlineStr">
        <is>
          <t>1263539:eng</t>
        </is>
      </c>
      <c r="AV411" t="inlineStr">
        <is>
          <t>130061</t>
        </is>
      </c>
      <c r="AW411" t="inlineStr">
        <is>
          <t>991000750039702656</t>
        </is>
      </c>
      <c r="AX411" t="inlineStr">
        <is>
          <t>991000750039702656</t>
        </is>
      </c>
      <c r="AY411" t="inlineStr">
        <is>
          <t>2254900560002656</t>
        </is>
      </c>
      <c r="AZ411" t="inlineStr">
        <is>
          <t>BOOK</t>
        </is>
      </c>
      <c r="BB411" t="inlineStr">
        <is>
          <t>9780521079327</t>
        </is>
      </c>
      <c r="BC411" t="inlineStr">
        <is>
          <t>32285000711548</t>
        </is>
      </c>
      <c r="BD411" t="inlineStr">
        <is>
          <t>893689999</t>
        </is>
      </c>
    </row>
    <row r="412">
      <c r="A412" t="inlineStr">
        <is>
          <t>No</t>
        </is>
      </c>
      <c r="B412" t="inlineStr">
        <is>
          <t>BT202 .S34513 1997</t>
        </is>
      </c>
      <c r="C412" t="inlineStr">
        <is>
          <t>0                      BT 0202000S  34513       1997</t>
        </is>
      </c>
      <c r="D412" t="inlineStr">
        <is>
          <t>The history of the Christ : the foundation for New Testament theology / Adolf Schlatter ; translated by Andreas J. Köstenberger.</t>
        </is>
      </c>
      <c r="F412" t="inlineStr">
        <is>
          <t>No</t>
        </is>
      </c>
      <c r="G412" t="inlineStr">
        <is>
          <t>1</t>
        </is>
      </c>
      <c r="H412" t="inlineStr">
        <is>
          <t>No</t>
        </is>
      </c>
      <c r="I412" t="inlineStr">
        <is>
          <t>No</t>
        </is>
      </c>
      <c r="J412" t="inlineStr">
        <is>
          <t>0</t>
        </is>
      </c>
      <c r="K412" t="inlineStr">
        <is>
          <t>Schlatter, Adolf, 1852-1938.</t>
        </is>
      </c>
      <c r="L412" t="inlineStr">
        <is>
          <t>Grand Rapids, Mich. : Baker Books, 1997.</t>
        </is>
      </c>
      <c r="M412" t="inlineStr">
        <is>
          <t>1997</t>
        </is>
      </c>
      <c r="O412" t="inlineStr">
        <is>
          <t>eng</t>
        </is>
      </c>
      <c r="P412" t="inlineStr">
        <is>
          <t>miu</t>
        </is>
      </c>
      <c r="R412" t="inlineStr">
        <is>
          <t xml:space="preserve">BT </t>
        </is>
      </c>
      <c r="S412" t="n">
        <v>8</v>
      </c>
      <c r="T412" t="n">
        <v>8</v>
      </c>
      <c r="U412" t="inlineStr">
        <is>
          <t>2001-06-08</t>
        </is>
      </c>
      <c r="V412" t="inlineStr">
        <is>
          <t>2001-06-08</t>
        </is>
      </c>
      <c r="W412" t="inlineStr">
        <is>
          <t>1998-01-09</t>
        </is>
      </c>
      <c r="X412" t="inlineStr">
        <is>
          <t>1998-01-09</t>
        </is>
      </c>
      <c r="Y412" t="n">
        <v>303</v>
      </c>
      <c r="Z412" t="n">
        <v>252</v>
      </c>
      <c r="AA412" t="n">
        <v>257</v>
      </c>
      <c r="AB412" t="n">
        <v>1</v>
      </c>
      <c r="AC412" t="n">
        <v>1</v>
      </c>
      <c r="AD412" t="n">
        <v>11</v>
      </c>
      <c r="AE412" t="n">
        <v>11</v>
      </c>
      <c r="AF412" t="n">
        <v>5</v>
      </c>
      <c r="AG412" t="n">
        <v>5</v>
      </c>
      <c r="AH412" t="n">
        <v>3</v>
      </c>
      <c r="AI412" t="n">
        <v>3</v>
      </c>
      <c r="AJ412" t="n">
        <v>7</v>
      </c>
      <c r="AK412" t="n">
        <v>7</v>
      </c>
      <c r="AL412" t="n">
        <v>0</v>
      </c>
      <c r="AM412" t="n">
        <v>0</v>
      </c>
      <c r="AN412" t="n">
        <v>0</v>
      </c>
      <c r="AO412" t="n">
        <v>0</v>
      </c>
      <c r="AP412" t="inlineStr">
        <is>
          <t>No</t>
        </is>
      </c>
      <c r="AQ412" t="inlineStr">
        <is>
          <t>Yes</t>
        </is>
      </c>
      <c r="AR412">
        <f>HYPERLINK("http://catalog.hathitrust.org/Record/003946656","HathiTrust Record")</f>
        <v/>
      </c>
      <c r="AS412">
        <f>HYPERLINK("https://creighton-primo.hosted.exlibrisgroup.com/primo-explore/search?tab=default_tab&amp;search_scope=EVERYTHING&amp;vid=01CRU&amp;lang=en_US&amp;offset=0&amp;query=any,contains,991002778239702656","Catalog Record")</f>
        <v/>
      </c>
      <c r="AT412">
        <f>HYPERLINK("http://www.worldcat.org/oclc/36477051","WorldCat Record")</f>
        <v/>
      </c>
      <c r="AU412" t="inlineStr">
        <is>
          <t>350539339:eng</t>
        </is>
      </c>
      <c r="AV412" t="inlineStr">
        <is>
          <t>36477051</t>
        </is>
      </c>
      <c r="AW412" t="inlineStr">
        <is>
          <t>991002778239702656</t>
        </is>
      </c>
      <c r="AX412" t="inlineStr">
        <is>
          <t>991002778239702656</t>
        </is>
      </c>
      <c r="AY412" t="inlineStr">
        <is>
          <t>2258787660002656</t>
        </is>
      </c>
      <c r="AZ412" t="inlineStr">
        <is>
          <t>BOOK</t>
        </is>
      </c>
      <c r="BB412" t="inlineStr">
        <is>
          <t>9780801020896</t>
        </is>
      </c>
      <c r="BC412" t="inlineStr">
        <is>
          <t>32285003302725</t>
        </is>
      </c>
      <c r="BD412" t="inlineStr">
        <is>
          <t>893415639</t>
        </is>
      </c>
    </row>
    <row r="413">
      <c r="A413" t="inlineStr">
        <is>
          <t>No</t>
        </is>
      </c>
      <c r="B413" t="inlineStr">
        <is>
          <t>BT202 .S354513 1997</t>
        </is>
      </c>
      <c r="C413" t="inlineStr">
        <is>
          <t>0                      BT 0202000S  354513      1997</t>
        </is>
      </c>
      <c r="D413" t="inlineStr">
        <is>
          <t>The friend we have in Jesus / Rudolf Schnackenburg.</t>
        </is>
      </c>
      <c r="F413" t="inlineStr">
        <is>
          <t>No</t>
        </is>
      </c>
      <c r="G413" t="inlineStr">
        <is>
          <t>1</t>
        </is>
      </c>
      <c r="H413" t="inlineStr">
        <is>
          <t>No</t>
        </is>
      </c>
      <c r="I413" t="inlineStr">
        <is>
          <t>No</t>
        </is>
      </c>
      <c r="J413" t="inlineStr">
        <is>
          <t>0</t>
        </is>
      </c>
      <c r="K413" t="inlineStr">
        <is>
          <t>Schnackenburg, Rudolf, 1914-</t>
        </is>
      </c>
      <c r="L413" t="inlineStr">
        <is>
          <t>Louisville, Ky. : Westminster J. Knox Press, c1997.</t>
        </is>
      </c>
      <c r="M413" t="inlineStr">
        <is>
          <t>1997</t>
        </is>
      </c>
      <c r="N413" t="inlineStr">
        <is>
          <t>1st ed.</t>
        </is>
      </c>
      <c r="O413" t="inlineStr">
        <is>
          <t>eng</t>
        </is>
      </c>
      <c r="P413" t="inlineStr">
        <is>
          <t>kyu</t>
        </is>
      </c>
      <c r="R413" t="inlineStr">
        <is>
          <t xml:space="preserve">BT </t>
        </is>
      </c>
      <c r="S413" t="n">
        <v>7</v>
      </c>
      <c r="T413" t="n">
        <v>7</v>
      </c>
      <c r="U413" t="inlineStr">
        <is>
          <t>1999-07-16</t>
        </is>
      </c>
      <c r="V413" t="inlineStr">
        <is>
          <t>1999-07-16</t>
        </is>
      </c>
      <c r="W413" t="inlineStr">
        <is>
          <t>1998-03-26</t>
        </is>
      </c>
      <c r="X413" t="inlineStr">
        <is>
          <t>1998-03-26</t>
        </is>
      </c>
      <c r="Y413" t="n">
        <v>171</v>
      </c>
      <c r="Z413" t="n">
        <v>141</v>
      </c>
      <c r="AA413" t="n">
        <v>141</v>
      </c>
      <c r="AB413" t="n">
        <v>2</v>
      </c>
      <c r="AC413" t="n">
        <v>2</v>
      </c>
      <c r="AD413" t="n">
        <v>16</v>
      </c>
      <c r="AE413" t="n">
        <v>16</v>
      </c>
      <c r="AF413" t="n">
        <v>5</v>
      </c>
      <c r="AG413" t="n">
        <v>5</v>
      </c>
      <c r="AH413" t="n">
        <v>4</v>
      </c>
      <c r="AI413" t="n">
        <v>4</v>
      </c>
      <c r="AJ413" t="n">
        <v>11</v>
      </c>
      <c r="AK413" t="n">
        <v>11</v>
      </c>
      <c r="AL413" t="n">
        <v>1</v>
      </c>
      <c r="AM413" t="n">
        <v>1</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HYPERLINK("https://creighton-primo.hosted.exlibrisgroup.com/primo-explore/search?tab=default_tab&amp;search_scope=EVERYTHING&amp;vid=01CRU&amp;lang=en_US&amp;offset=0&amp;query=any,contains,991002819659702656","Catalog Record")</f>
        <v/>
      </c>
      <c r="AT413">
        <f>HYPERLINK("http://www.worldcat.org/oclc/37043939","WorldCat Record")</f>
        <v/>
      </c>
      <c r="AU413" t="inlineStr">
        <is>
          <t>1909314631:eng</t>
        </is>
      </c>
      <c r="AV413" t="inlineStr">
        <is>
          <t>37043939</t>
        </is>
      </c>
      <c r="AW413" t="inlineStr">
        <is>
          <t>991002819659702656</t>
        </is>
      </c>
      <c r="AX413" t="inlineStr">
        <is>
          <t>991002819659702656</t>
        </is>
      </c>
      <c r="AY413" t="inlineStr">
        <is>
          <t>2255061600002656</t>
        </is>
      </c>
      <c r="AZ413" t="inlineStr">
        <is>
          <t>BOOK</t>
        </is>
      </c>
      <c r="BB413" t="inlineStr">
        <is>
          <t>9780664257316</t>
        </is>
      </c>
      <c r="BC413" t="inlineStr">
        <is>
          <t>32285003380960</t>
        </is>
      </c>
      <c r="BD413" t="inlineStr">
        <is>
          <t>893428085</t>
        </is>
      </c>
    </row>
    <row r="414">
      <c r="A414" t="inlineStr">
        <is>
          <t>No</t>
        </is>
      </c>
      <c r="B414" t="inlineStr">
        <is>
          <t>BT202 .S3613</t>
        </is>
      </c>
      <c r="C414" t="inlineStr">
        <is>
          <t>0                      BT 0202000S  3613</t>
        </is>
      </c>
      <c r="D414" t="inlineStr">
        <is>
          <t>The Christ : a study of the God-man relationship in the whole of creation and in Jesus Christ / [by] Piet Schoonenberg. [Translated by Della Couling.</t>
        </is>
      </c>
      <c r="F414" t="inlineStr">
        <is>
          <t>No</t>
        </is>
      </c>
      <c r="G414" t="inlineStr">
        <is>
          <t>1</t>
        </is>
      </c>
      <c r="H414" t="inlineStr">
        <is>
          <t>No</t>
        </is>
      </c>
      <c r="I414" t="inlineStr">
        <is>
          <t>No</t>
        </is>
      </c>
      <c r="J414" t="inlineStr">
        <is>
          <t>0</t>
        </is>
      </c>
      <c r="K414" t="inlineStr">
        <is>
          <t>Schoonenberg, Piet J. A. M., 1911-1999.</t>
        </is>
      </c>
      <c r="L414" t="inlineStr">
        <is>
          <t>New York] Herder and Herder [1971]</t>
        </is>
      </c>
      <c r="M414" t="inlineStr">
        <is>
          <t>1971</t>
        </is>
      </c>
      <c r="O414" t="inlineStr">
        <is>
          <t>eng</t>
        </is>
      </c>
      <c r="P414" t="inlineStr">
        <is>
          <t>nyu</t>
        </is>
      </c>
      <c r="R414" t="inlineStr">
        <is>
          <t xml:space="preserve">BT </t>
        </is>
      </c>
      <c r="S414" t="n">
        <v>2</v>
      </c>
      <c r="T414" t="n">
        <v>2</v>
      </c>
      <c r="U414" t="inlineStr">
        <is>
          <t>1997-01-19</t>
        </is>
      </c>
      <c r="V414" t="inlineStr">
        <is>
          <t>1997-01-19</t>
        </is>
      </c>
      <c r="W414" t="inlineStr">
        <is>
          <t>1991-08-12</t>
        </is>
      </c>
      <c r="X414" t="inlineStr">
        <is>
          <t>1991-08-12</t>
        </is>
      </c>
      <c r="Y414" t="n">
        <v>339</v>
      </c>
      <c r="Z414" t="n">
        <v>301</v>
      </c>
      <c r="AA414" t="n">
        <v>342</v>
      </c>
      <c r="AB414" t="n">
        <v>6</v>
      </c>
      <c r="AC414" t="n">
        <v>6</v>
      </c>
      <c r="AD414" t="n">
        <v>35</v>
      </c>
      <c r="AE414" t="n">
        <v>35</v>
      </c>
      <c r="AF414" t="n">
        <v>12</v>
      </c>
      <c r="AG414" t="n">
        <v>12</v>
      </c>
      <c r="AH414" t="n">
        <v>8</v>
      </c>
      <c r="AI414" t="n">
        <v>8</v>
      </c>
      <c r="AJ414" t="n">
        <v>24</v>
      </c>
      <c r="AK414" t="n">
        <v>24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HYPERLINK("https://creighton-primo.hosted.exlibrisgroup.com/primo-explore/search?tab=default_tab&amp;search_scope=EVERYTHING&amp;vid=01CRU&amp;lang=en_US&amp;offset=0&amp;query=any,contains,991000776599702656","Catalog Record")</f>
        <v/>
      </c>
      <c r="AT414">
        <f>HYPERLINK("http://www.worldcat.org/oclc/133159","WorldCat Record")</f>
        <v/>
      </c>
      <c r="AU414" t="inlineStr">
        <is>
          <t>1274849:eng</t>
        </is>
      </c>
      <c r="AV414" t="inlineStr">
        <is>
          <t>133159</t>
        </is>
      </c>
      <c r="AW414" t="inlineStr">
        <is>
          <t>991000776599702656</t>
        </is>
      </c>
      <c r="AX414" t="inlineStr">
        <is>
          <t>991000776599702656</t>
        </is>
      </c>
      <c r="AY414" t="inlineStr">
        <is>
          <t>2256053280002656</t>
        </is>
      </c>
      <c r="AZ414" t="inlineStr">
        <is>
          <t>BOOK</t>
        </is>
      </c>
      <c r="BC414" t="inlineStr">
        <is>
          <t>32285000711589</t>
        </is>
      </c>
      <c r="BD414" t="inlineStr">
        <is>
          <t>893690019</t>
        </is>
      </c>
    </row>
    <row r="415">
      <c r="A415" t="inlineStr">
        <is>
          <t>No</t>
        </is>
      </c>
      <c r="B415" t="inlineStr">
        <is>
          <t>BT202 .S38213 1971</t>
        </is>
      </c>
      <c r="C415" t="inlineStr">
        <is>
          <t>0                      BT 0202000S  38213       1971</t>
        </is>
      </c>
      <c r="D415" t="inlineStr">
        <is>
          <t>Jesus / Eduard Scweizer. Translated by David E. Green.</t>
        </is>
      </c>
      <c r="F415" t="inlineStr">
        <is>
          <t>No</t>
        </is>
      </c>
      <c r="G415" t="inlineStr">
        <is>
          <t>1</t>
        </is>
      </c>
      <c r="H415" t="inlineStr">
        <is>
          <t>No</t>
        </is>
      </c>
      <c r="I415" t="inlineStr">
        <is>
          <t>No</t>
        </is>
      </c>
      <c r="J415" t="inlineStr">
        <is>
          <t>0</t>
        </is>
      </c>
      <c r="K415" t="inlineStr">
        <is>
          <t>Schweizer, Eduard, 1913-2006.</t>
        </is>
      </c>
      <c r="L415" t="inlineStr">
        <is>
          <t>Richmond, John Knox Press [1971]</t>
        </is>
      </c>
      <c r="M415" t="inlineStr">
        <is>
          <t>1971</t>
        </is>
      </c>
      <c r="O415" t="inlineStr">
        <is>
          <t>eng</t>
        </is>
      </c>
      <c r="P415" t="inlineStr">
        <is>
          <t>vau</t>
        </is>
      </c>
      <c r="R415" t="inlineStr">
        <is>
          <t xml:space="preserve">BT </t>
        </is>
      </c>
      <c r="S415" t="n">
        <v>2</v>
      </c>
      <c r="T415" t="n">
        <v>2</v>
      </c>
      <c r="U415" t="inlineStr">
        <is>
          <t>1994-11-27</t>
        </is>
      </c>
      <c r="V415" t="inlineStr">
        <is>
          <t>1994-11-27</t>
        </is>
      </c>
      <c r="W415" t="inlineStr">
        <is>
          <t>1991-08-12</t>
        </is>
      </c>
      <c r="X415" t="inlineStr">
        <is>
          <t>1991-08-12</t>
        </is>
      </c>
      <c r="Y415" t="n">
        <v>625</v>
      </c>
      <c r="Z415" t="n">
        <v>560</v>
      </c>
      <c r="AA415" t="n">
        <v>583</v>
      </c>
      <c r="AB415" t="n">
        <v>5</v>
      </c>
      <c r="AC415" t="n">
        <v>5</v>
      </c>
      <c r="AD415" t="n">
        <v>45</v>
      </c>
      <c r="AE415" t="n">
        <v>45</v>
      </c>
      <c r="AF415" t="n">
        <v>19</v>
      </c>
      <c r="AG415" t="n">
        <v>19</v>
      </c>
      <c r="AH415" t="n">
        <v>8</v>
      </c>
      <c r="AI415" t="n">
        <v>8</v>
      </c>
      <c r="AJ415" t="n">
        <v>26</v>
      </c>
      <c r="AK415" t="n">
        <v>26</v>
      </c>
      <c r="AL415" t="n">
        <v>4</v>
      </c>
      <c r="AM415" t="n">
        <v>4</v>
      </c>
      <c r="AN415" t="n">
        <v>0</v>
      </c>
      <c r="AO415" t="n">
        <v>0</v>
      </c>
      <c r="AP415" t="inlineStr">
        <is>
          <t>No</t>
        </is>
      </c>
      <c r="AQ415" t="inlineStr">
        <is>
          <t>Yes</t>
        </is>
      </c>
      <c r="AR415">
        <f>HYPERLINK("http://catalog.hathitrust.org/Record/001400515","HathiTrust Record")</f>
        <v/>
      </c>
      <c r="AS415">
        <f>HYPERLINK("https://creighton-primo.hosted.exlibrisgroup.com/primo-explore/search?tab=default_tab&amp;search_scope=EVERYTHING&amp;vid=01CRU&amp;lang=en_US&amp;offset=0&amp;query=any,contains,991000926769702656","Catalog Record")</f>
        <v/>
      </c>
      <c r="AT415">
        <f>HYPERLINK("http://www.worldcat.org/oclc/163667","WorldCat Record")</f>
        <v/>
      </c>
      <c r="AU415" t="inlineStr">
        <is>
          <t>114069729:eng</t>
        </is>
      </c>
      <c r="AV415" t="inlineStr">
        <is>
          <t>163667</t>
        </is>
      </c>
      <c r="AW415" t="inlineStr">
        <is>
          <t>991000926769702656</t>
        </is>
      </c>
      <c r="AX415" t="inlineStr">
        <is>
          <t>991000926769702656</t>
        </is>
      </c>
      <c r="AY415" t="inlineStr">
        <is>
          <t>2272149520002656</t>
        </is>
      </c>
      <c r="AZ415" t="inlineStr">
        <is>
          <t>BOOK</t>
        </is>
      </c>
      <c r="BB415" t="inlineStr">
        <is>
          <t>9780804203302</t>
        </is>
      </c>
      <c r="BC415" t="inlineStr">
        <is>
          <t>32285000711613</t>
        </is>
      </c>
      <c r="BD415" t="inlineStr">
        <is>
          <t>893772116</t>
        </is>
      </c>
    </row>
    <row r="416">
      <c r="A416" t="inlineStr">
        <is>
          <t>No</t>
        </is>
      </c>
      <c r="B416" t="inlineStr">
        <is>
          <t>BT202 .S45 1984</t>
        </is>
      </c>
      <c r="C416" t="inlineStr">
        <is>
          <t>0                      BT 0202000S  45          1984</t>
        </is>
      </c>
      <c r="D416" t="inlineStr">
        <is>
          <t>The challenge of Jesus / by John Shea.</t>
        </is>
      </c>
      <c r="F416" t="inlineStr">
        <is>
          <t>No</t>
        </is>
      </c>
      <c r="G416" t="inlineStr">
        <is>
          <t>1</t>
        </is>
      </c>
      <c r="H416" t="inlineStr">
        <is>
          <t>No</t>
        </is>
      </c>
      <c r="I416" t="inlineStr">
        <is>
          <t>No</t>
        </is>
      </c>
      <c r="J416" t="inlineStr">
        <is>
          <t>0</t>
        </is>
      </c>
      <c r="K416" t="inlineStr">
        <is>
          <t>Shea, John.</t>
        </is>
      </c>
      <c r="L416" t="inlineStr">
        <is>
          <t>Chicago : Thomas More Press, 1984, c1975.</t>
        </is>
      </c>
      <c r="M416" t="inlineStr">
        <is>
          <t>1984</t>
        </is>
      </c>
      <c r="N416" t="inlineStr">
        <is>
          <t>Encore ed.</t>
        </is>
      </c>
      <c r="O416" t="inlineStr">
        <is>
          <t>eng</t>
        </is>
      </c>
      <c r="P416" t="inlineStr">
        <is>
          <t>ilu</t>
        </is>
      </c>
      <c r="R416" t="inlineStr">
        <is>
          <t xml:space="preserve">BT </t>
        </is>
      </c>
      <c r="S416" t="n">
        <v>9</v>
      </c>
      <c r="T416" t="n">
        <v>9</v>
      </c>
      <c r="U416" t="inlineStr">
        <is>
          <t>2009-06-15</t>
        </is>
      </c>
      <c r="V416" t="inlineStr">
        <is>
          <t>2009-06-15</t>
        </is>
      </c>
      <c r="W416" t="inlineStr">
        <is>
          <t>1991-08-12</t>
        </is>
      </c>
      <c r="X416" t="inlineStr">
        <is>
          <t>1991-08-12</t>
        </is>
      </c>
      <c r="Y416" t="n">
        <v>51</v>
      </c>
      <c r="Z416" t="n">
        <v>46</v>
      </c>
      <c r="AA416" t="n">
        <v>229</v>
      </c>
      <c r="AB416" t="n">
        <v>1</v>
      </c>
      <c r="AC416" t="n">
        <v>3</v>
      </c>
      <c r="AD416" t="n">
        <v>5</v>
      </c>
      <c r="AE416" t="n">
        <v>25</v>
      </c>
      <c r="AF416" t="n">
        <v>3</v>
      </c>
      <c r="AG416" t="n">
        <v>8</v>
      </c>
      <c r="AH416" t="n">
        <v>1</v>
      </c>
      <c r="AI416" t="n">
        <v>6</v>
      </c>
      <c r="AJ416" t="n">
        <v>4</v>
      </c>
      <c r="AK416" t="n">
        <v>18</v>
      </c>
      <c r="AL416" t="n">
        <v>0</v>
      </c>
      <c r="AM416" t="n">
        <v>1</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HYPERLINK("https://creighton-primo.hosted.exlibrisgroup.com/primo-explore/search?tab=default_tab&amp;search_scope=EVERYTHING&amp;vid=01CRU&amp;lang=en_US&amp;offset=0&amp;query=any,contains,991000654669702656","Catalog Record")</f>
        <v/>
      </c>
      <c r="AT416">
        <f>HYPERLINK("http://www.worldcat.org/oclc/12208506","WorldCat Record")</f>
        <v/>
      </c>
      <c r="AU416" t="inlineStr">
        <is>
          <t>3943269229:eng</t>
        </is>
      </c>
      <c r="AV416" t="inlineStr">
        <is>
          <t>12208506</t>
        </is>
      </c>
      <c r="AW416" t="inlineStr">
        <is>
          <t>991000654669702656</t>
        </is>
      </c>
      <c r="AX416" t="inlineStr">
        <is>
          <t>991000654669702656</t>
        </is>
      </c>
      <c r="AY416" t="inlineStr">
        <is>
          <t>2271873430002656</t>
        </is>
      </c>
      <c r="AZ416" t="inlineStr">
        <is>
          <t>BOOK</t>
        </is>
      </c>
      <c r="BB416" t="inlineStr">
        <is>
          <t>9780883471692</t>
        </is>
      </c>
      <c r="BC416" t="inlineStr">
        <is>
          <t>32285000711639</t>
        </is>
      </c>
      <c r="BD416" t="inlineStr">
        <is>
          <t>893438474</t>
        </is>
      </c>
    </row>
    <row r="417">
      <c r="A417" t="inlineStr">
        <is>
          <t>No</t>
        </is>
      </c>
      <c r="B417" t="inlineStr">
        <is>
          <t>BT202 .S5 1971</t>
        </is>
      </c>
      <c r="C417" t="inlineStr">
        <is>
          <t>0                      BT 0202000S  5           1971</t>
        </is>
      </c>
      <c r="D417" t="inlineStr">
        <is>
          <t>What difference does Jesus make? / [By] F. J. Sheed.</t>
        </is>
      </c>
      <c r="F417" t="inlineStr">
        <is>
          <t>No</t>
        </is>
      </c>
      <c r="G417" t="inlineStr">
        <is>
          <t>1</t>
        </is>
      </c>
      <c r="H417" t="inlineStr">
        <is>
          <t>No</t>
        </is>
      </c>
      <c r="I417" t="inlineStr">
        <is>
          <t>No</t>
        </is>
      </c>
      <c r="J417" t="inlineStr">
        <is>
          <t>0</t>
        </is>
      </c>
      <c r="K417" t="inlineStr">
        <is>
          <t>Sheed, F. J. (Francis Joseph), 1897-1981.</t>
        </is>
      </c>
      <c r="L417" t="inlineStr">
        <is>
          <t>New York, Sheed and Ward [1971]</t>
        </is>
      </c>
      <c r="M417" t="inlineStr">
        <is>
          <t>1971</t>
        </is>
      </c>
      <c r="O417" t="inlineStr">
        <is>
          <t>eng</t>
        </is>
      </c>
      <c r="P417" t="inlineStr">
        <is>
          <t>nyu</t>
        </is>
      </c>
      <c r="R417" t="inlineStr">
        <is>
          <t xml:space="preserve">BT </t>
        </is>
      </c>
      <c r="S417" t="n">
        <v>6</v>
      </c>
      <c r="T417" t="n">
        <v>6</v>
      </c>
      <c r="U417" t="inlineStr">
        <is>
          <t>1998-04-20</t>
        </is>
      </c>
      <c r="V417" t="inlineStr">
        <is>
          <t>1998-04-20</t>
        </is>
      </c>
      <c r="W417" t="inlineStr">
        <is>
          <t>1990-03-21</t>
        </is>
      </c>
      <c r="X417" t="inlineStr">
        <is>
          <t>1990-03-21</t>
        </is>
      </c>
      <c r="Y417" t="n">
        <v>353</v>
      </c>
      <c r="Z417" t="n">
        <v>318</v>
      </c>
      <c r="AA417" t="n">
        <v>350</v>
      </c>
      <c r="AB417" t="n">
        <v>4</v>
      </c>
      <c r="AC417" t="n">
        <v>4</v>
      </c>
      <c r="AD417" t="n">
        <v>26</v>
      </c>
      <c r="AE417" t="n">
        <v>27</v>
      </c>
      <c r="AF417" t="n">
        <v>8</v>
      </c>
      <c r="AG417" t="n">
        <v>8</v>
      </c>
      <c r="AH417" t="n">
        <v>5</v>
      </c>
      <c r="AI417" t="n">
        <v>5</v>
      </c>
      <c r="AJ417" t="n">
        <v>21</v>
      </c>
      <c r="AK417" t="n">
        <v>22</v>
      </c>
      <c r="AL417" t="n">
        <v>1</v>
      </c>
      <c r="AM417" t="n">
        <v>1</v>
      </c>
      <c r="AN417" t="n">
        <v>0</v>
      </c>
      <c r="AO417" t="n">
        <v>0</v>
      </c>
      <c r="AP417" t="inlineStr">
        <is>
          <t>No</t>
        </is>
      </c>
      <c r="AQ417" t="inlineStr">
        <is>
          <t>Yes</t>
        </is>
      </c>
      <c r="AR417">
        <f>HYPERLINK("http://catalog.hathitrust.org/Record/012264123","HathiTrust Record")</f>
        <v/>
      </c>
      <c r="AS417">
        <f>HYPERLINK("https://creighton-primo.hosted.exlibrisgroup.com/primo-explore/search?tab=default_tab&amp;search_scope=EVERYTHING&amp;vid=01CRU&amp;lang=en_US&amp;offset=0&amp;query=any,contains,991001363249702656","Catalog Record")</f>
        <v/>
      </c>
      <c r="AT417">
        <f>HYPERLINK("http://www.worldcat.org/oclc/222049","WorldCat Record")</f>
        <v/>
      </c>
      <c r="AU417" t="inlineStr">
        <is>
          <t>50133666:eng</t>
        </is>
      </c>
      <c r="AV417" t="inlineStr">
        <is>
          <t>222049</t>
        </is>
      </c>
      <c r="AW417" t="inlineStr">
        <is>
          <t>991001363249702656</t>
        </is>
      </c>
      <c r="AX417" t="inlineStr">
        <is>
          <t>991001363249702656</t>
        </is>
      </c>
      <c r="AY417" t="inlineStr">
        <is>
          <t>2262139370002656</t>
        </is>
      </c>
      <c r="AZ417" t="inlineStr">
        <is>
          <t>BOOK</t>
        </is>
      </c>
      <c r="BB417" t="inlineStr">
        <is>
          <t>9780836213294</t>
        </is>
      </c>
      <c r="BC417" t="inlineStr">
        <is>
          <t>32285000088947</t>
        </is>
      </c>
      <c r="BD417" t="inlineStr">
        <is>
          <t>893244072</t>
        </is>
      </c>
    </row>
    <row r="418">
      <c r="A418" t="inlineStr">
        <is>
          <t>No</t>
        </is>
      </c>
      <c r="B418" t="inlineStr">
        <is>
          <t>BT202 .S54 1983</t>
        </is>
      </c>
      <c r="C418" t="inlineStr">
        <is>
          <t>0                      BT 0202000S  54          1983</t>
        </is>
      </c>
      <c r="D418" t="inlineStr">
        <is>
          <t>An experience named spirit / by John Shea.</t>
        </is>
      </c>
      <c r="F418" t="inlineStr">
        <is>
          <t>No</t>
        </is>
      </c>
      <c r="G418" t="inlineStr">
        <is>
          <t>1</t>
        </is>
      </c>
      <c r="H418" t="inlineStr">
        <is>
          <t>No</t>
        </is>
      </c>
      <c r="I418" t="inlineStr">
        <is>
          <t>No</t>
        </is>
      </c>
      <c r="J418" t="inlineStr">
        <is>
          <t>0</t>
        </is>
      </c>
      <c r="K418" t="inlineStr">
        <is>
          <t>Shea, John.</t>
        </is>
      </c>
      <c r="L418" t="inlineStr">
        <is>
          <t>Chicago : Thomas More Press, 1983.</t>
        </is>
      </c>
      <c r="M418" t="inlineStr">
        <is>
          <t>1983</t>
        </is>
      </c>
      <c r="O418" t="inlineStr">
        <is>
          <t>eng</t>
        </is>
      </c>
      <c r="P418" t="inlineStr">
        <is>
          <t>ilu</t>
        </is>
      </c>
      <c r="R418" t="inlineStr">
        <is>
          <t xml:space="preserve">BT </t>
        </is>
      </c>
      <c r="S418" t="n">
        <v>7</v>
      </c>
      <c r="T418" t="n">
        <v>7</v>
      </c>
      <c r="U418" t="inlineStr">
        <is>
          <t>2005-07-01</t>
        </is>
      </c>
      <c r="V418" t="inlineStr">
        <is>
          <t>2005-07-01</t>
        </is>
      </c>
      <c r="W418" t="inlineStr">
        <is>
          <t>1991-08-12</t>
        </is>
      </c>
      <c r="X418" t="inlineStr">
        <is>
          <t>1991-08-12</t>
        </is>
      </c>
      <c r="Y418" t="n">
        <v>207</v>
      </c>
      <c r="Z418" t="n">
        <v>177</v>
      </c>
      <c r="AA418" t="n">
        <v>192</v>
      </c>
      <c r="AB418" t="n">
        <v>3</v>
      </c>
      <c r="AC418" t="n">
        <v>3</v>
      </c>
      <c r="AD418" t="n">
        <v>22</v>
      </c>
      <c r="AE418" t="n">
        <v>22</v>
      </c>
      <c r="AF418" t="n">
        <v>5</v>
      </c>
      <c r="AG418" t="n">
        <v>5</v>
      </c>
      <c r="AH418" t="n">
        <v>5</v>
      </c>
      <c r="AI418" t="n">
        <v>5</v>
      </c>
      <c r="AJ418" t="n">
        <v>17</v>
      </c>
      <c r="AK418" t="n">
        <v>17</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HYPERLINK("https://creighton-primo.hosted.exlibrisgroup.com/primo-explore/search?tab=default_tab&amp;search_scope=EVERYTHING&amp;vid=01CRU&amp;lang=en_US&amp;offset=0&amp;query=any,contains,991000376749702656","Catalog Record")</f>
        <v/>
      </c>
      <c r="AT418">
        <f>HYPERLINK("http://www.worldcat.org/oclc/10472825","WorldCat Record")</f>
        <v/>
      </c>
      <c r="AU418" t="inlineStr">
        <is>
          <t>3187212:eng</t>
        </is>
      </c>
      <c r="AV418" t="inlineStr">
        <is>
          <t>10472825</t>
        </is>
      </c>
      <c r="AW418" t="inlineStr">
        <is>
          <t>991000376749702656</t>
        </is>
      </c>
      <c r="AX418" t="inlineStr">
        <is>
          <t>991000376749702656</t>
        </is>
      </c>
      <c r="AY418" t="inlineStr">
        <is>
          <t>2261760350002656</t>
        </is>
      </c>
      <c r="AZ418" t="inlineStr">
        <is>
          <t>BOOK</t>
        </is>
      </c>
      <c r="BB418" t="inlineStr">
        <is>
          <t>9780883471647</t>
        </is>
      </c>
      <c r="BC418" t="inlineStr">
        <is>
          <t>32285000711654</t>
        </is>
      </c>
      <c r="BD418" t="inlineStr">
        <is>
          <t>893802712</t>
        </is>
      </c>
    </row>
    <row r="419">
      <c r="A419" t="inlineStr">
        <is>
          <t>No</t>
        </is>
      </c>
      <c r="B419" t="inlineStr">
        <is>
          <t>BT202 .S56 1986</t>
        </is>
      </c>
      <c r="C419" t="inlineStr">
        <is>
          <t>0                      BT 0202000S  56          1986</t>
        </is>
      </c>
      <c r="D419" t="inlineStr">
        <is>
          <t>The Jesus tradition : images of Jesus in the West / Gerard S. Sloyan ; foreword by Donald Senior, C.P.</t>
        </is>
      </c>
      <c r="F419" t="inlineStr">
        <is>
          <t>No</t>
        </is>
      </c>
      <c r="G419" t="inlineStr">
        <is>
          <t>1</t>
        </is>
      </c>
      <c r="H419" t="inlineStr">
        <is>
          <t>No</t>
        </is>
      </c>
      <c r="I419" t="inlineStr">
        <is>
          <t>No</t>
        </is>
      </c>
      <c r="J419" t="inlineStr">
        <is>
          <t>0</t>
        </is>
      </c>
      <c r="K419" t="inlineStr">
        <is>
          <t>Sloyan, Gerard S., 1919-</t>
        </is>
      </c>
      <c r="L419" t="inlineStr">
        <is>
          <t>Mystic, Conn. : Twenty-Third Publications, c1986.</t>
        </is>
      </c>
      <c r="M419" t="inlineStr">
        <is>
          <t>1986</t>
        </is>
      </c>
      <c r="O419" t="inlineStr">
        <is>
          <t>eng</t>
        </is>
      </c>
      <c r="P419" t="inlineStr">
        <is>
          <t>ctu</t>
        </is>
      </c>
      <c r="R419" t="inlineStr">
        <is>
          <t xml:space="preserve">BT </t>
        </is>
      </c>
      <c r="S419" t="n">
        <v>2</v>
      </c>
      <c r="T419" t="n">
        <v>2</v>
      </c>
      <c r="U419" t="inlineStr">
        <is>
          <t>1998-05-30</t>
        </is>
      </c>
      <c r="V419" t="inlineStr">
        <is>
          <t>1998-05-30</t>
        </is>
      </c>
      <c r="W419" t="inlineStr">
        <is>
          <t>1990-10-01</t>
        </is>
      </c>
      <c r="X419" t="inlineStr">
        <is>
          <t>1990-10-01</t>
        </is>
      </c>
      <c r="Y419" t="n">
        <v>298</v>
      </c>
      <c r="Z419" t="n">
        <v>259</v>
      </c>
      <c r="AA419" t="n">
        <v>259</v>
      </c>
      <c r="AB419" t="n">
        <v>2</v>
      </c>
      <c r="AC419" t="n">
        <v>2</v>
      </c>
      <c r="AD419" t="n">
        <v>31</v>
      </c>
      <c r="AE419" t="n">
        <v>31</v>
      </c>
      <c r="AF419" t="n">
        <v>11</v>
      </c>
      <c r="AG419" t="n">
        <v>11</v>
      </c>
      <c r="AH419" t="n">
        <v>8</v>
      </c>
      <c r="AI419" t="n">
        <v>8</v>
      </c>
      <c r="AJ419" t="n">
        <v>19</v>
      </c>
      <c r="AK419" t="n">
        <v>19</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HYPERLINK("https://creighton-primo.hosted.exlibrisgroup.com/primo-explore/search?tab=default_tab&amp;search_scope=EVERYTHING&amp;vid=01CRU&amp;lang=en_US&amp;offset=0&amp;query=any,contains,991000865719702656","Catalog Record")</f>
        <v/>
      </c>
      <c r="AT419">
        <f>HYPERLINK("http://www.worldcat.org/oclc/13745682","WorldCat Record")</f>
        <v/>
      </c>
      <c r="AU419" t="inlineStr">
        <is>
          <t>9370352628:eng</t>
        </is>
      </c>
      <c r="AV419" t="inlineStr">
        <is>
          <t>13745682</t>
        </is>
      </c>
      <c r="AW419" t="inlineStr">
        <is>
          <t>991000865719702656</t>
        </is>
      </c>
      <c r="AX419" t="inlineStr">
        <is>
          <t>991000865719702656</t>
        </is>
      </c>
      <c r="AY419" t="inlineStr">
        <is>
          <t>2266200950002656</t>
        </is>
      </c>
      <c r="AZ419" t="inlineStr">
        <is>
          <t>BOOK</t>
        </is>
      </c>
      <c r="BB419" t="inlineStr">
        <is>
          <t>9780896222854</t>
        </is>
      </c>
      <c r="BC419" t="inlineStr">
        <is>
          <t>32285000326008</t>
        </is>
      </c>
      <c r="BD419" t="inlineStr">
        <is>
          <t>893515685</t>
        </is>
      </c>
    </row>
    <row r="420">
      <c r="A420" t="inlineStr">
        <is>
          <t>No</t>
        </is>
      </c>
      <c r="B420" t="inlineStr">
        <is>
          <t>BT202 .S667 1993</t>
        </is>
      </c>
      <c r="C420" t="inlineStr">
        <is>
          <t>0                      BT 0202000S  667         1993</t>
        </is>
      </c>
      <c r="D420" t="inlineStr">
        <is>
          <t>This Hebrew Lord : a bishop's search for the authentic Jesus / John Shelby Spong.</t>
        </is>
      </c>
      <c r="F420" t="inlineStr">
        <is>
          <t>No</t>
        </is>
      </c>
      <c r="G420" t="inlineStr">
        <is>
          <t>1</t>
        </is>
      </c>
      <c r="H420" t="inlineStr">
        <is>
          <t>No</t>
        </is>
      </c>
      <c r="I420" t="inlineStr">
        <is>
          <t>No</t>
        </is>
      </c>
      <c r="J420" t="inlineStr">
        <is>
          <t>0</t>
        </is>
      </c>
      <c r="K420" t="inlineStr">
        <is>
          <t>Spong, John Shelby.</t>
        </is>
      </c>
      <c r="L420" t="inlineStr">
        <is>
          <t>[San Francisco] : HarperSanFrancisco, c1993.</t>
        </is>
      </c>
      <c r="M420" t="inlineStr">
        <is>
          <t>1993</t>
        </is>
      </c>
      <c r="N420" t="inlineStr">
        <is>
          <t>New ed.</t>
        </is>
      </c>
      <c r="O420" t="inlineStr">
        <is>
          <t>eng</t>
        </is>
      </c>
      <c r="P420" t="inlineStr">
        <is>
          <t>cau</t>
        </is>
      </c>
      <c r="R420" t="inlineStr">
        <is>
          <t xml:space="preserve">BT </t>
        </is>
      </c>
      <c r="S420" t="n">
        <v>4</v>
      </c>
      <c r="T420" t="n">
        <v>4</v>
      </c>
      <c r="U420" t="inlineStr">
        <is>
          <t>2008-06-13</t>
        </is>
      </c>
      <c r="V420" t="inlineStr">
        <is>
          <t>2008-06-13</t>
        </is>
      </c>
      <c r="W420" t="inlineStr">
        <is>
          <t>1999-05-10</t>
        </is>
      </c>
      <c r="X420" t="inlineStr">
        <is>
          <t>1999-05-10</t>
        </is>
      </c>
      <c r="Y420" t="n">
        <v>233</v>
      </c>
      <c r="Z420" t="n">
        <v>179</v>
      </c>
      <c r="AA420" t="n">
        <v>392</v>
      </c>
      <c r="AB420" t="n">
        <v>3</v>
      </c>
      <c r="AC420" t="n">
        <v>3</v>
      </c>
      <c r="AD420" t="n">
        <v>7</v>
      </c>
      <c r="AE420" t="n">
        <v>22</v>
      </c>
      <c r="AF420" t="n">
        <v>4</v>
      </c>
      <c r="AG420" t="n">
        <v>7</v>
      </c>
      <c r="AH420" t="n">
        <v>1</v>
      </c>
      <c r="AI420" t="n">
        <v>8</v>
      </c>
      <c r="AJ420" t="n">
        <v>3</v>
      </c>
      <c r="AK420" t="n">
        <v>14</v>
      </c>
      <c r="AL420" t="n">
        <v>1</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HYPERLINK("https://creighton-primo.hosted.exlibrisgroup.com/primo-explore/search?tab=default_tab&amp;search_scope=EVERYTHING&amp;vid=01CRU&amp;lang=en_US&amp;offset=0&amp;query=any,contains,991002052409702656","Catalog Record")</f>
        <v/>
      </c>
      <c r="AT420">
        <f>HYPERLINK("http://www.worldcat.org/oclc/26214278","WorldCat Record")</f>
        <v/>
      </c>
      <c r="AU420" t="inlineStr">
        <is>
          <t>479220:eng</t>
        </is>
      </c>
      <c r="AV420" t="inlineStr">
        <is>
          <t>26214278</t>
        </is>
      </c>
      <c r="AW420" t="inlineStr">
        <is>
          <t>991002052409702656</t>
        </is>
      </c>
      <c r="AX420" t="inlineStr">
        <is>
          <t>991002052409702656</t>
        </is>
      </c>
      <c r="AY420" t="inlineStr">
        <is>
          <t>2262777230002656</t>
        </is>
      </c>
      <c r="AZ420" t="inlineStr">
        <is>
          <t>BOOK</t>
        </is>
      </c>
      <c r="BB420" t="inlineStr">
        <is>
          <t>9780060675202</t>
        </is>
      </c>
      <c r="BC420" t="inlineStr">
        <is>
          <t>32285003559720</t>
        </is>
      </c>
      <c r="BD420" t="inlineStr">
        <is>
          <t>893347046</t>
        </is>
      </c>
    </row>
    <row r="421">
      <c r="A421" t="inlineStr">
        <is>
          <t>No</t>
        </is>
      </c>
      <c r="B421" t="inlineStr">
        <is>
          <t>BT202 .T39 1982</t>
        </is>
      </c>
      <c r="C421" t="inlineStr">
        <is>
          <t>0                      BT 0202000T  39          1982</t>
        </is>
      </c>
      <c r="D421" t="inlineStr">
        <is>
          <t>Images of the Christ : an enquiry into Christology / George H. Tavard.</t>
        </is>
      </c>
      <c r="F421" t="inlineStr">
        <is>
          <t>No</t>
        </is>
      </c>
      <c r="G421" t="inlineStr">
        <is>
          <t>1</t>
        </is>
      </c>
      <c r="H421" t="inlineStr">
        <is>
          <t>No</t>
        </is>
      </c>
      <c r="I421" t="inlineStr">
        <is>
          <t>No</t>
        </is>
      </c>
      <c r="J421" t="inlineStr">
        <is>
          <t>0</t>
        </is>
      </c>
      <c r="K421" t="inlineStr">
        <is>
          <t>Tavard, George H. (George Henry), 1922-2007.</t>
        </is>
      </c>
      <c r="L421" t="inlineStr">
        <is>
          <t>Washington, D.C. : University Press of America, c1982.</t>
        </is>
      </c>
      <c r="M421" t="inlineStr">
        <is>
          <t>1982</t>
        </is>
      </c>
      <c r="O421" t="inlineStr">
        <is>
          <t>eng</t>
        </is>
      </c>
      <c r="P421" t="inlineStr">
        <is>
          <t>dcu</t>
        </is>
      </c>
      <c r="R421" t="inlineStr">
        <is>
          <t xml:space="preserve">BT </t>
        </is>
      </c>
      <c r="S421" t="n">
        <v>1</v>
      </c>
      <c r="T421" t="n">
        <v>1</v>
      </c>
      <c r="U421" t="inlineStr">
        <is>
          <t>2010-12-03</t>
        </is>
      </c>
      <c r="V421" t="inlineStr">
        <is>
          <t>2010-12-03</t>
        </is>
      </c>
      <c r="W421" t="inlineStr">
        <is>
          <t>1991-08-12</t>
        </is>
      </c>
      <c r="X421" t="inlineStr">
        <is>
          <t>1991-08-12</t>
        </is>
      </c>
      <c r="Y421" t="n">
        <v>271</v>
      </c>
      <c r="Z421" t="n">
        <v>237</v>
      </c>
      <c r="AA421" t="n">
        <v>237</v>
      </c>
      <c r="AB421" t="n">
        <v>2</v>
      </c>
      <c r="AC421" t="n">
        <v>2</v>
      </c>
      <c r="AD421" t="n">
        <v>25</v>
      </c>
      <c r="AE421" t="n">
        <v>25</v>
      </c>
      <c r="AF421" t="n">
        <v>8</v>
      </c>
      <c r="AG421" t="n">
        <v>8</v>
      </c>
      <c r="AH421" t="n">
        <v>7</v>
      </c>
      <c r="AI421" t="n">
        <v>7</v>
      </c>
      <c r="AJ421" t="n">
        <v>18</v>
      </c>
      <c r="AK421" t="n">
        <v>18</v>
      </c>
      <c r="AL421" t="n">
        <v>1</v>
      </c>
      <c r="AM421" t="n">
        <v>1</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HYPERLINK("https://creighton-primo.hosted.exlibrisgroup.com/primo-explore/search?tab=default_tab&amp;search_scope=EVERYTHING&amp;vid=01CRU&amp;lang=en_US&amp;offset=0&amp;query=any,contains,991005206549702656","Catalog Record")</f>
        <v/>
      </c>
      <c r="AT421">
        <f>HYPERLINK("http://www.worldcat.org/oclc/8115301","WorldCat Record")</f>
        <v/>
      </c>
      <c r="AU421" t="inlineStr">
        <is>
          <t>30883893:eng</t>
        </is>
      </c>
      <c r="AV421" t="inlineStr">
        <is>
          <t>8115301</t>
        </is>
      </c>
      <c r="AW421" t="inlineStr">
        <is>
          <t>991005206549702656</t>
        </is>
      </c>
      <c r="AX421" t="inlineStr">
        <is>
          <t>991005206549702656</t>
        </is>
      </c>
      <c r="AY421" t="inlineStr">
        <is>
          <t>2258066030002656</t>
        </is>
      </c>
      <c r="AZ421" t="inlineStr">
        <is>
          <t>BOOK</t>
        </is>
      </c>
      <c r="BB421" t="inlineStr">
        <is>
          <t>9780819121295</t>
        </is>
      </c>
      <c r="BC421" t="inlineStr">
        <is>
          <t>32285000711670</t>
        </is>
      </c>
      <c r="BD421" t="inlineStr">
        <is>
          <t>893230371</t>
        </is>
      </c>
    </row>
    <row r="422">
      <c r="A422" t="inlineStr">
        <is>
          <t>No</t>
        </is>
      </c>
      <c r="B422" t="inlineStr">
        <is>
          <t>BT202 .T44 1992</t>
        </is>
      </c>
      <c r="C422" t="inlineStr">
        <is>
          <t>0                      BT 0202000T  44          1992</t>
        </is>
      </c>
      <c r="D422" t="inlineStr">
        <is>
          <t>Jesus &amp; the riddle of the Dead Sea scrolls : unlocking the secrets of His life story / Barbara Thiering.</t>
        </is>
      </c>
      <c r="F422" t="inlineStr">
        <is>
          <t>No</t>
        </is>
      </c>
      <c r="G422" t="inlineStr">
        <is>
          <t>1</t>
        </is>
      </c>
      <c r="H422" t="inlineStr">
        <is>
          <t>No</t>
        </is>
      </c>
      <c r="I422" t="inlineStr">
        <is>
          <t>No</t>
        </is>
      </c>
      <c r="J422" t="inlineStr">
        <is>
          <t>0</t>
        </is>
      </c>
      <c r="K422" t="inlineStr">
        <is>
          <t>Thiering, B. E. (Barbara Elizabeth)</t>
        </is>
      </c>
      <c r="L422" t="inlineStr">
        <is>
          <t>[San Francisco] : HarperSanFrancisco, c1992.</t>
        </is>
      </c>
      <c r="M422" t="inlineStr">
        <is>
          <t>1992</t>
        </is>
      </c>
      <c r="N422" t="inlineStr">
        <is>
          <t>1st HarperCollins ed.</t>
        </is>
      </c>
      <c r="O422" t="inlineStr">
        <is>
          <t>eng</t>
        </is>
      </c>
      <c r="P422" t="inlineStr">
        <is>
          <t>cau</t>
        </is>
      </c>
      <c r="R422" t="inlineStr">
        <is>
          <t xml:space="preserve">BT </t>
        </is>
      </c>
      <c r="S422" t="n">
        <v>6</v>
      </c>
      <c r="T422" t="n">
        <v>6</v>
      </c>
      <c r="U422" t="inlineStr">
        <is>
          <t>2000-02-05</t>
        </is>
      </c>
      <c r="V422" t="inlineStr">
        <is>
          <t>2000-02-05</t>
        </is>
      </c>
      <c r="W422" t="inlineStr">
        <is>
          <t>1992-10-13</t>
        </is>
      </c>
      <c r="X422" t="inlineStr">
        <is>
          <t>1992-10-13</t>
        </is>
      </c>
      <c r="Y422" t="n">
        <v>592</v>
      </c>
      <c r="Z422" t="n">
        <v>561</v>
      </c>
      <c r="AA422" t="n">
        <v>605</v>
      </c>
      <c r="AB422" t="n">
        <v>5</v>
      </c>
      <c r="AC422" t="n">
        <v>5</v>
      </c>
      <c r="AD422" t="n">
        <v>24</v>
      </c>
      <c r="AE422" t="n">
        <v>24</v>
      </c>
      <c r="AF422" t="n">
        <v>11</v>
      </c>
      <c r="AG422" t="n">
        <v>11</v>
      </c>
      <c r="AH422" t="n">
        <v>3</v>
      </c>
      <c r="AI422" t="n">
        <v>3</v>
      </c>
      <c r="AJ422" t="n">
        <v>13</v>
      </c>
      <c r="AK422" t="n">
        <v>13</v>
      </c>
      <c r="AL422" t="n">
        <v>3</v>
      </c>
      <c r="AM422" t="n">
        <v>3</v>
      </c>
      <c r="AN422" t="n">
        <v>0</v>
      </c>
      <c r="AO422" t="n">
        <v>0</v>
      </c>
      <c r="AP422" t="inlineStr">
        <is>
          <t>No</t>
        </is>
      </c>
      <c r="AQ422" t="inlineStr">
        <is>
          <t>Yes</t>
        </is>
      </c>
      <c r="AR422">
        <f>HYPERLINK("http://catalog.hathitrust.org/Record/002564066","HathiTrust Record")</f>
        <v/>
      </c>
      <c r="AS422">
        <f>HYPERLINK("https://creighton-primo.hosted.exlibrisgroup.com/primo-explore/search?tab=default_tab&amp;search_scope=EVERYTHING&amp;vid=01CRU&amp;lang=en_US&amp;offset=0&amp;query=any,contains,991002040419702656","Catalog Record")</f>
        <v/>
      </c>
      <c r="AT422">
        <f>HYPERLINK("http://www.worldcat.org/oclc/26026179","WorldCat Record")</f>
        <v/>
      </c>
      <c r="AU422" t="inlineStr">
        <is>
          <t>3901366635:eng</t>
        </is>
      </c>
      <c r="AV422" t="inlineStr">
        <is>
          <t>26026179</t>
        </is>
      </c>
      <c r="AW422" t="inlineStr">
        <is>
          <t>991002040419702656</t>
        </is>
      </c>
      <c r="AX422" t="inlineStr">
        <is>
          <t>991002040419702656</t>
        </is>
      </c>
      <c r="AY422" t="inlineStr">
        <is>
          <t>2263439460002656</t>
        </is>
      </c>
      <c r="AZ422" t="inlineStr">
        <is>
          <t>BOOK</t>
        </is>
      </c>
      <c r="BB422" t="inlineStr">
        <is>
          <t>9780060677824</t>
        </is>
      </c>
      <c r="BC422" t="inlineStr">
        <is>
          <t>32285001317089</t>
        </is>
      </c>
      <c r="BD422" t="inlineStr">
        <is>
          <t>893691150</t>
        </is>
      </c>
    </row>
    <row r="423">
      <c r="A423" t="inlineStr">
        <is>
          <t>No</t>
        </is>
      </c>
      <c r="B423" t="inlineStr">
        <is>
          <t>BT202 .T7513 1973b</t>
        </is>
      </c>
      <c r="C423" t="inlineStr">
        <is>
          <t>0                      BT 0202000T  7513        1973b</t>
        </is>
      </c>
      <c r="D423" t="inlineStr">
        <is>
          <t>Jesus and his contemporaries / Etienne Trocmé ; [translated from the French by R. A. Wilson].</t>
        </is>
      </c>
      <c r="F423" t="inlineStr">
        <is>
          <t>No</t>
        </is>
      </c>
      <c r="G423" t="inlineStr">
        <is>
          <t>1</t>
        </is>
      </c>
      <c r="H423" t="inlineStr">
        <is>
          <t>No</t>
        </is>
      </c>
      <c r="I423" t="inlineStr">
        <is>
          <t>No</t>
        </is>
      </c>
      <c r="J423" t="inlineStr">
        <is>
          <t>0</t>
        </is>
      </c>
      <c r="K423" t="inlineStr">
        <is>
          <t>Trocmé, Etienne, 1924-</t>
        </is>
      </c>
      <c r="L423" t="inlineStr">
        <is>
          <t>London, S.C.M. Press, 1973.</t>
        </is>
      </c>
      <c r="M423" t="inlineStr">
        <is>
          <t>1973</t>
        </is>
      </c>
      <c r="O423" t="inlineStr">
        <is>
          <t>eng</t>
        </is>
      </c>
      <c r="P423" t="inlineStr">
        <is>
          <t>enk</t>
        </is>
      </c>
      <c r="R423" t="inlineStr">
        <is>
          <t xml:space="preserve">BT </t>
        </is>
      </c>
      <c r="S423" t="n">
        <v>2</v>
      </c>
      <c r="T423" t="n">
        <v>2</v>
      </c>
      <c r="U423" t="inlineStr">
        <is>
          <t>1992-04-09</t>
        </is>
      </c>
      <c r="V423" t="inlineStr">
        <is>
          <t>1992-04-09</t>
        </is>
      </c>
      <c r="W423" t="inlineStr">
        <is>
          <t>1991-08-12</t>
        </is>
      </c>
      <c r="X423" t="inlineStr">
        <is>
          <t>1991-08-12</t>
        </is>
      </c>
      <c r="Y423" t="n">
        <v>179</v>
      </c>
      <c r="Z423" t="n">
        <v>65</v>
      </c>
      <c r="AA423" t="n">
        <v>437</v>
      </c>
      <c r="AB423" t="n">
        <v>1</v>
      </c>
      <c r="AC423" t="n">
        <v>4</v>
      </c>
      <c r="AD423" t="n">
        <v>4</v>
      </c>
      <c r="AE423" t="n">
        <v>25</v>
      </c>
      <c r="AF423" t="n">
        <v>1</v>
      </c>
      <c r="AG423" t="n">
        <v>7</v>
      </c>
      <c r="AH423" t="n">
        <v>0</v>
      </c>
      <c r="AI423" t="n">
        <v>4</v>
      </c>
      <c r="AJ423" t="n">
        <v>3</v>
      </c>
      <c r="AK423" t="n">
        <v>18</v>
      </c>
      <c r="AL423" t="n">
        <v>0</v>
      </c>
      <c r="AM423" t="n">
        <v>3</v>
      </c>
      <c r="AN423" t="n">
        <v>0</v>
      </c>
      <c r="AO423" t="n">
        <v>0</v>
      </c>
      <c r="AP423" t="inlineStr">
        <is>
          <t>No</t>
        </is>
      </c>
      <c r="AQ423" t="inlineStr">
        <is>
          <t>Yes</t>
        </is>
      </c>
      <c r="AR423">
        <f>HYPERLINK("http://catalog.hathitrust.org/Record/009801577","HathiTrust Record")</f>
        <v/>
      </c>
      <c r="AS423">
        <f>HYPERLINK("https://creighton-primo.hosted.exlibrisgroup.com/primo-explore/search?tab=default_tab&amp;search_scope=EVERYTHING&amp;vid=01CRU&amp;lang=en_US&amp;offset=0&amp;query=any,contains,991003317289702656","Catalog Record")</f>
        <v/>
      </c>
      <c r="AT423">
        <f>HYPERLINK("http://www.worldcat.org/oclc/842725","WorldCat Record")</f>
        <v/>
      </c>
      <c r="AU423" t="inlineStr">
        <is>
          <t>1563104:eng</t>
        </is>
      </c>
      <c r="AV423" t="inlineStr">
        <is>
          <t>842725</t>
        </is>
      </c>
      <c r="AW423" t="inlineStr">
        <is>
          <t>991003317289702656</t>
        </is>
      </c>
      <c r="AX423" t="inlineStr">
        <is>
          <t>991003317289702656</t>
        </is>
      </c>
      <c r="AY423" t="inlineStr">
        <is>
          <t>2262882140002656</t>
        </is>
      </c>
      <c r="AZ423" t="inlineStr">
        <is>
          <t>BOOK</t>
        </is>
      </c>
      <c r="BB423" t="inlineStr">
        <is>
          <t>9780334007678</t>
        </is>
      </c>
      <c r="BC423" t="inlineStr">
        <is>
          <t>32285000711712</t>
        </is>
      </c>
      <c r="BD423" t="inlineStr">
        <is>
          <t>893531074</t>
        </is>
      </c>
    </row>
    <row r="424">
      <c r="A424" t="inlineStr">
        <is>
          <t>No</t>
        </is>
      </c>
      <c r="B424" t="inlineStr">
        <is>
          <t>BT202 .T897 1989</t>
        </is>
      </c>
      <c r="C424" t="inlineStr">
        <is>
          <t>0                      BT 0202000T  897         1989</t>
        </is>
      </c>
      <c r="D424" t="inlineStr">
        <is>
          <t>Christointegration : the transforming love of Jesus Christ / by Bernard J. Tyrrell.</t>
        </is>
      </c>
      <c r="F424" t="inlineStr">
        <is>
          <t>No</t>
        </is>
      </c>
      <c r="G424" t="inlineStr">
        <is>
          <t>1</t>
        </is>
      </c>
      <c r="H424" t="inlineStr">
        <is>
          <t>No</t>
        </is>
      </c>
      <c r="I424" t="inlineStr">
        <is>
          <t>No</t>
        </is>
      </c>
      <c r="J424" t="inlineStr">
        <is>
          <t>0</t>
        </is>
      </c>
      <c r="K424" t="inlineStr">
        <is>
          <t>Tyrrell, Bernard, 1933-</t>
        </is>
      </c>
      <c r="L424" t="inlineStr">
        <is>
          <t>New York : Paulist Press, c1989.</t>
        </is>
      </c>
      <c r="M424" t="inlineStr">
        <is>
          <t>1989</t>
        </is>
      </c>
      <c r="O424" t="inlineStr">
        <is>
          <t>eng</t>
        </is>
      </c>
      <c r="P424" t="inlineStr">
        <is>
          <t>nyu</t>
        </is>
      </c>
      <c r="Q424" t="inlineStr">
        <is>
          <t>Integration books</t>
        </is>
      </c>
      <c r="R424" t="inlineStr">
        <is>
          <t xml:space="preserve">BT </t>
        </is>
      </c>
      <c r="S424" t="n">
        <v>2</v>
      </c>
      <c r="T424" t="n">
        <v>2</v>
      </c>
      <c r="U424" t="inlineStr">
        <is>
          <t>1993-07-05</t>
        </is>
      </c>
      <c r="V424" t="inlineStr">
        <is>
          <t>1993-07-05</t>
        </is>
      </c>
      <c r="W424" t="inlineStr">
        <is>
          <t>1990-06-18</t>
        </is>
      </c>
      <c r="X424" t="inlineStr">
        <is>
          <t>1990-06-18</t>
        </is>
      </c>
      <c r="Y424" t="n">
        <v>124</v>
      </c>
      <c r="Z424" t="n">
        <v>105</v>
      </c>
      <c r="AA424" t="n">
        <v>110</v>
      </c>
      <c r="AB424" t="n">
        <v>1</v>
      </c>
      <c r="AC424" t="n">
        <v>1</v>
      </c>
      <c r="AD424" t="n">
        <v>17</v>
      </c>
      <c r="AE424" t="n">
        <v>17</v>
      </c>
      <c r="AF424" t="n">
        <v>6</v>
      </c>
      <c r="AG424" t="n">
        <v>6</v>
      </c>
      <c r="AH424" t="n">
        <v>4</v>
      </c>
      <c r="AI424" t="n">
        <v>4</v>
      </c>
      <c r="AJ424" t="n">
        <v>11</v>
      </c>
      <c r="AK424" t="n">
        <v>11</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HYPERLINK("https://creighton-primo.hosted.exlibrisgroup.com/primo-explore/search?tab=default_tab&amp;search_scope=EVERYTHING&amp;vid=01CRU&amp;lang=en_US&amp;offset=0&amp;query=any,contains,991001518939702656","Catalog Record")</f>
        <v/>
      </c>
      <c r="AT424">
        <f>HYPERLINK("http://www.worldcat.org/oclc/19970841","WorldCat Record")</f>
        <v/>
      </c>
      <c r="AU424" t="inlineStr">
        <is>
          <t>21454853:eng</t>
        </is>
      </c>
      <c r="AV424" t="inlineStr">
        <is>
          <t>19970841</t>
        </is>
      </c>
      <c r="AW424" t="inlineStr">
        <is>
          <t>991001518939702656</t>
        </is>
      </c>
      <c r="AX424" t="inlineStr">
        <is>
          <t>991001518939702656</t>
        </is>
      </c>
      <c r="AY424" t="inlineStr">
        <is>
          <t>2261928300002656</t>
        </is>
      </c>
      <c r="AZ424" t="inlineStr">
        <is>
          <t>BOOK</t>
        </is>
      </c>
      <c r="BB424" t="inlineStr">
        <is>
          <t>9780809130986</t>
        </is>
      </c>
      <c r="BC424" t="inlineStr">
        <is>
          <t>32285000177955</t>
        </is>
      </c>
      <c r="BD424" t="inlineStr">
        <is>
          <t>893897833</t>
        </is>
      </c>
    </row>
    <row r="425">
      <c r="A425" t="inlineStr">
        <is>
          <t>No</t>
        </is>
      </c>
      <c r="B425" t="inlineStr">
        <is>
          <t>BT202 .V33</t>
        </is>
      </c>
      <c r="C425" t="inlineStr">
        <is>
          <t>0                      BT 0202000V  33</t>
        </is>
      </c>
      <c r="D425" t="inlineStr">
        <is>
          <t>This man Jesus : an essay toward a New Testament Christology / Bruce Vawter.</t>
        </is>
      </c>
      <c r="F425" t="inlineStr">
        <is>
          <t>No</t>
        </is>
      </c>
      <c r="G425" t="inlineStr">
        <is>
          <t>1</t>
        </is>
      </c>
      <c r="H425" t="inlineStr">
        <is>
          <t>No</t>
        </is>
      </c>
      <c r="I425" t="inlineStr">
        <is>
          <t>No</t>
        </is>
      </c>
      <c r="J425" t="inlineStr">
        <is>
          <t>0</t>
        </is>
      </c>
      <c r="K425" t="inlineStr">
        <is>
          <t>Vawter, Bruce.</t>
        </is>
      </c>
      <c r="L425" t="inlineStr">
        <is>
          <t>Garden City, N.Y., Doubleday, 1973.</t>
        </is>
      </c>
      <c r="M425" t="inlineStr">
        <is>
          <t>1973</t>
        </is>
      </c>
      <c r="N425" t="inlineStr">
        <is>
          <t>[1st ed.]</t>
        </is>
      </c>
      <c r="O425" t="inlineStr">
        <is>
          <t>eng</t>
        </is>
      </c>
      <c r="P425" t="inlineStr">
        <is>
          <t>nyu</t>
        </is>
      </c>
      <c r="R425" t="inlineStr">
        <is>
          <t xml:space="preserve">BT </t>
        </is>
      </c>
      <c r="S425" t="n">
        <v>1</v>
      </c>
      <c r="T425" t="n">
        <v>1</v>
      </c>
      <c r="U425" t="inlineStr">
        <is>
          <t>2009-07-09</t>
        </is>
      </c>
      <c r="V425" t="inlineStr">
        <is>
          <t>2009-07-09</t>
        </is>
      </c>
      <c r="W425" t="inlineStr">
        <is>
          <t>1991-08-12</t>
        </is>
      </c>
      <c r="X425" t="inlineStr">
        <is>
          <t>1991-08-12</t>
        </is>
      </c>
      <c r="Y425" t="n">
        <v>539</v>
      </c>
      <c r="Z425" t="n">
        <v>468</v>
      </c>
      <c r="AA425" t="n">
        <v>498</v>
      </c>
      <c r="AB425" t="n">
        <v>5</v>
      </c>
      <c r="AC425" t="n">
        <v>5</v>
      </c>
      <c r="AD425" t="n">
        <v>38</v>
      </c>
      <c r="AE425" t="n">
        <v>40</v>
      </c>
      <c r="AF425" t="n">
        <v>14</v>
      </c>
      <c r="AG425" t="n">
        <v>14</v>
      </c>
      <c r="AH425" t="n">
        <v>9</v>
      </c>
      <c r="AI425" t="n">
        <v>9</v>
      </c>
      <c r="AJ425" t="n">
        <v>25</v>
      </c>
      <c r="AK425" t="n">
        <v>27</v>
      </c>
      <c r="AL425" t="n">
        <v>3</v>
      </c>
      <c r="AM425" t="n">
        <v>3</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HYPERLINK("https://creighton-primo.hosted.exlibrisgroup.com/primo-explore/search?tab=default_tab&amp;search_scope=EVERYTHING&amp;vid=01CRU&amp;lang=en_US&amp;offset=0&amp;query=any,contains,991003151009702656","Catalog Record")</f>
        <v/>
      </c>
      <c r="AT425">
        <f>HYPERLINK("http://www.worldcat.org/oclc/690471","WorldCat Record")</f>
        <v/>
      </c>
      <c r="AU425" t="inlineStr">
        <is>
          <t>1783950:eng</t>
        </is>
      </c>
      <c r="AV425" t="inlineStr">
        <is>
          <t>690471</t>
        </is>
      </c>
      <c r="AW425" t="inlineStr">
        <is>
          <t>991003151009702656</t>
        </is>
      </c>
      <c r="AX425" t="inlineStr">
        <is>
          <t>991003151009702656</t>
        </is>
      </c>
      <c r="AY425" t="inlineStr">
        <is>
          <t>2260607380002656</t>
        </is>
      </c>
      <c r="AZ425" t="inlineStr">
        <is>
          <t>BOOK</t>
        </is>
      </c>
      <c r="BB425" t="inlineStr">
        <is>
          <t>9780385040082</t>
        </is>
      </c>
      <c r="BC425" t="inlineStr">
        <is>
          <t>32285005537492</t>
        </is>
      </c>
      <c r="BD425" t="inlineStr">
        <is>
          <t>893317692</t>
        </is>
      </c>
    </row>
    <row r="426">
      <c r="A426" t="inlineStr">
        <is>
          <t>No</t>
        </is>
      </c>
      <c r="B426" t="inlineStr">
        <is>
          <t>BT202 .W28 1998</t>
        </is>
      </c>
      <c r="C426" t="inlineStr">
        <is>
          <t>0                      BT 0202000W  28          1998</t>
        </is>
      </c>
      <c r="D426" t="inlineStr">
        <is>
          <t>Shall we look for another? : a feminist rereading of the Matthean Jesus / Elaine M. Wainwright.</t>
        </is>
      </c>
      <c r="F426" t="inlineStr">
        <is>
          <t>No</t>
        </is>
      </c>
      <c r="G426" t="inlineStr">
        <is>
          <t>1</t>
        </is>
      </c>
      <c r="H426" t="inlineStr">
        <is>
          <t>No</t>
        </is>
      </c>
      <c r="I426" t="inlineStr">
        <is>
          <t>No</t>
        </is>
      </c>
      <c r="J426" t="inlineStr">
        <is>
          <t>0</t>
        </is>
      </c>
      <c r="K426" t="inlineStr">
        <is>
          <t>Wainwright, Elaine Mary, 1948-</t>
        </is>
      </c>
      <c r="L426" t="inlineStr">
        <is>
          <t>Maryknoll, N.Y. : Orbis Books, c1998.</t>
        </is>
      </c>
      <c r="M426" t="inlineStr">
        <is>
          <t>1998</t>
        </is>
      </c>
      <c r="O426" t="inlineStr">
        <is>
          <t>eng</t>
        </is>
      </c>
      <c r="P426" t="inlineStr">
        <is>
          <t>nyu</t>
        </is>
      </c>
      <c r="Q426" t="inlineStr">
        <is>
          <t>The Bible &amp; liberation</t>
        </is>
      </c>
      <c r="R426" t="inlineStr">
        <is>
          <t xml:space="preserve">BT </t>
        </is>
      </c>
      <c r="S426" t="n">
        <v>1</v>
      </c>
      <c r="T426" t="n">
        <v>1</v>
      </c>
      <c r="U426" t="inlineStr">
        <is>
          <t>2000-10-25</t>
        </is>
      </c>
      <c r="V426" t="inlineStr">
        <is>
          <t>2000-10-25</t>
        </is>
      </c>
      <c r="W426" t="inlineStr">
        <is>
          <t>2000-10-25</t>
        </is>
      </c>
      <c r="X426" t="inlineStr">
        <is>
          <t>2000-10-25</t>
        </is>
      </c>
      <c r="Y426" t="n">
        <v>278</v>
      </c>
      <c r="Z426" t="n">
        <v>209</v>
      </c>
      <c r="AA426" t="n">
        <v>211</v>
      </c>
      <c r="AB426" t="n">
        <v>3</v>
      </c>
      <c r="AC426" t="n">
        <v>3</v>
      </c>
      <c r="AD426" t="n">
        <v>22</v>
      </c>
      <c r="AE426" t="n">
        <v>22</v>
      </c>
      <c r="AF426" t="n">
        <v>7</v>
      </c>
      <c r="AG426" t="n">
        <v>7</v>
      </c>
      <c r="AH426" t="n">
        <v>6</v>
      </c>
      <c r="AI426" t="n">
        <v>6</v>
      </c>
      <c r="AJ426" t="n">
        <v>13</v>
      </c>
      <c r="AK426" t="n">
        <v>13</v>
      </c>
      <c r="AL426" t="n">
        <v>2</v>
      </c>
      <c r="AM426" t="n">
        <v>2</v>
      </c>
      <c r="AN426" t="n">
        <v>0</v>
      </c>
      <c r="AO426" t="n">
        <v>0</v>
      </c>
      <c r="AP426" t="inlineStr">
        <is>
          <t>No</t>
        </is>
      </c>
      <c r="AQ426" t="inlineStr">
        <is>
          <t>Yes</t>
        </is>
      </c>
      <c r="AR426">
        <f>HYPERLINK("http://catalog.hathitrust.org/Record/003976230","HathiTrust Record")</f>
        <v/>
      </c>
      <c r="AS426">
        <f>HYPERLINK("https://creighton-primo.hosted.exlibrisgroup.com/primo-explore/search?tab=default_tab&amp;search_scope=EVERYTHING&amp;vid=01CRU&amp;lang=en_US&amp;offset=0&amp;query=any,contains,991003242289702656","Catalog Record")</f>
        <v/>
      </c>
      <c r="AT426">
        <f>HYPERLINK("http://www.worldcat.org/oclc/38105609","WorldCat Record")</f>
        <v/>
      </c>
      <c r="AU426" t="inlineStr">
        <is>
          <t>474988591:eng</t>
        </is>
      </c>
      <c r="AV426" t="inlineStr">
        <is>
          <t>38105609</t>
        </is>
      </c>
      <c r="AW426" t="inlineStr">
        <is>
          <t>991003242289702656</t>
        </is>
      </c>
      <c r="AX426" t="inlineStr">
        <is>
          <t>991003242289702656</t>
        </is>
      </c>
      <c r="AY426" t="inlineStr">
        <is>
          <t>2268250340002656</t>
        </is>
      </c>
      <c r="AZ426" t="inlineStr">
        <is>
          <t>BOOK</t>
        </is>
      </c>
      <c r="BB426" t="inlineStr">
        <is>
          <t>9781570751844</t>
        </is>
      </c>
      <c r="BC426" t="inlineStr">
        <is>
          <t>32285004260575</t>
        </is>
      </c>
      <c r="BD426" t="inlineStr">
        <is>
          <t>893342372</t>
        </is>
      </c>
    </row>
    <row r="427">
      <c r="A427" t="inlineStr">
        <is>
          <t>No</t>
        </is>
      </c>
      <c r="B427" t="inlineStr">
        <is>
          <t>BT202 .W4313 1975</t>
        </is>
      </c>
      <c r="C427" t="inlineStr">
        <is>
          <t>0                      BT 0202000W  4313        1975</t>
        </is>
      </c>
      <c r="D427" t="inlineStr">
        <is>
          <t>Jesus, Son of God : encounter and confession of faith / by Eugen Weiler and Wolfgang Stadler ; photos. by Erich Lessing ; translated by Matthew J. O'Connell.</t>
        </is>
      </c>
      <c r="F427" t="inlineStr">
        <is>
          <t>No</t>
        </is>
      </c>
      <c r="G427" t="inlineStr">
        <is>
          <t>1</t>
        </is>
      </c>
      <c r="H427" t="inlineStr">
        <is>
          <t>No</t>
        </is>
      </c>
      <c r="I427" t="inlineStr">
        <is>
          <t>No</t>
        </is>
      </c>
      <c r="J427" t="inlineStr">
        <is>
          <t>0</t>
        </is>
      </c>
      <c r="K427" t="inlineStr">
        <is>
          <t>Weiler, Eugen.</t>
        </is>
      </c>
      <c r="L427" t="inlineStr">
        <is>
          <t>Chicago : Franciscan Herald Press, 1975.</t>
        </is>
      </c>
      <c r="M427" t="inlineStr">
        <is>
          <t>1975</t>
        </is>
      </c>
      <c r="O427" t="inlineStr">
        <is>
          <t>eng</t>
        </is>
      </c>
      <c r="P427" t="inlineStr">
        <is>
          <t>ilu</t>
        </is>
      </c>
      <c r="R427" t="inlineStr">
        <is>
          <t xml:space="preserve">BT </t>
        </is>
      </c>
      <c r="S427" t="n">
        <v>2</v>
      </c>
      <c r="T427" t="n">
        <v>2</v>
      </c>
      <c r="U427" t="inlineStr">
        <is>
          <t>2000-09-14</t>
        </is>
      </c>
      <c r="V427" t="inlineStr">
        <is>
          <t>2000-09-14</t>
        </is>
      </c>
      <c r="W427" t="inlineStr">
        <is>
          <t>1991-08-12</t>
        </is>
      </c>
      <c r="X427" t="inlineStr">
        <is>
          <t>1991-08-12</t>
        </is>
      </c>
      <c r="Y427" t="n">
        <v>101</v>
      </c>
      <c r="Z427" t="n">
        <v>96</v>
      </c>
      <c r="AA427" t="n">
        <v>98</v>
      </c>
      <c r="AB427" t="n">
        <v>2</v>
      </c>
      <c r="AC427" t="n">
        <v>2</v>
      </c>
      <c r="AD427" t="n">
        <v>7</v>
      </c>
      <c r="AE427" t="n">
        <v>7</v>
      </c>
      <c r="AF427" t="n">
        <v>1</v>
      </c>
      <c r="AG427" t="n">
        <v>1</v>
      </c>
      <c r="AH427" t="n">
        <v>2</v>
      </c>
      <c r="AI427" t="n">
        <v>2</v>
      </c>
      <c r="AJ427" t="n">
        <v>5</v>
      </c>
      <c r="AK427" t="n">
        <v>5</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HYPERLINK("https://creighton-primo.hosted.exlibrisgroup.com/primo-explore/search?tab=default_tab&amp;search_scope=EVERYTHING&amp;vid=01CRU&amp;lang=en_US&amp;offset=0&amp;query=any,contains,991003662489702656","Catalog Record")</f>
        <v/>
      </c>
      <c r="AT427">
        <f>HYPERLINK("http://www.worldcat.org/oclc/1273433","WorldCat Record")</f>
        <v/>
      </c>
      <c r="AU427" t="inlineStr">
        <is>
          <t>893543030:eng</t>
        </is>
      </c>
      <c r="AV427" t="inlineStr">
        <is>
          <t>1273433</t>
        </is>
      </c>
      <c r="AW427" t="inlineStr">
        <is>
          <t>991003662489702656</t>
        </is>
      </c>
      <c r="AX427" t="inlineStr">
        <is>
          <t>991003662489702656</t>
        </is>
      </c>
      <c r="AY427" t="inlineStr">
        <is>
          <t>2267775250002656</t>
        </is>
      </c>
      <c r="AZ427" t="inlineStr">
        <is>
          <t>BOOK</t>
        </is>
      </c>
      <c r="BB427" t="inlineStr">
        <is>
          <t>9780819905628</t>
        </is>
      </c>
      <c r="BC427" t="inlineStr">
        <is>
          <t>32285000711795</t>
        </is>
      </c>
      <c r="BD427" t="inlineStr">
        <is>
          <t>893252601</t>
        </is>
      </c>
    </row>
    <row r="428">
      <c r="A428" t="inlineStr">
        <is>
          <t>No</t>
        </is>
      </c>
      <c r="B428" t="inlineStr">
        <is>
          <t>BT202 .W595 1991</t>
        </is>
      </c>
      <c r="C428" t="inlineStr">
        <is>
          <t>0                      BT 0202000W  595         1991</t>
        </is>
      </c>
      <c r="D428" t="inlineStr">
        <is>
          <t>Jesus, man of joy / Sherwood Eliot Wirt.</t>
        </is>
      </c>
      <c r="F428" t="inlineStr">
        <is>
          <t>No</t>
        </is>
      </c>
      <c r="G428" t="inlineStr">
        <is>
          <t>1</t>
        </is>
      </c>
      <c r="H428" t="inlineStr">
        <is>
          <t>No</t>
        </is>
      </c>
      <c r="I428" t="inlineStr">
        <is>
          <t>No</t>
        </is>
      </c>
      <c r="J428" t="inlineStr">
        <is>
          <t>0</t>
        </is>
      </c>
      <c r="K428" t="inlineStr">
        <is>
          <t>Wirt, Sherwood Eliot.</t>
        </is>
      </c>
      <c r="L428" t="inlineStr">
        <is>
          <t>San Bernadino, CA : Here's Life Publishers, c1991.</t>
        </is>
      </c>
      <c r="M428" t="inlineStr">
        <is>
          <t>1991</t>
        </is>
      </c>
      <c r="O428" t="inlineStr">
        <is>
          <t>eng</t>
        </is>
      </c>
      <c r="P428" t="inlineStr">
        <is>
          <t>cau</t>
        </is>
      </c>
      <c r="R428" t="inlineStr">
        <is>
          <t xml:space="preserve">BT </t>
        </is>
      </c>
      <c r="S428" t="n">
        <v>1</v>
      </c>
      <c r="T428" t="n">
        <v>1</v>
      </c>
      <c r="U428" t="inlineStr">
        <is>
          <t>2006-09-19</t>
        </is>
      </c>
      <c r="V428" t="inlineStr">
        <is>
          <t>2006-09-19</t>
        </is>
      </c>
      <c r="W428" t="inlineStr">
        <is>
          <t>2006-09-19</t>
        </is>
      </c>
      <c r="X428" t="inlineStr">
        <is>
          <t>2006-09-19</t>
        </is>
      </c>
      <c r="Y428" t="n">
        <v>63</v>
      </c>
      <c r="Z428" t="n">
        <v>61</v>
      </c>
      <c r="AA428" t="n">
        <v>163</v>
      </c>
      <c r="AB428" t="n">
        <v>1</v>
      </c>
      <c r="AC428" t="n">
        <v>1</v>
      </c>
      <c r="AD428" t="n">
        <v>0</v>
      </c>
      <c r="AE428" t="n">
        <v>0</v>
      </c>
      <c r="AF428" t="n">
        <v>0</v>
      </c>
      <c r="AG428" t="n">
        <v>0</v>
      </c>
      <c r="AH428" t="n">
        <v>0</v>
      </c>
      <c r="AI428" t="n">
        <v>0</v>
      </c>
      <c r="AJ428" t="n">
        <v>0</v>
      </c>
      <c r="AK428" t="n">
        <v>0</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HYPERLINK("https://creighton-primo.hosted.exlibrisgroup.com/primo-explore/search?tab=default_tab&amp;search_scope=EVERYTHING&amp;vid=01CRU&amp;lang=en_US&amp;offset=0&amp;query=any,contains,991004923259702656","Catalog Record")</f>
        <v/>
      </c>
      <c r="AT428">
        <f>HYPERLINK("http://www.worldcat.org/oclc/23584303","WorldCat Record")</f>
        <v/>
      </c>
      <c r="AU428" t="inlineStr">
        <is>
          <t>842445:eng</t>
        </is>
      </c>
      <c r="AV428" t="inlineStr">
        <is>
          <t>23584303</t>
        </is>
      </c>
      <c r="AW428" t="inlineStr">
        <is>
          <t>991004923259702656</t>
        </is>
      </c>
      <c r="AX428" t="inlineStr">
        <is>
          <t>991004923259702656</t>
        </is>
      </c>
      <c r="AY428" t="inlineStr">
        <is>
          <t>2255120130002656</t>
        </is>
      </c>
      <c r="AZ428" t="inlineStr">
        <is>
          <t>BOOK</t>
        </is>
      </c>
      <c r="BB428" t="inlineStr">
        <is>
          <t>9780898403190</t>
        </is>
      </c>
      <c r="BC428" t="inlineStr">
        <is>
          <t>32285005223911</t>
        </is>
      </c>
      <c r="BD428" t="inlineStr">
        <is>
          <t>893700827</t>
        </is>
      </c>
    </row>
    <row r="429">
      <c r="A429" t="inlineStr">
        <is>
          <t>No</t>
        </is>
      </c>
      <c r="B429" t="inlineStr">
        <is>
          <t>BT205 .C26 1990</t>
        </is>
      </c>
      <c r="C429" t="inlineStr">
        <is>
          <t>0                      BT 0205000C  26          1990</t>
        </is>
      </c>
      <c r="D429" t="inlineStr">
        <is>
          <t>Christian uniqueness and Catholic spirituality / Denise Lardner Carmody and John Tully Carmody.</t>
        </is>
      </c>
      <c r="F429" t="inlineStr">
        <is>
          <t>No</t>
        </is>
      </c>
      <c r="G429" t="inlineStr">
        <is>
          <t>1</t>
        </is>
      </c>
      <c r="H429" t="inlineStr">
        <is>
          <t>No</t>
        </is>
      </c>
      <c r="I429" t="inlineStr">
        <is>
          <t>No</t>
        </is>
      </c>
      <c r="J429" t="inlineStr">
        <is>
          <t>0</t>
        </is>
      </c>
      <c r="K429" t="inlineStr">
        <is>
          <t>Carmody, Denise Lardner, 1935-</t>
        </is>
      </c>
      <c r="L429" t="inlineStr">
        <is>
          <t>New York : Paulist Press, c1990.</t>
        </is>
      </c>
      <c r="M429" t="inlineStr">
        <is>
          <t>1990</t>
        </is>
      </c>
      <c r="O429" t="inlineStr">
        <is>
          <t>eng</t>
        </is>
      </c>
      <c r="P429" t="inlineStr">
        <is>
          <t>nyu</t>
        </is>
      </c>
      <c r="Q429" t="inlineStr">
        <is>
          <t>Catholic spirituality in global perspective ; v. 1</t>
        </is>
      </c>
      <c r="R429" t="inlineStr">
        <is>
          <t xml:space="preserve">BT </t>
        </is>
      </c>
      <c r="S429" t="n">
        <v>3</v>
      </c>
      <c r="T429" t="n">
        <v>3</v>
      </c>
      <c r="U429" t="inlineStr">
        <is>
          <t>1992-09-02</t>
        </is>
      </c>
      <c r="V429" t="inlineStr">
        <is>
          <t>1992-09-02</t>
        </is>
      </c>
      <c r="W429" t="inlineStr">
        <is>
          <t>1992-08-07</t>
        </is>
      </c>
      <c r="X429" t="inlineStr">
        <is>
          <t>1992-08-07</t>
        </is>
      </c>
      <c r="Y429" t="n">
        <v>206</v>
      </c>
      <c r="Z429" t="n">
        <v>171</v>
      </c>
      <c r="AA429" t="n">
        <v>173</v>
      </c>
      <c r="AB429" t="n">
        <v>2</v>
      </c>
      <c r="AC429" t="n">
        <v>2</v>
      </c>
      <c r="AD429" t="n">
        <v>24</v>
      </c>
      <c r="AE429" t="n">
        <v>24</v>
      </c>
      <c r="AF429" t="n">
        <v>7</v>
      </c>
      <c r="AG429" t="n">
        <v>7</v>
      </c>
      <c r="AH429" t="n">
        <v>7</v>
      </c>
      <c r="AI429" t="n">
        <v>7</v>
      </c>
      <c r="AJ429" t="n">
        <v>17</v>
      </c>
      <c r="AK429" t="n">
        <v>17</v>
      </c>
      <c r="AL429" t="n">
        <v>1</v>
      </c>
      <c r="AM429" t="n">
        <v>1</v>
      </c>
      <c r="AN429" t="n">
        <v>0</v>
      </c>
      <c r="AO429" t="n">
        <v>0</v>
      </c>
      <c r="AP429" t="inlineStr">
        <is>
          <t>No</t>
        </is>
      </c>
      <c r="AQ429" t="inlineStr">
        <is>
          <t>Yes</t>
        </is>
      </c>
      <c r="AR429">
        <f>HYPERLINK("http://catalog.hathitrust.org/Record/009492435","HathiTrust Record")</f>
        <v/>
      </c>
      <c r="AS429">
        <f>HYPERLINK("https://creighton-primo.hosted.exlibrisgroup.com/primo-explore/search?tab=default_tab&amp;search_scope=EVERYTHING&amp;vid=01CRU&amp;lang=en_US&amp;offset=0&amp;query=any,contains,991001744389702656","Catalog Record")</f>
        <v/>
      </c>
      <c r="AT429">
        <f>HYPERLINK("http://www.worldcat.org/oclc/22110269","WorldCat Record")</f>
        <v/>
      </c>
      <c r="AU429" t="inlineStr">
        <is>
          <t>23066887:eng</t>
        </is>
      </c>
      <c r="AV429" t="inlineStr">
        <is>
          <t>22110269</t>
        </is>
      </c>
      <c r="AW429" t="inlineStr">
        <is>
          <t>991001744389702656</t>
        </is>
      </c>
      <c r="AX429" t="inlineStr">
        <is>
          <t>991001744389702656</t>
        </is>
      </c>
      <c r="AY429" t="inlineStr">
        <is>
          <t>2265682240002656</t>
        </is>
      </c>
      <c r="AZ429" t="inlineStr">
        <is>
          <t>BOOK</t>
        </is>
      </c>
      <c r="BB429" t="inlineStr">
        <is>
          <t>9780809131976</t>
        </is>
      </c>
      <c r="BC429" t="inlineStr">
        <is>
          <t>32285001243566</t>
        </is>
      </c>
      <c r="BD429" t="inlineStr">
        <is>
          <t>893615347</t>
        </is>
      </c>
    </row>
    <row r="430">
      <c r="A430" t="inlineStr">
        <is>
          <t>No</t>
        </is>
      </c>
      <c r="B430" t="inlineStr">
        <is>
          <t>BT205 .D33 1962</t>
        </is>
      </c>
      <c r="C430" t="inlineStr">
        <is>
          <t>0                      BT 0205000D  33          1962</t>
        </is>
      </c>
      <c r="D430" t="inlineStr">
        <is>
          <t>The advent of salvation : a comparative study of non-Christian religions and Christianity / by Jean Daniélou; translated by Rosemary Sheed.</t>
        </is>
      </c>
      <c r="F430" t="inlineStr">
        <is>
          <t>No</t>
        </is>
      </c>
      <c r="G430" t="inlineStr">
        <is>
          <t>1</t>
        </is>
      </c>
      <c r="H430" t="inlineStr">
        <is>
          <t>No</t>
        </is>
      </c>
      <c r="I430" t="inlineStr">
        <is>
          <t>No</t>
        </is>
      </c>
      <c r="J430" t="inlineStr">
        <is>
          <t>0</t>
        </is>
      </c>
      <c r="K430" t="inlineStr">
        <is>
          <t>Daniélou, Jean.</t>
        </is>
      </c>
      <c r="L430" t="inlineStr">
        <is>
          <t>Glen Rock, N.J. : Paulist Press, [1962, c1950]</t>
        </is>
      </c>
      <c r="M430" t="inlineStr">
        <is>
          <t>1962</t>
        </is>
      </c>
      <c r="O430" t="inlineStr">
        <is>
          <t>eng</t>
        </is>
      </c>
      <c r="P430" t="inlineStr">
        <is>
          <t>nju</t>
        </is>
      </c>
      <c r="R430" t="inlineStr">
        <is>
          <t xml:space="preserve">BT </t>
        </is>
      </c>
      <c r="S430" t="n">
        <v>3</v>
      </c>
      <c r="T430" t="n">
        <v>3</v>
      </c>
      <c r="U430" t="inlineStr">
        <is>
          <t>2005-11-06</t>
        </is>
      </c>
      <c r="V430" t="inlineStr">
        <is>
          <t>2005-11-06</t>
        </is>
      </c>
      <c r="W430" t="inlineStr">
        <is>
          <t>1991-08-12</t>
        </is>
      </c>
      <c r="X430" t="inlineStr">
        <is>
          <t>1991-08-12</t>
        </is>
      </c>
      <c r="Y430" t="n">
        <v>200</v>
      </c>
      <c r="Z430" t="n">
        <v>172</v>
      </c>
      <c r="AA430" t="n">
        <v>297</v>
      </c>
      <c r="AB430" t="n">
        <v>2</v>
      </c>
      <c r="AC430" t="n">
        <v>3</v>
      </c>
      <c r="AD430" t="n">
        <v>17</v>
      </c>
      <c r="AE430" t="n">
        <v>33</v>
      </c>
      <c r="AF430" t="n">
        <v>3</v>
      </c>
      <c r="AG430" t="n">
        <v>10</v>
      </c>
      <c r="AH430" t="n">
        <v>6</v>
      </c>
      <c r="AI430" t="n">
        <v>9</v>
      </c>
      <c r="AJ430" t="n">
        <v>14</v>
      </c>
      <c r="AK430" t="n">
        <v>26</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HYPERLINK("https://creighton-primo.hosted.exlibrisgroup.com/primo-explore/search?tab=default_tab&amp;search_scope=EVERYTHING&amp;vid=01CRU&amp;lang=en_US&amp;offset=0&amp;query=any,contains,991004430259702656","Catalog Record")</f>
        <v/>
      </c>
      <c r="AT430">
        <f>HYPERLINK("http://www.worldcat.org/oclc/3416136","WorldCat Record")</f>
        <v/>
      </c>
      <c r="AU430" t="inlineStr">
        <is>
          <t>1729907:eng</t>
        </is>
      </c>
      <c r="AV430" t="inlineStr">
        <is>
          <t>3416136</t>
        </is>
      </c>
      <c r="AW430" t="inlineStr">
        <is>
          <t>991004430259702656</t>
        </is>
      </c>
      <c r="AX430" t="inlineStr">
        <is>
          <t>991004430259702656</t>
        </is>
      </c>
      <c r="AY430" t="inlineStr">
        <is>
          <t>2260914220002656</t>
        </is>
      </c>
      <c r="AZ430" t="inlineStr">
        <is>
          <t>BOOK</t>
        </is>
      </c>
      <c r="BC430" t="inlineStr">
        <is>
          <t>32285000711829</t>
        </is>
      </c>
      <c r="BD430" t="inlineStr">
        <is>
          <t>893241424</t>
        </is>
      </c>
    </row>
    <row r="431">
      <c r="A431" t="inlineStr">
        <is>
          <t>No</t>
        </is>
      </c>
      <c r="B431" t="inlineStr">
        <is>
          <t>BT205 .G25 1986</t>
        </is>
      </c>
      <c r="C431" t="inlineStr">
        <is>
          <t>0                      BT 0205000G  25          1986</t>
        </is>
      </c>
      <c r="D431" t="inlineStr">
        <is>
          <t>Who do Americans say that I am? / George Gallup, Jr. and George O'Connell.</t>
        </is>
      </c>
      <c r="F431" t="inlineStr">
        <is>
          <t>No</t>
        </is>
      </c>
      <c r="G431" t="inlineStr">
        <is>
          <t>1</t>
        </is>
      </c>
      <c r="H431" t="inlineStr">
        <is>
          <t>No</t>
        </is>
      </c>
      <c r="I431" t="inlineStr">
        <is>
          <t>No</t>
        </is>
      </c>
      <c r="J431" t="inlineStr">
        <is>
          <t>0</t>
        </is>
      </c>
      <c r="K431" t="inlineStr">
        <is>
          <t>Gallup, George, 1930-2011.</t>
        </is>
      </c>
      <c r="L431" t="inlineStr">
        <is>
          <t>Philadelphia : Westminster Press, c1986.</t>
        </is>
      </c>
      <c r="M431" t="inlineStr">
        <is>
          <t>1986</t>
        </is>
      </c>
      <c r="N431" t="inlineStr">
        <is>
          <t>1st ed.</t>
        </is>
      </c>
      <c r="O431" t="inlineStr">
        <is>
          <t>eng</t>
        </is>
      </c>
      <c r="P431" t="inlineStr">
        <is>
          <t>pau</t>
        </is>
      </c>
      <c r="R431" t="inlineStr">
        <is>
          <t xml:space="preserve">BT </t>
        </is>
      </c>
      <c r="S431" t="n">
        <v>5</v>
      </c>
      <c r="T431" t="n">
        <v>5</v>
      </c>
      <c r="U431" t="inlineStr">
        <is>
          <t>2010-03-21</t>
        </is>
      </c>
      <c r="V431" t="inlineStr">
        <is>
          <t>2010-03-21</t>
        </is>
      </c>
      <c r="W431" t="inlineStr">
        <is>
          <t>1991-11-08</t>
        </is>
      </c>
      <c r="X431" t="inlineStr">
        <is>
          <t>1991-11-08</t>
        </is>
      </c>
      <c r="Y431" t="n">
        <v>349</v>
      </c>
      <c r="Z431" t="n">
        <v>326</v>
      </c>
      <c r="AA431" t="n">
        <v>342</v>
      </c>
      <c r="AB431" t="n">
        <v>2</v>
      </c>
      <c r="AC431" t="n">
        <v>2</v>
      </c>
      <c r="AD431" t="n">
        <v>19</v>
      </c>
      <c r="AE431" t="n">
        <v>21</v>
      </c>
      <c r="AF431" t="n">
        <v>10</v>
      </c>
      <c r="AG431" t="n">
        <v>11</v>
      </c>
      <c r="AH431" t="n">
        <v>3</v>
      </c>
      <c r="AI431" t="n">
        <v>4</v>
      </c>
      <c r="AJ431" t="n">
        <v>14</v>
      </c>
      <c r="AK431" t="n">
        <v>14</v>
      </c>
      <c r="AL431" t="n">
        <v>1</v>
      </c>
      <c r="AM431" t="n">
        <v>1</v>
      </c>
      <c r="AN431" t="n">
        <v>0</v>
      </c>
      <c r="AO431" t="n">
        <v>0</v>
      </c>
      <c r="AP431" t="inlineStr">
        <is>
          <t>No</t>
        </is>
      </c>
      <c r="AQ431" t="inlineStr">
        <is>
          <t>Yes</t>
        </is>
      </c>
      <c r="AR431">
        <f>HYPERLINK("http://catalog.hathitrust.org/Record/000540351","HathiTrust Record")</f>
        <v/>
      </c>
      <c r="AS431">
        <f>HYPERLINK("https://creighton-primo.hosted.exlibrisgroup.com/primo-explore/search?tab=default_tab&amp;search_scope=EVERYTHING&amp;vid=01CRU&amp;lang=en_US&amp;offset=0&amp;query=any,contains,991000739479702656","Catalog Record")</f>
        <v/>
      </c>
      <c r="AT431">
        <f>HYPERLINK("http://www.worldcat.org/oclc/12805338","WorldCat Record")</f>
        <v/>
      </c>
      <c r="AU431" t="inlineStr">
        <is>
          <t>5390426:eng</t>
        </is>
      </c>
      <c r="AV431" t="inlineStr">
        <is>
          <t>12805338</t>
        </is>
      </c>
      <c r="AW431" t="inlineStr">
        <is>
          <t>991000739479702656</t>
        </is>
      </c>
      <c r="AX431" t="inlineStr">
        <is>
          <t>991000739479702656</t>
        </is>
      </c>
      <c r="AY431" t="inlineStr">
        <is>
          <t>2255901040002656</t>
        </is>
      </c>
      <c r="AZ431" t="inlineStr">
        <is>
          <t>BOOK</t>
        </is>
      </c>
      <c r="BB431" t="inlineStr">
        <is>
          <t>9780664246853</t>
        </is>
      </c>
      <c r="BC431" t="inlineStr">
        <is>
          <t>32285000820927</t>
        </is>
      </c>
      <c r="BD431" t="inlineStr">
        <is>
          <t>893225264</t>
        </is>
      </c>
    </row>
    <row r="432">
      <c r="A432" t="inlineStr">
        <is>
          <t>No</t>
        </is>
      </c>
      <c r="B432" t="inlineStr">
        <is>
          <t>BT205 .H26 1999</t>
        </is>
      </c>
      <c r="C432" t="inlineStr">
        <is>
          <t>0                      BT 0205000H  26          1999</t>
        </is>
      </c>
      <c r="D432" t="inlineStr">
        <is>
          <t>Michael and Christ : Michael traditions and angel Christology in early Christianity / Darrell D. Hannah.</t>
        </is>
      </c>
      <c r="F432" t="inlineStr">
        <is>
          <t>No</t>
        </is>
      </c>
      <c r="G432" t="inlineStr">
        <is>
          <t>1</t>
        </is>
      </c>
      <c r="H432" t="inlineStr">
        <is>
          <t>No</t>
        </is>
      </c>
      <c r="I432" t="inlineStr">
        <is>
          <t>No</t>
        </is>
      </c>
      <c r="J432" t="inlineStr">
        <is>
          <t>0</t>
        </is>
      </c>
      <c r="K432" t="inlineStr">
        <is>
          <t>Hannah, Darrell D., 1962-</t>
        </is>
      </c>
      <c r="L432" t="inlineStr">
        <is>
          <t>Tübingen : Mohr Siebeck, c1999.</t>
        </is>
      </c>
      <c r="M432" t="inlineStr">
        <is>
          <t>1999</t>
        </is>
      </c>
      <c r="O432" t="inlineStr">
        <is>
          <t>eng</t>
        </is>
      </c>
      <c r="P432" t="inlineStr">
        <is>
          <t xml:space="preserve">gw </t>
        </is>
      </c>
      <c r="Q432" t="inlineStr">
        <is>
          <t>Wissenschaftliche Untersuchungen zum Neuen Testament. 2. Reihe ; 109</t>
        </is>
      </c>
      <c r="R432" t="inlineStr">
        <is>
          <t xml:space="preserve">BT </t>
        </is>
      </c>
      <c r="S432" t="n">
        <v>4</v>
      </c>
      <c r="T432" t="n">
        <v>4</v>
      </c>
      <c r="U432" t="inlineStr">
        <is>
          <t>2007-04-14</t>
        </is>
      </c>
      <c r="V432" t="inlineStr">
        <is>
          <t>2007-04-14</t>
        </is>
      </c>
      <c r="W432" t="inlineStr">
        <is>
          <t>2000-11-30</t>
        </is>
      </c>
      <c r="X432" t="inlineStr">
        <is>
          <t>2000-11-30</t>
        </is>
      </c>
      <c r="Y432" t="n">
        <v>151</v>
      </c>
      <c r="Z432" t="n">
        <v>93</v>
      </c>
      <c r="AA432" t="n">
        <v>104</v>
      </c>
      <c r="AB432" t="n">
        <v>1</v>
      </c>
      <c r="AC432" t="n">
        <v>1</v>
      </c>
      <c r="AD432" t="n">
        <v>8</v>
      </c>
      <c r="AE432" t="n">
        <v>9</v>
      </c>
      <c r="AF432" t="n">
        <v>2</v>
      </c>
      <c r="AG432" t="n">
        <v>3</v>
      </c>
      <c r="AH432" t="n">
        <v>2</v>
      </c>
      <c r="AI432" t="n">
        <v>3</v>
      </c>
      <c r="AJ432" t="n">
        <v>5</v>
      </c>
      <c r="AK432" t="n">
        <v>5</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HYPERLINK("https://creighton-primo.hosted.exlibrisgroup.com/primo-explore/search?tab=default_tab&amp;search_scope=EVERYTHING&amp;vid=01CRU&amp;lang=en_US&amp;offset=0&amp;query=any,contains,991003257629702656","Catalog Record")</f>
        <v/>
      </c>
      <c r="AT432">
        <f>HYPERLINK("http://www.worldcat.org/oclc/42758716","WorldCat Record")</f>
        <v/>
      </c>
      <c r="AU432" t="inlineStr">
        <is>
          <t>807292090:eng</t>
        </is>
      </c>
      <c r="AV432" t="inlineStr">
        <is>
          <t>42758716</t>
        </is>
      </c>
      <c r="AW432" t="inlineStr">
        <is>
          <t>991003257629702656</t>
        </is>
      </c>
      <c r="AX432" t="inlineStr">
        <is>
          <t>991003257629702656</t>
        </is>
      </c>
      <c r="AY432" t="inlineStr">
        <is>
          <t>2261967610002656</t>
        </is>
      </c>
      <c r="AZ432" t="inlineStr">
        <is>
          <t>BOOK</t>
        </is>
      </c>
      <c r="BB432" t="inlineStr">
        <is>
          <t>9783161470547</t>
        </is>
      </c>
      <c r="BC432" t="inlineStr">
        <is>
          <t>32285004268545</t>
        </is>
      </c>
      <c r="BD432" t="inlineStr">
        <is>
          <t>893809904</t>
        </is>
      </c>
    </row>
    <row r="433">
      <c r="A433" t="inlineStr">
        <is>
          <t>No</t>
        </is>
      </c>
      <c r="B433" t="inlineStr">
        <is>
          <t>BT205 .H59 1993</t>
        </is>
      </c>
      <c r="C433" t="inlineStr">
        <is>
          <t>0                      BT 0205000H  59          1993</t>
        </is>
      </c>
      <c r="D433" t="inlineStr">
        <is>
          <t>The metaphor of God incarnate : christology in a pluralistic age / John Hick.</t>
        </is>
      </c>
      <c r="F433" t="inlineStr">
        <is>
          <t>No</t>
        </is>
      </c>
      <c r="G433" t="inlineStr">
        <is>
          <t>1</t>
        </is>
      </c>
      <c r="H433" t="inlineStr">
        <is>
          <t>No</t>
        </is>
      </c>
      <c r="I433" t="inlineStr">
        <is>
          <t>No</t>
        </is>
      </c>
      <c r="J433" t="inlineStr">
        <is>
          <t>0</t>
        </is>
      </c>
      <c r="K433" t="inlineStr">
        <is>
          <t>Hick, John, 1922-2012.</t>
        </is>
      </c>
      <c r="L433" t="inlineStr">
        <is>
          <t>Louisville, Ky. : Westminster/John Knox Press, c1993.</t>
        </is>
      </c>
      <c r="M433" t="inlineStr">
        <is>
          <t>1993</t>
        </is>
      </c>
      <c r="N433" t="inlineStr">
        <is>
          <t>1st American ed.</t>
        </is>
      </c>
      <c r="O433" t="inlineStr">
        <is>
          <t>eng</t>
        </is>
      </c>
      <c r="P433" t="inlineStr">
        <is>
          <t>kyu</t>
        </is>
      </c>
      <c r="R433" t="inlineStr">
        <is>
          <t xml:space="preserve">BT </t>
        </is>
      </c>
      <c r="S433" t="n">
        <v>9</v>
      </c>
      <c r="T433" t="n">
        <v>9</v>
      </c>
      <c r="U433" t="inlineStr">
        <is>
          <t>2008-12-18</t>
        </is>
      </c>
      <c r="V433" t="inlineStr">
        <is>
          <t>2008-12-18</t>
        </is>
      </c>
      <c r="W433" t="inlineStr">
        <is>
          <t>1995-05-15</t>
        </is>
      </c>
      <c r="X433" t="inlineStr">
        <is>
          <t>1995-05-15</t>
        </is>
      </c>
      <c r="Y433" t="n">
        <v>300</v>
      </c>
      <c r="Z433" t="n">
        <v>259</v>
      </c>
      <c r="AA433" t="n">
        <v>339</v>
      </c>
      <c r="AB433" t="n">
        <v>2</v>
      </c>
      <c r="AC433" t="n">
        <v>2</v>
      </c>
      <c r="AD433" t="n">
        <v>18</v>
      </c>
      <c r="AE433" t="n">
        <v>23</v>
      </c>
      <c r="AF433" t="n">
        <v>7</v>
      </c>
      <c r="AG433" t="n">
        <v>8</v>
      </c>
      <c r="AH433" t="n">
        <v>3</v>
      </c>
      <c r="AI433" t="n">
        <v>6</v>
      </c>
      <c r="AJ433" t="n">
        <v>12</v>
      </c>
      <c r="AK433" t="n">
        <v>15</v>
      </c>
      <c r="AL433" t="n">
        <v>1</v>
      </c>
      <c r="AM433" t="n">
        <v>1</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HYPERLINK("https://creighton-primo.hosted.exlibrisgroup.com/primo-explore/search?tab=default_tab&amp;search_scope=EVERYTHING&amp;vid=01CRU&amp;lang=en_US&amp;offset=0&amp;query=any,contains,991002198149702656","Catalog Record")</f>
        <v/>
      </c>
      <c r="AT433">
        <f>HYPERLINK("http://www.worldcat.org/oclc/28257481","WorldCat Record")</f>
        <v/>
      </c>
      <c r="AU433" t="inlineStr">
        <is>
          <t>20950894:eng</t>
        </is>
      </c>
      <c r="AV433" t="inlineStr">
        <is>
          <t>28257481</t>
        </is>
      </c>
      <c r="AW433" t="inlineStr">
        <is>
          <t>991002198149702656</t>
        </is>
      </c>
      <c r="AX433" t="inlineStr">
        <is>
          <t>991002198149702656</t>
        </is>
      </c>
      <c r="AY433" t="inlineStr">
        <is>
          <t>2260973330002656</t>
        </is>
      </c>
      <c r="AZ433" t="inlineStr">
        <is>
          <t>BOOK</t>
        </is>
      </c>
      <c r="BB433" t="inlineStr">
        <is>
          <t>9780664255039</t>
        </is>
      </c>
      <c r="BC433" t="inlineStr">
        <is>
          <t>32285002039492</t>
        </is>
      </c>
      <c r="BD433" t="inlineStr">
        <is>
          <t>893504116</t>
        </is>
      </c>
    </row>
    <row r="434">
      <c r="A434" t="inlineStr">
        <is>
          <t>No</t>
        </is>
      </c>
      <c r="B434" t="inlineStr">
        <is>
          <t>BT205 .I52 1991</t>
        </is>
      </c>
      <c r="C434" t="inlineStr">
        <is>
          <t>0                      BT 0205000I  52          1991</t>
        </is>
      </c>
      <c r="D434" t="inlineStr">
        <is>
          <t>Imaging Christ : politics, art, spirituality / Francis A. Eigo, editor.</t>
        </is>
      </c>
      <c r="F434" t="inlineStr">
        <is>
          <t>No</t>
        </is>
      </c>
      <c r="G434" t="inlineStr">
        <is>
          <t>1</t>
        </is>
      </c>
      <c r="H434" t="inlineStr">
        <is>
          <t>No</t>
        </is>
      </c>
      <c r="I434" t="inlineStr">
        <is>
          <t>No</t>
        </is>
      </c>
      <c r="J434" t="inlineStr">
        <is>
          <t>0</t>
        </is>
      </c>
      <c r="L434" t="inlineStr">
        <is>
          <t>Villanova, Pa. : Villanova University Press, c1991.</t>
        </is>
      </c>
      <c r="M434" t="inlineStr">
        <is>
          <t>1991</t>
        </is>
      </c>
      <c r="O434" t="inlineStr">
        <is>
          <t>eng</t>
        </is>
      </c>
      <c r="P434" t="inlineStr">
        <is>
          <t>pau</t>
        </is>
      </c>
      <c r="R434" t="inlineStr">
        <is>
          <t xml:space="preserve">BT </t>
        </is>
      </c>
      <c r="S434" t="n">
        <v>9</v>
      </c>
      <c r="T434" t="n">
        <v>9</v>
      </c>
      <c r="U434" t="inlineStr">
        <is>
          <t>2005-07-06</t>
        </is>
      </c>
      <c r="V434" t="inlineStr">
        <is>
          <t>2005-07-06</t>
        </is>
      </c>
      <c r="W434" t="inlineStr">
        <is>
          <t>1992-01-16</t>
        </is>
      </c>
      <c r="X434" t="inlineStr">
        <is>
          <t>1992-01-16</t>
        </is>
      </c>
      <c r="Y434" t="n">
        <v>106</v>
      </c>
      <c r="Z434" t="n">
        <v>98</v>
      </c>
      <c r="AA434" t="n">
        <v>98</v>
      </c>
      <c r="AB434" t="n">
        <v>1</v>
      </c>
      <c r="AC434" t="n">
        <v>1</v>
      </c>
      <c r="AD434" t="n">
        <v>11</v>
      </c>
      <c r="AE434" t="n">
        <v>11</v>
      </c>
      <c r="AF434" t="n">
        <v>3</v>
      </c>
      <c r="AG434" t="n">
        <v>3</v>
      </c>
      <c r="AH434" t="n">
        <v>4</v>
      </c>
      <c r="AI434" t="n">
        <v>4</v>
      </c>
      <c r="AJ434" t="n">
        <v>7</v>
      </c>
      <c r="AK434" t="n">
        <v>7</v>
      </c>
      <c r="AL434" t="n">
        <v>0</v>
      </c>
      <c r="AM434" t="n">
        <v>0</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HYPERLINK("https://creighton-primo.hosted.exlibrisgroup.com/primo-explore/search?tab=default_tab&amp;search_scope=EVERYTHING&amp;vid=01CRU&amp;lang=en_US&amp;offset=0&amp;query=any,contains,991001822959702656","Catalog Record")</f>
        <v/>
      </c>
      <c r="AT434">
        <f>HYPERLINK("http://www.worldcat.org/oclc/22906889","WorldCat Record")</f>
        <v/>
      </c>
      <c r="AU434" t="inlineStr">
        <is>
          <t>24021274:eng</t>
        </is>
      </c>
      <c r="AV434" t="inlineStr">
        <is>
          <t>22906889</t>
        </is>
      </c>
      <c r="AW434" t="inlineStr">
        <is>
          <t>991001822959702656</t>
        </is>
      </c>
      <c r="AX434" t="inlineStr">
        <is>
          <t>991001822959702656</t>
        </is>
      </c>
      <c r="AY434" t="inlineStr">
        <is>
          <t>2264098930002656</t>
        </is>
      </c>
      <c r="AZ434" t="inlineStr">
        <is>
          <t>BOOK</t>
        </is>
      </c>
      <c r="BB434" t="inlineStr">
        <is>
          <t>9780877230571</t>
        </is>
      </c>
      <c r="BC434" t="inlineStr">
        <is>
          <t>32285000864297</t>
        </is>
      </c>
      <c r="BD434" t="inlineStr">
        <is>
          <t>893703361</t>
        </is>
      </c>
    </row>
    <row r="435">
      <c r="A435" t="inlineStr">
        <is>
          <t>No</t>
        </is>
      </c>
      <c r="B435" t="inlineStr">
        <is>
          <t>BT205 .K495 1999</t>
        </is>
      </c>
      <c r="C435" t="inlineStr">
        <is>
          <t>0                      BT 0205000K  495         1999</t>
        </is>
      </c>
      <c r="D435" t="inlineStr">
        <is>
          <t>Christ the center / George A.F. Knight.</t>
        </is>
      </c>
      <c r="F435" t="inlineStr">
        <is>
          <t>No</t>
        </is>
      </c>
      <c r="G435" t="inlineStr">
        <is>
          <t>1</t>
        </is>
      </c>
      <c r="H435" t="inlineStr">
        <is>
          <t>No</t>
        </is>
      </c>
      <c r="I435" t="inlineStr">
        <is>
          <t>No</t>
        </is>
      </c>
      <c r="J435" t="inlineStr">
        <is>
          <t>0</t>
        </is>
      </c>
      <c r="K435" t="inlineStr">
        <is>
          <t>Knight, George A. F., 1909-2002.</t>
        </is>
      </c>
      <c r="L435" t="inlineStr">
        <is>
          <t>Edinburgh : Handsel Press ; Grand Rapids, Mich. : W.B. Eerdmans, 1999.</t>
        </is>
      </c>
      <c r="M435" t="inlineStr">
        <is>
          <t>1999</t>
        </is>
      </c>
      <c r="O435" t="inlineStr">
        <is>
          <t>eng</t>
        </is>
      </c>
      <c r="P435" t="inlineStr">
        <is>
          <t>stk</t>
        </is>
      </c>
      <c r="R435" t="inlineStr">
        <is>
          <t xml:space="preserve">BT </t>
        </is>
      </c>
      <c r="S435" t="n">
        <v>2</v>
      </c>
      <c r="T435" t="n">
        <v>2</v>
      </c>
      <c r="U435" t="inlineStr">
        <is>
          <t>2001-09-23</t>
        </is>
      </c>
      <c r="V435" t="inlineStr">
        <is>
          <t>2001-09-23</t>
        </is>
      </c>
      <c r="W435" t="inlineStr">
        <is>
          <t>2001-08-02</t>
        </is>
      </c>
      <c r="X435" t="inlineStr">
        <is>
          <t>2001-08-02</t>
        </is>
      </c>
      <c r="Y435" t="n">
        <v>203</v>
      </c>
      <c r="Z435" t="n">
        <v>162</v>
      </c>
      <c r="AA435" t="n">
        <v>164</v>
      </c>
      <c r="AB435" t="n">
        <v>1</v>
      </c>
      <c r="AC435" t="n">
        <v>1</v>
      </c>
      <c r="AD435" t="n">
        <v>12</v>
      </c>
      <c r="AE435" t="n">
        <v>12</v>
      </c>
      <c r="AF435" t="n">
        <v>5</v>
      </c>
      <c r="AG435" t="n">
        <v>5</v>
      </c>
      <c r="AH435" t="n">
        <v>3</v>
      </c>
      <c r="AI435" t="n">
        <v>3</v>
      </c>
      <c r="AJ435" t="n">
        <v>6</v>
      </c>
      <c r="AK435" t="n">
        <v>6</v>
      </c>
      <c r="AL435" t="n">
        <v>0</v>
      </c>
      <c r="AM435" t="n">
        <v>0</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HYPERLINK("https://creighton-primo.hosted.exlibrisgroup.com/primo-explore/search?tab=default_tab&amp;search_scope=EVERYTHING&amp;vid=01CRU&amp;lang=en_US&amp;offset=0&amp;query=any,contains,991003563959702656","Catalog Record")</f>
        <v/>
      </c>
      <c r="AT435">
        <f>HYPERLINK("http://www.worldcat.org/oclc/40193605","WorldCat Record")</f>
        <v/>
      </c>
      <c r="AU435" t="inlineStr">
        <is>
          <t>26154982:eng</t>
        </is>
      </c>
      <c r="AV435" t="inlineStr">
        <is>
          <t>40193605</t>
        </is>
      </c>
      <c r="AW435" t="inlineStr">
        <is>
          <t>991003563959702656</t>
        </is>
      </c>
      <c r="AX435" t="inlineStr">
        <is>
          <t>991003563959702656</t>
        </is>
      </c>
      <c r="AY435" t="inlineStr">
        <is>
          <t>2266787400002656</t>
        </is>
      </c>
      <c r="AZ435" t="inlineStr">
        <is>
          <t>BOOK</t>
        </is>
      </c>
      <c r="BB435" t="inlineStr">
        <is>
          <t>9780802846242</t>
        </is>
      </c>
      <c r="BC435" t="inlineStr">
        <is>
          <t>32285004375696</t>
        </is>
      </c>
      <c r="BD435" t="inlineStr">
        <is>
          <t>893881303</t>
        </is>
      </c>
    </row>
    <row r="436">
      <c r="A436" t="inlineStr">
        <is>
          <t>No</t>
        </is>
      </c>
      <c r="B436" t="inlineStr">
        <is>
          <t>BT205 .L42 1936</t>
        </is>
      </c>
      <c r="C436" t="inlineStr">
        <is>
          <t>0                      BT 0205000L  42          1936</t>
        </is>
      </c>
      <c r="D436" t="inlineStr">
        <is>
          <t>In the likeness of Christ / by Rev. Edward Leen.</t>
        </is>
      </c>
      <c r="F436" t="inlineStr">
        <is>
          <t>No</t>
        </is>
      </c>
      <c r="G436" t="inlineStr">
        <is>
          <t>1</t>
        </is>
      </c>
      <c r="H436" t="inlineStr">
        <is>
          <t>No</t>
        </is>
      </c>
      <c r="I436" t="inlineStr">
        <is>
          <t>No</t>
        </is>
      </c>
      <c r="J436" t="inlineStr">
        <is>
          <t>0</t>
        </is>
      </c>
      <c r="K436" t="inlineStr">
        <is>
          <t>Leen, Edward, 1885-1944.</t>
        </is>
      </c>
      <c r="L436" t="inlineStr">
        <is>
          <t>London : Sheed &amp; Ward, 1936.</t>
        </is>
      </c>
      <c r="M436" t="inlineStr">
        <is>
          <t>1936</t>
        </is>
      </c>
      <c r="O436" t="inlineStr">
        <is>
          <t>eng</t>
        </is>
      </c>
      <c r="P436" t="inlineStr">
        <is>
          <t xml:space="preserve">xx </t>
        </is>
      </c>
      <c r="R436" t="inlineStr">
        <is>
          <t xml:space="preserve">BT </t>
        </is>
      </c>
      <c r="S436" t="n">
        <v>2</v>
      </c>
      <c r="T436" t="n">
        <v>2</v>
      </c>
      <c r="U436" t="inlineStr">
        <is>
          <t>1997-06-18</t>
        </is>
      </c>
      <c r="V436" t="inlineStr">
        <is>
          <t>1997-06-18</t>
        </is>
      </c>
      <c r="W436" t="inlineStr">
        <is>
          <t>1991-08-12</t>
        </is>
      </c>
      <c r="X436" t="inlineStr">
        <is>
          <t>1991-08-12</t>
        </is>
      </c>
      <c r="Y436" t="n">
        <v>152</v>
      </c>
      <c r="Z436" t="n">
        <v>131</v>
      </c>
      <c r="AA436" t="n">
        <v>189</v>
      </c>
      <c r="AB436" t="n">
        <v>2</v>
      </c>
      <c r="AC436" t="n">
        <v>2</v>
      </c>
      <c r="AD436" t="n">
        <v>23</v>
      </c>
      <c r="AE436" t="n">
        <v>30</v>
      </c>
      <c r="AF436" t="n">
        <v>6</v>
      </c>
      <c r="AG436" t="n">
        <v>9</v>
      </c>
      <c r="AH436" t="n">
        <v>8</v>
      </c>
      <c r="AI436" t="n">
        <v>9</v>
      </c>
      <c r="AJ436" t="n">
        <v>17</v>
      </c>
      <c r="AK436" t="n">
        <v>24</v>
      </c>
      <c r="AL436" t="n">
        <v>0</v>
      </c>
      <c r="AM436" t="n">
        <v>0</v>
      </c>
      <c r="AN436" t="n">
        <v>0</v>
      </c>
      <c r="AO436" t="n">
        <v>0</v>
      </c>
      <c r="AP436" t="inlineStr">
        <is>
          <t>No</t>
        </is>
      </c>
      <c r="AQ436" t="inlineStr">
        <is>
          <t>Yes</t>
        </is>
      </c>
      <c r="AR436">
        <f>HYPERLINK("http://catalog.hathitrust.org/Record/005751316","HathiTrust Record")</f>
        <v/>
      </c>
      <c r="AS436">
        <f>HYPERLINK("https://creighton-primo.hosted.exlibrisgroup.com/primo-explore/search?tab=default_tab&amp;search_scope=EVERYTHING&amp;vid=01CRU&amp;lang=en_US&amp;offset=0&amp;query=any,contains,991004350059702656","Catalog Record")</f>
        <v/>
      </c>
      <c r="AT436">
        <f>HYPERLINK("http://www.worldcat.org/oclc/3117562","WorldCat Record")</f>
        <v/>
      </c>
      <c r="AU436" t="inlineStr">
        <is>
          <t>30405:eng</t>
        </is>
      </c>
      <c r="AV436" t="inlineStr">
        <is>
          <t>3117562</t>
        </is>
      </c>
      <c r="AW436" t="inlineStr">
        <is>
          <t>991004350059702656</t>
        </is>
      </c>
      <c r="AX436" t="inlineStr">
        <is>
          <t>991004350059702656</t>
        </is>
      </c>
      <c r="AY436" t="inlineStr">
        <is>
          <t>2269946050002656</t>
        </is>
      </c>
      <c r="AZ436" t="inlineStr">
        <is>
          <t>BOOK</t>
        </is>
      </c>
      <c r="BC436" t="inlineStr">
        <is>
          <t>32285000711878</t>
        </is>
      </c>
      <c r="BD436" t="inlineStr">
        <is>
          <t>893904817</t>
        </is>
      </c>
    </row>
    <row r="437">
      <c r="A437" t="inlineStr">
        <is>
          <t>No</t>
        </is>
      </c>
      <c r="B437" t="inlineStr">
        <is>
          <t>BT205 .P37 1995</t>
        </is>
      </c>
      <c r="C437" t="inlineStr">
        <is>
          <t>0                      BT 0205000P  37          1995</t>
        </is>
      </c>
      <c r="D437" t="inlineStr">
        <is>
          <t>Christ is a Native American / Achiel Peelman.</t>
        </is>
      </c>
      <c r="F437" t="inlineStr">
        <is>
          <t>No</t>
        </is>
      </c>
      <c r="G437" t="inlineStr">
        <is>
          <t>1</t>
        </is>
      </c>
      <c r="H437" t="inlineStr">
        <is>
          <t>No</t>
        </is>
      </c>
      <c r="I437" t="inlineStr">
        <is>
          <t>No</t>
        </is>
      </c>
      <c r="J437" t="inlineStr">
        <is>
          <t>0</t>
        </is>
      </c>
      <c r="K437" t="inlineStr">
        <is>
          <t>Peelman, A.</t>
        </is>
      </c>
      <c r="L437" t="inlineStr">
        <is>
          <t>Ottawa : Novalis-Saint Paul University ; Maryknoll, N.Y. : Orbis Books, 1995.</t>
        </is>
      </c>
      <c r="M437" t="inlineStr">
        <is>
          <t>1995</t>
        </is>
      </c>
      <c r="O437" t="inlineStr">
        <is>
          <t>eng</t>
        </is>
      </c>
      <c r="P437" t="inlineStr">
        <is>
          <t>onc</t>
        </is>
      </c>
      <c r="R437" t="inlineStr">
        <is>
          <t xml:space="preserve">BT </t>
        </is>
      </c>
      <c r="S437" t="n">
        <v>4</v>
      </c>
      <c r="T437" t="n">
        <v>4</v>
      </c>
      <c r="U437" t="inlineStr">
        <is>
          <t>2010-03-21</t>
        </is>
      </c>
      <c r="V437" t="inlineStr">
        <is>
          <t>2010-03-21</t>
        </is>
      </c>
      <c r="W437" t="inlineStr">
        <is>
          <t>1996-06-12</t>
        </is>
      </c>
      <c r="X437" t="inlineStr">
        <is>
          <t>1996-06-12</t>
        </is>
      </c>
      <c r="Y437" t="n">
        <v>282</v>
      </c>
      <c r="Z437" t="n">
        <v>221</v>
      </c>
      <c r="AA437" t="n">
        <v>238</v>
      </c>
      <c r="AB437" t="n">
        <v>2</v>
      </c>
      <c r="AC437" t="n">
        <v>2</v>
      </c>
      <c r="AD437" t="n">
        <v>23</v>
      </c>
      <c r="AE437" t="n">
        <v>25</v>
      </c>
      <c r="AF437" t="n">
        <v>7</v>
      </c>
      <c r="AG437" t="n">
        <v>8</v>
      </c>
      <c r="AH437" t="n">
        <v>7</v>
      </c>
      <c r="AI437" t="n">
        <v>7</v>
      </c>
      <c r="AJ437" t="n">
        <v>15</v>
      </c>
      <c r="AK437" t="n">
        <v>17</v>
      </c>
      <c r="AL437" t="n">
        <v>1</v>
      </c>
      <c r="AM437" t="n">
        <v>1</v>
      </c>
      <c r="AN437" t="n">
        <v>0</v>
      </c>
      <c r="AO437" t="n">
        <v>0</v>
      </c>
      <c r="AP437" t="inlineStr">
        <is>
          <t>No</t>
        </is>
      </c>
      <c r="AQ437" t="inlineStr">
        <is>
          <t>Yes</t>
        </is>
      </c>
      <c r="AR437">
        <f>HYPERLINK("http://catalog.hathitrust.org/Record/003030969","HathiTrust Record")</f>
        <v/>
      </c>
      <c r="AS437">
        <f>HYPERLINK("https://creighton-primo.hosted.exlibrisgroup.com/primo-explore/search?tab=default_tab&amp;search_scope=EVERYTHING&amp;vid=01CRU&amp;lang=en_US&amp;offset=0&amp;query=any,contains,991002540639702656","Catalog Record")</f>
        <v/>
      </c>
      <c r="AT437">
        <f>HYPERLINK("http://www.worldcat.org/oclc/33013149","WorldCat Record")</f>
        <v/>
      </c>
      <c r="AU437" t="inlineStr">
        <is>
          <t>37442831:eng</t>
        </is>
      </c>
      <c r="AV437" t="inlineStr">
        <is>
          <t>33013149</t>
        </is>
      </c>
      <c r="AW437" t="inlineStr">
        <is>
          <t>991002540639702656</t>
        </is>
      </c>
      <c r="AX437" t="inlineStr">
        <is>
          <t>991002540639702656</t>
        </is>
      </c>
      <c r="AY437" t="inlineStr">
        <is>
          <t>2254997590002656</t>
        </is>
      </c>
      <c r="AZ437" t="inlineStr">
        <is>
          <t>BOOK</t>
        </is>
      </c>
      <c r="BB437" t="inlineStr">
        <is>
          <t>9781570750472</t>
        </is>
      </c>
      <c r="BC437" t="inlineStr">
        <is>
          <t>32285002192036</t>
        </is>
      </c>
      <c r="BD437" t="inlineStr">
        <is>
          <t>893445226</t>
        </is>
      </c>
    </row>
    <row r="438">
      <c r="A438" t="inlineStr">
        <is>
          <t>No</t>
        </is>
      </c>
      <c r="B438" t="inlineStr">
        <is>
          <t>BT205 .R48</t>
        </is>
      </c>
      <c r="C438" t="inlineStr">
        <is>
          <t>0                      BT 0205000R  48</t>
        </is>
      </c>
      <c r="D438" t="inlineStr">
        <is>
          <t>What are they saying about Christ and world religions? / Lucien Richard.</t>
        </is>
      </c>
      <c r="F438" t="inlineStr">
        <is>
          <t>No</t>
        </is>
      </c>
      <c r="G438" t="inlineStr">
        <is>
          <t>1</t>
        </is>
      </c>
      <c r="H438" t="inlineStr">
        <is>
          <t>No</t>
        </is>
      </c>
      <c r="I438" t="inlineStr">
        <is>
          <t>No</t>
        </is>
      </c>
      <c r="J438" t="inlineStr">
        <is>
          <t>0</t>
        </is>
      </c>
      <c r="K438" t="inlineStr">
        <is>
          <t>Richard, Lucien.</t>
        </is>
      </c>
      <c r="L438" t="inlineStr">
        <is>
          <t>New York : Paulist Press, c1981.</t>
        </is>
      </c>
      <c r="M438" t="inlineStr">
        <is>
          <t>1981</t>
        </is>
      </c>
      <c r="O438" t="inlineStr">
        <is>
          <t>eng</t>
        </is>
      </c>
      <c r="P438" t="inlineStr">
        <is>
          <t>nyu</t>
        </is>
      </c>
      <c r="R438" t="inlineStr">
        <is>
          <t xml:space="preserve">BT </t>
        </is>
      </c>
      <c r="S438" t="n">
        <v>4</v>
      </c>
      <c r="T438" t="n">
        <v>4</v>
      </c>
      <c r="U438" t="inlineStr">
        <is>
          <t>2004-06-15</t>
        </is>
      </c>
      <c r="V438" t="inlineStr">
        <is>
          <t>2004-06-15</t>
        </is>
      </c>
      <c r="W438" t="inlineStr">
        <is>
          <t>1991-08-12</t>
        </is>
      </c>
      <c r="X438" t="inlineStr">
        <is>
          <t>1991-08-12</t>
        </is>
      </c>
      <c r="Y438" t="n">
        <v>343</v>
      </c>
      <c r="Z438" t="n">
        <v>295</v>
      </c>
      <c r="AA438" t="n">
        <v>296</v>
      </c>
      <c r="AB438" t="n">
        <v>2</v>
      </c>
      <c r="AC438" t="n">
        <v>2</v>
      </c>
      <c r="AD438" t="n">
        <v>28</v>
      </c>
      <c r="AE438" t="n">
        <v>28</v>
      </c>
      <c r="AF438" t="n">
        <v>10</v>
      </c>
      <c r="AG438" t="n">
        <v>10</v>
      </c>
      <c r="AH438" t="n">
        <v>7</v>
      </c>
      <c r="AI438" t="n">
        <v>7</v>
      </c>
      <c r="AJ438" t="n">
        <v>19</v>
      </c>
      <c r="AK438" t="n">
        <v>19</v>
      </c>
      <c r="AL438" t="n">
        <v>1</v>
      </c>
      <c r="AM438" t="n">
        <v>1</v>
      </c>
      <c r="AN438" t="n">
        <v>0</v>
      </c>
      <c r="AO438" t="n">
        <v>0</v>
      </c>
      <c r="AP438" t="inlineStr">
        <is>
          <t>No</t>
        </is>
      </c>
      <c r="AQ438" t="inlineStr">
        <is>
          <t>Yes</t>
        </is>
      </c>
      <c r="AR438">
        <f>HYPERLINK("http://catalog.hathitrust.org/Record/000611980","HathiTrust Record")</f>
        <v/>
      </c>
      <c r="AS438">
        <f>HYPERLINK("https://creighton-primo.hosted.exlibrisgroup.com/primo-explore/search?tab=default_tab&amp;search_scope=EVERYTHING&amp;vid=01CRU&amp;lang=en_US&amp;offset=0&amp;query=any,contains,991005174689702656","Catalog Record")</f>
        <v/>
      </c>
      <c r="AT438">
        <f>HYPERLINK("http://www.worldcat.org/oclc/7902012","WorldCat Record")</f>
        <v/>
      </c>
      <c r="AU438" t="inlineStr">
        <is>
          <t>466305:eng</t>
        </is>
      </c>
      <c r="AV438" t="inlineStr">
        <is>
          <t>7902012</t>
        </is>
      </c>
      <c r="AW438" t="inlineStr">
        <is>
          <t>991005174689702656</t>
        </is>
      </c>
      <c r="AX438" t="inlineStr">
        <is>
          <t>991005174689702656</t>
        </is>
      </c>
      <c r="AY438" t="inlineStr">
        <is>
          <t>2270133270002656</t>
        </is>
      </c>
      <c r="AZ438" t="inlineStr">
        <is>
          <t>BOOK</t>
        </is>
      </c>
      <c r="BB438" t="inlineStr">
        <is>
          <t>9780809123919</t>
        </is>
      </c>
      <c r="BC438" t="inlineStr">
        <is>
          <t>32285000711894</t>
        </is>
      </c>
      <c r="BD438" t="inlineStr">
        <is>
          <t>893625563</t>
        </is>
      </c>
    </row>
    <row r="439">
      <c r="A439" t="inlineStr">
        <is>
          <t>No</t>
        </is>
      </c>
      <c r="B439" t="inlineStr">
        <is>
          <t>BT205 .S2713 1987</t>
        </is>
      </c>
      <c r="C439" t="inlineStr">
        <is>
          <t>0                      BT 0205000S  2713        1987</t>
        </is>
      </c>
      <c r="D439" t="inlineStr">
        <is>
          <t>On Christian faith : the spiritual, ethical, and political dimensions / Edward Schillebeeckx ; [translated by John Bowder from the Dutch].</t>
        </is>
      </c>
      <c r="F439" t="inlineStr">
        <is>
          <t>No</t>
        </is>
      </c>
      <c r="G439" t="inlineStr">
        <is>
          <t>1</t>
        </is>
      </c>
      <c r="H439" t="inlineStr">
        <is>
          <t>No</t>
        </is>
      </c>
      <c r="I439" t="inlineStr">
        <is>
          <t>No</t>
        </is>
      </c>
      <c r="J439" t="inlineStr">
        <is>
          <t>0</t>
        </is>
      </c>
      <c r="K439" t="inlineStr">
        <is>
          <t>Schillebeeckx, Edward, 1914-2009.</t>
        </is>
      </c>
      <c r="L439" t="inlineStr">
        <is>
          <t>New York : Crossroad, 1987.</t>
        </is>
      </c>
      <c r="M439" t="inlineStr">
        <is>
          <t>1987</t>
        </is>
      </c>
      <c r="O439" t="inlineStr">
        <is>
          <t>eng</t>
        </is>
      </c>
      <c r="P439" t="inlineStr">
        <is>
          <t>nyu</t>
        </is>
      </c>
      <c r="R439" t="inlineStr">
        <is>
          <t xml:space="preserve">BT </t>
        </is>
      </c>
      <c r="S439" t="n">
        <v>8</v>
      </c>
      <c r="T439" t="n">
        <v>8</v>
      </c>
      <c r="U439" t="inlineStr">
        <is>
          <t>2004-03-28</t>
        </is>
      </c>
      <c r="V439" t="inlineStr">
        <is>
          <t>2004-03-28</t>
        </is>
      </c>
      <c r="W439" t="inlineStr">
        <is>
          <t>1991-08-12</t>
        </is>
      </c>
      <c r="X439" t="inlineStr">
        <is>
          <t>1991-08-12</t>
        </is>
      </c>
      <c r="Y439" t="n">
        <v>343</v>
      </c>
      <c r="Z439" t="n">
        <v>293</v>
      </c>
      <c r="AA439" t="n">
        <v>293</v>
      </c>
      <c r="AB439" t="n">
        <v>4</v>
      </c>
      <c r="AC439" t="n">
        <v>4</v>
      </c>
      <c r="AD439" t="n">
        <v>31</v>
      </c>
      <c r="AE439" t="n">
        <v>31</v>
      </c>
      <c r="AF439" t="n">
        <v>11</v>
      </c>
      <c r="AG439" t="n">
        <v>11</v>
      </c>
      <c r="AH439" t="n">
        <v>7</v>
      </c>
      <c r="AI439" t="n">
        <v>7</v>
      </c>
      <c r="AJ439" t="n">
        <v>19</v>
      </c>
      <c r="AK439" t="n">
        <v>19</v>
      </c>
      <c r="AL439" t="n">
        <v>3</v>
      </c>
      <c r="AM439" t="n">
        <v>3</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HYPERLINK("https://creighton-primo.hosted.exlibrisgroup.com/primo-explore/search?tab=default_tab&amp;search_scope=EVERYTHING&amp;vid=01CRU&amp;lang=en_US&amp;offset=0&amp;query=any,contains,991000969289702656","Catalog Record")</f>
        <v/>
      </c>
      <c r="AT439">
        <f>HYPERLINK("http://www.worldcat.org/oclc/14932745","WorldCat Record")</f>
        <v/>
      </c>
      <c r="AU439" t="inlineStr">
        <is>
          <t>2945939340:eng</t>
        </is>
      </c>
      <c r="AV439" t="inlineStr">
        <is>
          <t>14932745</t>
        </is>
      </c>
      <c r="AW439" t="inlineStr">
        <is>
          <t>991000969289702656</t>
        </is>
      </c>
      <c r="AX439" t="inlineStr">
        <is>
          <t>991000969289702656</t>
        </is>
      </c>
      <c r="AY439" t="inlineStr">
        <is>
          <t>2263628480002656</t>
        </is>
      </c>
      <c r="AZ439" t="inlineStr">
        <is>
          <t>BOOK</t>
        </is>
      </c>
      <c r="BB439" t="inlineStr">
        <is>
          <t>9780824508272</t>
        </is>
      </c>
      <c r="BC439" t="inlineStr">
        <is>
          <t>32285000711910</t>
        </is>
      </c>
      <c r="BD439" t="inlineStr">
        <is>
          <t>893261681</t>
        </is>
      </c>
    </row>
    <row r="440">
      <c r="A440" t="inlineStr">
        <is>
          <t>No</t>
        </is>
      </c>
      <c r="B440" t="inlineStr">
        <is>
          <t>BT205 .T55 1998</t>
        </is>
      </c>
      <c r="C440" t="inlineStr">
        <is>
          <t>0                      BT 0205000T  55          1998</t>
        </is>
      </c>
      <c r="D440" t="inlineStr">
        <is>
          <t>Jesus Christ : the message of the Gospels, the hope of the church / Burton H. Throckmorton, Jr.</t>
        </is>
      </c>
      <c r="F440" t="inlineStr">
        <is>
          <t>No</t>
        </is>
      </c>
      <c r="G440" t="inlineStr">
        <is>
          <t>1</t>
        </is>
      </c>
      <c r="H440" t="inlineStr">
        <is>
          <t>No</t>
        </is>
      </c>
      <c r="I440" t="inlineStr">
        <is>
          <t>No</t>
        </is>
      </c>
      <c r="J440" t="inlineStr">
        <is>
          <t>0</t>
        </is>
      </c>
      <c r="K440" t="inlineStr">
        <is>
          <t>Throckmorton, Burton H. (Burton Hamilton), 1921-</t>
        </is>
      </c>
      <c r="L440" t="inlineStr">
        <is>
          <t>Louisville, Ky. : Westminster John Knox Press, c1998.</t>
        </is>
      </c>
      <c r="M440" t="inlineStr">
        <is>
          <t>1998</t>
        </is>
      </c>
      <c r="N440" t="inlineStr">
        <is>
          <t>1st ed.</t>
        </is>
      </c>
      <c r="O440" t="inlineStr">
        <is>
          <t>eng</t>
        </is>
      </c>
      <c r="P440" t="inlineStr">
        <is>
          <t>kyu</t>
        </is>
      </c>
      <c r="R440" t="inlineStr">
        <is>
          <t xml:space="preserve">BT </t>
        </is>
      </c>
      <c r="S440" t="n">
        <v>4</v>
      </c>
      <c r="T440" t="n">
        <v>4</v>
      </c>
      <c r="U440" t="inlineStr">
        <is>
          <t>2002-02-19</t>
        </is>
      </c>
      <c r="V440" t="inlineStr">
        <is>
          <t>2002-02-19</t>
        </is>
      </c>
      <c r="W440" t="inlineStr">
        <is>
          <t>1998-08-26</t>
        </is>
      </c>
      <c r="X440" t="inlineStr">
        <is>
          <t>1998-08-26</t>
        </is>
      </c>
      <c r="Y440" t="n">
        <v>175</v>
      </c>
      <c r="Z440" t="n">
        <v>144</v>
      </c>
      <c r="AA440" t="n">
        <v>144</v>
      </c>
      <c r="AB440" t="n">
        <v>2</v>
      </c>
      <c r="AC440" t="n">
        <v>2</v>
      </c>
      <c r="AD440" t="n">
        <v>12</v>
      </c>
      <c r="AE440" t="n">
        <v>12</v>
      </c>
      <c r="AF440" t="n">
        <v>6</v>
      </c>
      <c r="AG440" t="n">
        <v>6</v>
      </c>
      <c r="AH440" t="n">
        <v>2</v>
      </c>
      <c r="AI440" t="n">
        <v>2</v>
      </c>
      <c r="AJ440" t="n">
        <v>6</v>
      </c>
      <c r="AK440" t="n">
        <v>6</v>
      </c>
      <c r="AL440" t="n">
        <v>1</v>
      </c>
      <c r="AM440" t="n">
        <v>1</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HYPERLINK("https://creighton-primo.hosted.exlibrisgroup.com/primo-explore/search?tab=default_tab&amp;search_scope=EVERYTHING&amp;vid=01CRU&amp;lang=en_US&amp;offset=0&amp;query=any,contains,991002889939702656","Catalog Record")</f>
        <v/>
      </c>
      <c r="AT440">
        <f>HYPERLINK("http://www.worldcat.org/oclc/38073307","WorldCat Record")</f>
        <v/>
      </c>
      <c r="AU440" t="inlineStr">
        <is>
          <t>566900:eng</t>
        </is>
      </c>
      <c r="AV440" t="inlineStr">
        <is>
          <t>38073307</t>
        </is>
      </c>
      <c r="AW440" t="inlineStr">
        <is>
          <t>991002889939702656</t>
        </is>
      </c>
      <c r="AX440" t="inlineStr">
        <is>
          <t>991002889939702656</t>
        </is>
      </c>
      <c r="AY440" t="inlineStr">
        <is>
          <t>2264412720002656</t>
        </is>
      </c>
      <c r="AZ440" t="inlineStr">
        <is>
          <t>BOOK</t>
        </is>
      </c>
      <c r="BB440" t="inlineStr">
        <is>
          <t>9780664257354</t>
        </is>
      </c>
      <c r="BC440" t="inlineStr">
        <is>
          <t>32285003462743</t>
        </is>
      </c>
      <c r="BD440" t="inlineStr">
        <is>
          <t>893867836</t>
        </is>
      </c>
    </row>
    <row r="441">
      <c r="A441" t="inlineStr">
        <is>
          <t>No</t>
        </is>
      </c>
      <c r="B441" t="inlineStr">
        <is>
          <t>BT21 .H33 1961</t>
        </is>
      </c>
      <c r="C441" t="inlineStr">
        <is>
          <t>0                      BT 0021000H  33          1961</t>
        </is>
      </c>
      <c r="D441" t="inlineStr">
        <is>
          <t>History of dogma / by Adolph Harnack. Translated from the 3d German ed., by Neil Buchanan.</t>
        </is>
      </c>
      <c r="E441" t="inlineStr">
        <is>
          <t>V. 2-3</t>
        </is>
      </c>
      <c r="F441" t="inlineStr">
        <is>
          <t>Yes</t>
        </is>
      </c>
      <c r="G441" t="inlineStr">
        <is>
          <t>1</t>
        </is>
      </c>
      <c r="H441" t="inlineStr">
        <is>
          <t>No</t>
        </is>
      </c>
      <c r="I441" t="inlineStr">
        <is>
          <t>No</t>
        </is>
      </c>
      <c r="J441" t="inlineStr">
        <is>
          <t>0</t>
        </is>
      </c>
      <c r="K441" t="inlineStr">
        <is>
          <t>Harnack, Adolf von, 1851-1930.</t>
        </is>
      </c>
      <c r="L441" t="inlineStr">
        <is>
          <t>New York, Dover Publications [1961]</t>
        </is>
      </c>
      <c r="M441" t="inlineStr">
        <is>
          <t>1961</t>
        </is>
      </c>
      <c r="O441" t="inlineStr">
        <is>
          <t>eng</t>
        </is>
      </c>
      <c r="P441" t="inlineStr">
        <is>
          <t>nyu</t>
        </is>
      </c>
      <c r="R441" t="inlineStr">
        <is>
          <t xml:space="preserve">BT </t>
        </is>
      </c>
      <c r="S441" t="n">
        <v>2</v>
      </c>
      <c r="T441" t="n">
        <v>4</v>
      </c>
      <c r="U441" t="inlineStr">
        <is>
          <t>2001-04-18</t>
        </is>
      </c>
      <c r="V441" t="inlineStr">
        <is>
          <t>2001-04-18</t>
        </is>
      </c>
      <c r="W441" t="inlineStr">
        <is>
          <t>1991-06-27</t>
        </is>
      </c>
      <c r="X441" t="inlineStr">
        <is>
          <t>1991-07-12</t>
        </is>
      </c>
      <c r="Y441" t="n">
        <v>615</v>
      </c>
      <c r="Z441" t="n">
        <v>533</v>
      </c>
      <c r="AA441" t="n">
        <v>969</v>
      </c>
      <c r="AB441" t="n">
        <v>8</v>
      </c>
      <c r="AC441" t="n">
        <v>11</v>
      </c>
      <c r="AD441" t="n">
        <v>27</v>
      </c>
      <c r="AE441" t="n">
        <v>50</v>
      </c>
      <c r="AF441" t="n">
        <v>12</v>
      </c>
      <c r="AG441" t="n">
        <v>22</v>
      </c>
      <c r="AH441" t="n">
        <v>4</v>
      </c>
      <c r="AI441" t="n">
        <v>9</v>
      </c>
      <c r="AJ441" t="n">
        <v>9</v>
      </c>
      <c r="AK441" t="n">
        <v>24</v>
      </c>
      <c r="AL441" t="n">
        <v>5</v>
      </c>
      <c r="AM441" t="n">
        <v>8</v>
      </c>
      <c r="AN441" t="n">
        <v>0</v>
      </c>
      <c r="AO441" t="n">
        <v>0</v>
      </c>
      <c r="AP441" t="inlineStr">
        <is>
          <t>No</t>
        </is>
      </c>
      <c r="AQ441" t="inlineStr">
        <is>
          <t>Yes</t>
        </is>
      </c>
      <c r="AR441">
        <f>HYPERLINK("http://catalog.hathitrust.org/Record/004507065","HathiTrust Record")</f>
        <v/>
      </c>
      <c r="AS441">
        <f>HYPERLINK("https://creighton-primo.hosted.exlibrisgroup.com/primo-explore/search?tab=default_tab&amp;search_scope=EVERYTHING&amp;vid=01CRU&amp;lang=en_US&amp;offset=0&amp;query=any,contains,991002545299702656","Catalog Record")</f>
        <v/>
      </c>
      <c r="AT441">
        <f>HYPERLINK("http://www.worldcat.org/oclc/368658","WorldCat Record")</f>
        <v/>
      </c>
      <c r="AU441" t="inlineStr">
        <is>
          <t>2260864130:eng</t>
        </is>
      </c>
      <c r="AV441" t="inlineStr">
        <is>
          <t>368658</t>
        </is>
      </c>
      <c r="AW441" t="inlineStr">
        <is>
          <t>991002545299702656</t>
        </is>
      </c>
      <c r="AX441" t="inlineStr">
        <is>
          <t>991002545299702656</t>
        </is>
      </c>
      <c r="AY441" t="inlineStr">
        <is>
          <t>2267645580002656</t>
        </is>
      </c>
      <c r="AZ441" t="inlineStr">
        <is>
          <t>BOOK</t>
        </is>
      </c>
      <c r="BC441" t="inlineStr">
        <is>
          <t>32285000685569</t>
        </is>
      </c>
      <c r="BD441" t="inlineStr">
        <is>
          <t>893347620</t>
        </is>
      </c>
    </row>
    <row r="442">
      <c r="A442" t="inlineStr">
        <is>
          <t>No</t>
        </is>
      </c>
      <c r="B442" t="inlineStr">
        <is>
          <t>BT21 .H33 1961</t>
        </is>
      </c>
      <c r="C442" t="inlineStr">
        <is>
          <t>0                      BT 0021000H  33          1961</t>
        </is>
      </c>
      <c r="D442" t="inlineStr">
        <is>
          <t>History of dogma / by Adolph Harnack. Translated from the 3d German ed., by Neil Buchanan.</t>
        </is>
      </c>
      <c r="E442" t="inlineStr">
        <is>
          <t>V. 4-5</t>
        </is>
      </c>
      <c r="F442" t="inlineStr">
        <is>
          <t>Yes</t>
        </is>
      </c>
      <c r="G442" t="inlineStr">
        <is>
          <t>1</t>
        </is>
      </c>
      <c r="H442" t="inlineStr">
        <is>
          <t>No</t>
        </is>
      </c>
      <c r="I442" t="inlineStr">
        <is>
          <t>No</t>
        </is>
      </c>
      <c r="J442" t="inlineStr">
        <is>
          <t>0</t>
        </is>
      </c>
      <c r="K442" t="inlineStr">
        <is>
          <t>Harnack, Adolf von, 1851-1930.</t>
        </is>
      </c>
      <c r="L442" t="inlineStr">
        <is>
          <t>New York, Dover Publications [1961]</t>
        </is>
      </c>
      <c r="M442" t="inlineStr">
        <is>
          <t>1961</t>
        </is>
      </c>
      <c r="O442" t="inlineStr">
        <is>
          <t>eng</t>
        </is>
      </c>
      <c r="P442" t="inlineStr">
        <is>
          <t>nyu</t>
        </is>
      </c>
      <c r="R442" t="inlineStr">
        <is>
          <t xml:space="preserve">BT </t>
        </is>
      </c>
      <c r="S442" t="n">
        <v>1</v>
      </c>
      <c r="T442" t="n">
        <v>4</v>
      </c>
      <c r="V442" t="inlineStr">
        <is>
          <t>2001-04-18</t>
        </is>
      </c>
      <c r="W442" t="inlineStr">
        <is>
          <t>1991-07-12</t>
        </is>
      </c>
      <c r="X442" t="inlineStr">
        <is>
          <t>1991-07-12</t>
        </is>
      </c>
      <c r="Y442" t="n">
        <v>615</v>
      </c>
      <c r="Z442" t="n">
        <v>533</v>
      </c>
      <c r="AA442" t="n">
        <v>969</v>
      </c>
      <c r="AB442" t="n">
        <v>8</v>
      </c>
      <c r="AC442" t="n">
        <v>11</v>
      </c>
      <c r="AD442" t="n">
        <v>27</v>
      </c>
      <c r="AE442" t="n">
        <v>50</v>
      </c>
      <c r="AF442" t="n">
        <v>12</v>
      </c>
      <c r="AG442" t="n">
        <v>22</v>
      </c>
      <c r="AH442" t="n">
        <v>4</v>
      </c>
      <c r="AI442" t="n">
        <v>9</v>
      </c>
      <c r="AJ442" t="n">
        <v>9</v>
      </c>
      <c r="AK442" t="n">
        <v>24</v>
      </c>
      <c r="AL442" t="n">
        <v>5</v>
      </c>
      <c r="AM442" t="n">
        <v>8</v>
      </c>
      <c r="AN442" t="n">
        <v>0</v>
      </c>
      <c r="AO442" t="n">
        <v>0</v>
      </c>
      <c r="AP442" t="inlineStr">
        <is>
          <t>No</t>
        </is>
      </c>
      <c r="AQ442" t="inlineStr">
        <is>
          <t>Yes</t>
        </is>
      </c>
      <c r="AR442">
        <f>HYPERLINK("http://catalog.hathitrust.org/Record/004507065","HathiTrust Record")</f>
        <v/>
      </c>
      <c r="AS442">
        <f>HYPERLINK("https://creighton-primo.hosted.exlibrisgroup.com/primo-explore/search?tab=default_tab&amp;search_scope=EVERYTHING&amp;vid=01CRU&amp;lang=en_US&amp;offset=0&amp;query=any,contains,991002545299702656","Catalog Record")</f>
        <v/>
      </c>
      <c r="AT442">
        <f>HYPERLINK("http://www.worldcat.org/oclc/368658","WorldCat Record")</f>
        <v/>
      </c>
      <c r="AU442" t="inlineStr">
        <is>
          <t>2260864130:eng</t>
        </is>
      </c>
      <c r="AV442" t="inlineStr">
        <is>
          <t>368658</t>
        </is>
      </c>
      <c r="AW442" t="inlineStr">
        <is>
          <t>991002545299702656</t>
        </is>
      </c>
      <c r="AX442" t="inlineStr">
        <is>
          <t>991002545299702656</t>
        </is>
      </c>
      <c r="AY442" t="inlineStr">
        <is>
          <t>2267645580002656</t>
        </is>
      </c>
      <c r="AZ442" t="inlineStr">
        <is>
          <t>BOOK</t>
        </is>
      </c>
      <c r="BC442" t="inlineStr">
        <is>
          <t>32285000685585</t>
        </is>
      </c>
      <c r="BD442" t="inlineStr">
        <is>
          <t>893335431</t>
        </is>
      </c>
    </row>
    <row r="443">
      <c r="A443" t="inlineStr">
        <is>
          <t>No</t>
        </is>
      </c>
      <c r="B443" t="inlineStr">
        <is>
          <t>BT21 .H33 1961</t>
        </is>
      </c>
      <c r="C443" t="inlineStr">
        <is>
          <t>0                      BT 0021000H  33          1961</t>
        </is>
      </c>
      <c r="D443" t="inlineStr">
        <is>
          <t>History of dogma / by Adolph Harnack. Translated from the 3d German ed., by Neil Buchanan.</t>
        </is>
      </c>
      <c r="E443" t="inlineStr">
        <is>
          <t>V. 1</t>
        </is>
      </c>
      <c r="F443" t="inlineStr">
        <is>
          <t>Yes</t>
        </is>
      </c>
      <c r="G443" t="inlineStr">
        <is>
          <t>1</t>
        </is>
      </c>
      <c r="H443" t="inlineStr">
        <is>
          <t>No</t>
        </is>
      </c>
      <c r="I443" t="inlineStr">
        <is>
          <t>No</t>
        </is>
      </c>
      <c r="J443" t="inlineStr">
        <is>
          <t>0</t>
        </is>
      </c>
      <c r="K443" t="inlineStr">
        <is>
          <t>Harnack, Adolf von, 1851-1930.</t>
        </is>
      </c>
      <c r="L443" t="inlineStr">
        <is>
          <t>New York, Dover Publications [1961]</t>
        </is>
      </c>
      <c r="M443" t="inlineStr">
        <is>
          <t>1961</t>
        </is>
      </c>
      <c r="O443" t="inlineStr">
        <is>
          <t>eng</t>
        </is>
      </c>
      <c r="P443" t="inlineStr">
        <is>
          <t>nyu</t>
        </is>
      </c>
      <c r="R443" t="inlineStr">
        <is>
          <t xml:space="preserve">BT </t>
        </is>
      </c>
      <c r="S443" t="n">
        <v>0</v>
      </c>
      <c r="T443" t="n">
        <v>4</v>
      </c>
      <c r="V443" t="inlineStr">
        <is>
          <t>2001-04-18</t>
        </is>
      </c>
      <c r="W443" t="inlineStr">
        <is>
          <t>1991-06-27</t>
        </is>
      </c>
      <c r="X443" t="inlineStr">
        <is>
          <t>1991-07-12</t>
        </is>
      </c>
      <c r="Y443" t="n">
        <v>615</v>
      </c>
      <c r="Z443" t="n">
        <v>533</v>
      </c>
      <c r="AA443" t="n">
        <v>969</v>
      </c>
      <c r="AB443" t="n">
        <v>8</v>
      </c>
      <c r="AC443" t="n">
        <v>11</v>
      </c>
      <c r="AD443" t="n">
        <v>27</v>
      </c>
      <c r="AE443" t="n">
        <v>50</v>
      </c>
      <c r="AF443" t="n">
        <v>12</v>
      </c>
      <c r="AG443" t="n">
        <v>22</v>
      </c>
      <c r="AH443" t="n">
        <v>4</v>
      </c>
      <c r="AI443" t="n">
        <v>9</v>
      </c>
      <c r="AJ443" t="n">
        <v>9</v>
      </c>
      <c r="AK443" t="n">
        <v>24</v>
      </c>
      <c r="AL443" t="n">
        <v>5</v>
      </c>
      <c r="AM443" t="n">
        <v>8</v>
      </c>
      <c r="AN443" t="n">
        <v>0</v>
      </c>
      <c r="AO443" t="n">
        <v>0</v>
      </c>
      <c r="AP443" t="inlineStr">
        <is>
          <t>No</t>
        </is>
      </c>
      <c r="AQ443" t="inlineStr">
        <is>
          <t>Yes</t>
        </is>
      </c>
      <c r="AR443">
        <f>HYPERLINK("http://catalog.hathitrust.org/Record/004507065","HathiTrust Record")</f>
        <v/>
      </c>
      <c r="AS443">
        <f>HYPERLINK("https://creighton-primo.hosted.exlibrisgroup.com/primo-explore/search?tab=default_tab&amp;search_scope=EVERYTHING&amp;vid=01CRU&amp;lang=en_US&amp;offset=0&amp;query=any,contains,991002545299702656","Catalog Record")</f>
        <v/>
      </c>
      <c r="AT443">
        <f>HYPERLINK("http://www.worldcat.org/oclc/368658","WorldCat Record")</f>
        <v/>
      </c>
      <c r="AU443" t="inlineStr">
        <is>
          <t>2260864130:eng</t>
        </is>
      </c>
      <c r="AV443" t="inlineStr">
        <is>
          <t>368658</t>
        </is>
      </c>
      <c r="AW443" t="inlineStr">
        <is>
          <t>991002545299702656</t>
        </is>
      </c>
      <c r="AX443" t="inlineStr">
        <is>
          <t>991002545299702656</t>
        </is>
      </c>
      <c r="AY443" t="inlineStr">
        <is>
          <t>2267645580002656</t>
        </is>
      </c>
      <c r="AZ443" t="inlineStr">
        <is>
          <t>BOOK</t>
        </is>
      </c>
      <c r="BC443" t="inlineStr">
        <is>
          <t>32285000685544</t>
        </is>
      </c>
      <c r="BD443" t="inlineStr">
        <is>
          <t>893316960</t>
        </is>
      </c>
    </row>
    <row r="444">
      <c r="A444" t="inlineStr">
        <is>
          <t>No</t>
        </is>
      </c>
      <c r="B444" t="inlineStr">
        <is>
          <t>BT21 .H33 1961</t>
        </is>
      </c>
      <c r="C444" t="inlineStr">
        <is>
          <t>0                      BT 0021000H  33          1961</t>
        </is>
      </c>
      <c r="D444" t="inlineStr">
        <is>
          <t>History of dogma / by Adolph Harnack. Translated from the 3d German ed., by Neil Buchanan.</t>
        </is>
      </c>
      <c r="E444" t="inlineStr">
        <is>
          <t>V. 6-7</t>
        </is>
      </c>
      <c r="F444" t="inlineStr">
        <is>
          <t>Yes</t>
        </is>
      </c>
      <c r="G444" t="inlineStr">
        <is>
          <t>1</t>
        </is>
      </c>
      <c r="H444" t="inlineStr">
        <is>
          <t>No</t>
        </is>
      </c>
      <c r="I444" t="inlineStr">
        <is>
          <t>No</t>
        </is>
      </c>
      <c r="J444" t="inlineStr">
        <is>
          <t>0</t>
        </is>
      </c>
      <c r="K444" t="inlineStr">
        <is>
          <t>Harnack, Adolf von, 1851-1930.</t>
        </is>
      </c>
      <c r="L444" t="inlineStr">
        <is>
          <t>New York, Dover Publications [1961]</t>
        </is>
      </c>
      <c r="M444" t="inlineStr">
        <is>
          <t>1961</t>
        </is>
      </c>
      <c r="O444" t="inlineStr">
        <is>
          <t>eng</t>
        </is>
      </c>
      <c r="P444" t="inlineStr">
        <is>
          <t>nyu</t>
        </is>
      </c>
      <c r="R444" t="inlineStr">
        <is>
          <t xml:space="preserve">BT </t>
        </is>
      </c>
      <c r="S444" t="n">
        <v>1</v>
      </c>
      <c r="T444" t="n">
        <v>4</v>
      </c>
      <c r="V444" t="inlineStr">
        <is>
          <t>2001-04-18</t>
        </is>
      </c>
      <c r="W444" t="inlineStr">
        <is>
          <t>1991-07-12</t>
        </is>
      </c>
      <c r="X444" t="inlineStr">
        <is>
          <t>1991-07-12</t>
        </is>
      </c>
      <c r="Y444" t="n">
        <v>615</v>
      </c>
      <c r="Z444" t="n">
        <v>533</v>
      </c>
      <c r="AA444" t="n">
        <v>969</v>
      </c>
      <c r="AB444" t="n">
        <v>8</v>
      </c>
      <c r="AC444" t="n">
        <v>11</v>
      </c>
      <c r="AD444" t="n">
        <v>27</v>
      </c>
      <c r="AE444" t="n">
        <v>50</v>
      </c>
      <c r="AF444" t="n">
        <v>12</v>
      </c>
      <c r="AG444" t="n">
        <v>22</v>
      </c>
      <c r="AH444" t="n">
        <v>4</v>
      </c>
      <c r="AI444" t="n">
        <v>9</v>
      </c>
      <c r="AJ444" t="n">
        <v>9</v>
      </c>
      <c r="AK444" t="n">
        <v>24</v>
      </c>
      <c r="AL444" t="n">
        <v>5</v>
      </c>
      <c r="AM444" t="n">
        <v>8</v>
      </c>
      <c r="AN444" t="n">
        <v>0</v>
      </c>
      <c r="AO444" t="n">
        <v>0</v>
      </c>
      <c r="AP444" t="inlineStr">
        <is>
          <t>No</t>
        </is>
      </c>
      <c r="AQ444" t="inlineStr">
        <is>
          <t>Yes</t>
        </is>
      </c>
      <c r="AR444">
        <f>HYPERLINK("http://catalog.hathitrust.org/Record/004507065","HathiTrust Record")</f>
        <v/>
      </c>
      <c r="AS444">
        <f>HYPERLINK("https://creighton-primo.hosted.exlibrisgroup.com/primo-explore/search?tab=default_tab&amp;search_scope=EVERYTHING&amp;vid=01CRU&amp;lang=en_US&amp;offset=0&amp;query=any,contains,991002545299702656","Catalog Record")</f>
        <v/>
      </c>
      <c r="AT444">
        <f>HYPERLINK("http://www.worldcat.org/oclc/368658","WorldCat Record")</f>
        <v/>
      </c>
      <c r="AU444" t="inlineStr">
        <is>
          <t>2260864130:eng</t>
        </is>
      </c>
      <c r="AV444" t="inlineStr">
        <is>
          <t>368658</t>
        </is>
      </c>
      <c r="AW444" t="inlineStr">
        <is>
          <t>991002545299702656</t>
        </is>
      </c>
      <c r="AX444" t="inlineStr">
        <is>
          <t>991002545299702656</t>
        </is>
      </c>
      <c r="AY444" t="inlineStr">
        <is>
          <t>2267645580002656</t>
        </is>
      </c>
      <c r="AZ444" t="inlineStr">
        <is>
          <t>BOOK</t>
        </is>
      </c>
      <c r="BC444" t="inlineStr">
        <is>
          <t>32285000685601</t>
        </is>
      </c>
      <c r="BD444" t="inlineStr">
        <is>
          <t>893329225</t>
        </is>
      </c>
    </row>
    <row r="445">
      <c r="A445" t="inlineStr">
        <is>
          <t>No</t>
        </is>
      </c>
      <c r="B445" t="inlineStr">
        <is>
          <t>BT21 .L3</t>
        </is>
      </c>
      <c r="C445" t="inlineStr">
        <is>
          <t>0                      BT 0021000L  3</t>
        </is>
      </c>
      <c r="D445" t="inlineStr">
        <is>
          <t>Newman on development : the search for an explanation in history / Nicholas Lash.</t>
        </is>
      </c>
      <c r="F445" t="inlineStr">
        <is>
          <t>No</t>
        </is>
      </c>
      <c r="G445" t="inlineStr">
        <is>
          <t>1</t>
        </is>
      </c>
      <c r="H445" t="inlineStr">
        <is>
          <t>No</t>
        </is>
      </c>
      <c r="I445" t="inlineStr">
        <is>
          <t>No</t>
        </is>
      </c>
      <c r="J445" t="inlineStr">
        <is>
          <t>0</t>
        </is>
      </c>
      <c r="K445" t="inlineStr">
        <is>
          <t>Lash, Nicholas.</t>
        </is>
      </c>
      <c r="L445" t="inlineStr">
        <is>
          <t>Shepherdstown, W. Va. : Patmos Press, 1975.</t>
        </is>
      </c>
      <c r="M445" t="inlineStr">
        <is>
          <t>1975</t>
        </is>
      </c>
      <c r="O445" t="inlineStr">
        <is>
          <t>eng</t>
        </is>
      </c>
      <c r="P445" t="inlineStr">
        <is>
          <t>wvu</t>
        </is>
      </c>
      <c r="R445" t="inlineStr">
        <is>
          <t xml:space="preserve">BT </t>
        </is>
      </c>
      <c r="S445" t="n">
        <v>1</v>
      </c>
      <c r="T445" t="n">
        <v>1</v>
      </c>
      <c r="U445" t="inlineStr">
        <is>
          <t>2010-04-13</t>
        </is>
      </c>
      <c r="V445" t="inlineStr">
        <is>
          <t>2010-04-13</t>
        </is>
      </c>
      <c r="W445" t="inlineStr">
        <is>
          <t>1991-06-12</t>
        </is>
      </c>
      <c r="X445" t="inlineStr">
        <is>
          <t>1991-06-12</t>
        </is>
      </c>
      <c r="Y445" t="n">
        <v>257</v>
      </c>
      <c r="Z445" t="n">
        <v>222</v>
      </c>
      <c r="AA445" t="n">
        <v>270</v>
      </c>
      <c r="AB445" t="n">
        <v>2</v>
      </c>
      <c r="AC445" t="n">
        <v>3</v>
      </c>
      <c r="AD445" t="n">
        <v>29</v>
      </c>
      <c r="AE445" t="n">
        <v>31</v>
      </c>
      <c r="AF445" t="n">
        <v>9</v>
      </c>
      <c r="AG445" t="n">
        <v>10</v>
      </c>
      <c r="AH445" t="n">
        <v>8</v>
      </c>
      <c r="AI445" t="n">
        <v>8</v>
      </c>
      <c r="AJ445" t="n">
        <v>22</v>
      </c>
      <c r="AK445" t="n">
        <v>23</v>
      </c>
      <c r="AL445" t="n">
        <v>0</v>
      </c>
      <c r="AM445" t="n">
        <v>1</v>
      </c>
      <c r="AN445" t="n">
        <v>0</v>
      </c>
      <c r="AO445" t="n">
        <v>0</v>
      </c>
      <c r="AP445" t="inlineStr">
        <is>
          <t>No</t>
        </is>
      </c>
      <c r="AQ445" t="inlineStr">
        <is>
          <t>Yes</t>
        </is>
      </c>
      <c r="AR445">
        <f>HYPERLINK("http://catalog.hathitrust.org/Record/000705834","HathiTrust Record")</f>
        <v/>
      </c>
      <c r="AS445">
        <f>HYPERLINK("https://creighton-primo.hosted.exlibrisgroup.com/primo-explore/search?tab=default_tab&amp;search_scope=EVERYTHING&amp;vid=01CRU&amp;lang=en_US&amp;offset=0&amp;query=any,contains,991003928319702656","Catalog Record")</f>
        <v/>
      </c>
      <c r="AT445">
        <f>HYPERLINK("http://www.worldcat.org/oclc/1889537","WorldCat Record")</f>
        <v/>
      </c>
      <c r="AU445" t="inlineStr">
        <is>
          <t>812136433:eng</t>
        </is>
      </c>
      <c r="AV445" t="inlineStr">
        <is>
          <t>1889537</t>
        </is>
      </c>
      <c r="AW445" t="inlineStr">
        <is>
          <t>991003928319702656</t>
        </is>
      </c>
      <c r="AX445" t="inlineStr">
        <is>
          <t>991003928319702656</t>
        </is>
      </c>
      <c r="AY445" t="inlineStr">
        <is>
          <t>2264143930002656</t>
        </is>
      </c>
      <c r="AZ445" t="inlineStr">
        <is>
          <t>BOOK</t>
        </is>
      </c>
      <c r="BB445" t="inlineStr">
        <is>
          <t>9780915762019</t>
        </is>
      </c>
      <c r="BC445" t="inlineStr">
        <is>
          <t>32285000685635</t>
        </is>
      </c>
      <c r="BD445" t="inlineStr">
        <is>
          <t>893512575</t>
        </is>
      </c>
    </row>
    <row r="446">
      <c r="A446" t="inlineStr">
        <is>
          <t>No</t>
        </is>
      </c>
      <c r="B446" t="inlineStr">
        <is>
          <t>BT21 .M15</t>
        </is>
      </c>
      <c r="C446" t="inlineStr">
        <is>
          <t>0                      BT 0021000M  15</t>
        </is>
      </c>
      <c r="D446" t="inlineStr">
        <is>
          <t>A history of Christian thought / by Arthur Cushman McGiffert.</t>
        </is>
      </c>
      <c r="E446" t="inlineStr">
        <is>
          <t>V. 2</t>
        </is>
      </c>
      <c r="F446" t="inlineStr">
        <is>
          <t>Yes</t>
        </is>
      </c>
      <c r="G446" t="inlineStr">
        <is>
          <t>1</t>
        </is>
      </c>
      <c r="H446" t="inlineStr">
        <is>
          <t>No</t>
        </is>
      </c>
      <c r="I446" t="inlineStr">
        <is>
          <t>No</t>
        </is>
      </c>
      <c r="J446" t="inlineStr">
        <is>
          <t>0</t>
        </is>
      </c>
      <c r="K446" t="inlineStr">
        <is>
          <t>McGiffert, Arthur Cushman, 1861-1933.</t>
        </is>
      </c>
      <c r="L446" t="inlineStr">
        <is>
          <t>New York, C. Scribner's Sons, 1932-33.</t>
        </is>
      </c>
      <c r="M446" t="inlineStr">
        <is>
          <t>1932</t>
        </is>
      </c>
      <c r="O446" t="inlineStr">
        <is>
          <t>eng</t>
        </is>
      </c>
      <c r="P446" t="inlineStr">
        <is>
          <t>___</t>
        </is>
      </c>
      <c r="R446" t="inlineStr">
        <is>
          <t xml:space="preserve">BT </t>
        </is>
      </c>
      <c r="S446" t="n">
        <v>9</v>
      </c>
      <c r="T446" t="n">
        <v>13</v>
      </c>
      <c r="U446" t="inlineStr">
        <is>
          <t>2008-12-02</t>
        </is>
      </c>
      <c r="V446" t="inlineStr">
        <is>
          <t>2008-12-02</t>
        </is>
      </c>
      <c r="W446" t="inlineStr">
        <is>
          <t>1991-06-12</t>
        </is>
      </c>
      <c r="X446" t="inlineStr">
        <is>
          <t>1991-06-12</t>
        </is>
      </c>
      <c r="Y446" t="n">
        <v>979</v>
      </c>
      <c r="Z446" t="n">
        <v>894</v>
      </c>
      <c r="AA446" t="n">
        <v>1083</v>
      </c>
      <c r="AB446" t="n">
        <v>10</v>
      </c>
      <c r="AC446" t="n">
        <v>12</v>
      </c>
      <c r="AD446" t="n">
        <v>34</v>
      </c>
      <c r="AE446" t="n">
        <v>44</v>
      </c>
      <c r="AF446" t="n">
        <v>12</v>
      </c>
      <c r="AG446" t="n">
        <v>17</v>
      </c>
      <c r="AH446" t="n">
        <v>6</v>
      </c>
      <c r="AI446" t="n">
        <v>8</v>
      </c>
      <c r="AJ446" t="n">
        <v>15</v>
      </c>
      <c r="AK446" t="n">
        <v>22</v>
      </c>
      <c r="AL446" t="n">
        <v>8</v>
      </c>
      <c r="AM446" t="n">
        <v>8</v>
      </c>
      <c r="AN446" t="n">
        <v>0</v>
      </c>
      <c r="AO446" t="n">
        <v>0</v>
      </c>
      <c r="AP446" t="inlineStr">
        <is>
          <t>No</t>
        </is>
      </c>
      <c r="AQ446" t="inlineStr">
        <is>
          <t>Yes</t>
        </is>
      </c>
      <c r="AR446">
        <f>HYPERLINK("http://catalog.hathitrust.org/Record/001411511","HathiTrust Record")</f>
        <v/>
      </c>
      <c r="AS446">
        <f>HYPERLINK("https://creighton-primo.hosted.exlibrisgroup.com/primo-explore/search?tab=default_tab&amp;search_scope=EVERYTHING&amp;vid=01CRU&amp;lang=en_US&amp;offset=0&amp;query=any,contains,991003511769702656","Catalog Record")</f>
        <v/>
      </c>
      <c r="AT446">
        <f>HYPERLINK("http://www.worldcat.org/oclc/1066878","WorldCat Record")</f>
        <v/>
      </c>
      <c r="AU446" t="inlineStr">
        <is>
          <t>2643357921:eng</t>
        </is>
      </c>
      <c r="AV446" t="inlineStr">
        <is>
          <t>1066878</t>
        </is>
      </c>
      <c r="AW446" t="inlineStr">
        <is>
          <t>991003511769702656</t>
        </is>
      </c>
      <c r="AX446" t="inlineStr">
        <is>
          <t>991003511769702656</t>
        </is>
      </c>
      <c r="AY446" t="inlineStr">
        <is>
          <t>2269053050002656</t>
        </is>
      </c>
      <c r="AZ446" t="inlineStr">
        <is>
          <t>BOOK</t>
        </is>
      </c>
      <c r="BC446" t="inlineStr">
        <is>
          <t>32285000685650</t>
        </is>
      </c>
      <c r="BD446" t="inlineStr">
        <is>
          <t>893499371</t>
        </is>
      </c>
    </row>
    <row r="447">
      <c r="A447" t="inlineStr">
        <is>
          <t>No</t>
        </is>
      </c>
      <c r="B447" t="inlineStr">
        <is>
          <t>BT21 .M15</t>
        </is>
      </c>
      <c r="C447" t="inlineStr">
        <is>
          <t>0                      BT 0021000M  15</t>
        </is>
      </c>
      <c r="D447" t="inlineStr">
        <is>
          <t>A history of Christian thought / by Arthur Cushman McGiffert.</t>
        </is>
      </c>
      <c r="E447" t="inlineStr">
        <is>
          <t>V. 1</t>
        </is>
      </c>
      <c r="F447" t="inlineStr">
        <is>
          <t>Yes</t>
        </is>
      </c>
      <c r="G447" t="inlineStr">
        <is>
          <t>1</t>
        </is>
      </c>
      <c r="H447" t="inlineStr">
        <is>
          <t>No</t>
        </is>
      </c>
      <c r="I447" t="inlineStr">
        <is>
          <t>No</t>
        </is>
      </c>
      <c r="J447" t="inlineStr">
        <is>
          <t>0</t>
        </is>
      </c>
      <c r="K447" t="inlineStr">
        <is>
          <t>McGiffert, Arthur Cushman, 1861-1933.</t>
        </is>
      </c>
      <c r="L447" t="inlineStr">
        <is>
          <t>New York, C. Scribner's Sons, 1932-33.</t>
        </is>
      </c>
      <c r="M447" t="inlineStr">
        <is>
          <t>1932</t>
        </is>
      </c>
      <c r="O447" t="inlineStr">
        <is>
          <t>eng</t>
        </is>
      </c>
      <c r="P447" t="inlineStr">
        <is>
          <t>___</t>
        </is>
      </c>
      <c r="R447" t="inlineStr">
        <is>
          <t xml:space="preserve">BT </t>
        </is>
      </c>
      <c r="S447" t="n">
        <v>4</v>
      </c>
      <c r="T447" t="n">
        <v>13</v>
      </c>
      <c r="U447" t="inlineStr">
        <is>
          <t>2008-12-02</t>
        </is>
      </c>
      <c r="V447" t="inlineStr">
        <is>
          <t>2008-12-02</t>
        </is>
      </c>
      <c r="W447" t="inlineStr">
        <is>
          <t>1991-06-12</t>
        </is>
      </c>
      <c r="X447" t="inlineStr">
        <is>
          <t>1991-06-12</t>
        </is>
      </c>
      <c r="Y447" t="n">
        <v>979</v>
      </c>
      <c r="Z447" t="n">
        <v>894</v>
      </c>
      <c r="AA447" t="n">
        <v>1083</v>
      </c>
      <c r="AB447" t="n">
        <v>10</v>
      </c>
      <c r="AC447" t="n">
        <v>12</v>
      </c>
      <c r="AD447" t="n">
        <v>34</v>
      </c>
      <c r="AE447" t="n">
        <v>44</v>
      </c>
      <c r="AF447" t="n">
        <v>12</v>
      </c>
      <c r="AG447" t="n">
        <v>17</v>
      </c>
      <c r="AH447" t="n">
        <v>6</v>
      </c>
      <c r="AI447" t="n">
        <v>8</v>
      </c>
      <c r="AJ447" t="n">
        <v>15</v>
      </c>
      <c r="AK447" t="n">
        <v>22</v>
      </c>
      <c r="AL447" t="n">
        <v>8</v>
      </c>
      <c r="AM447" t="n">
        <v>8</v>
      </c>
      <c r="AN447" t="n">
        <v>0</v>
      </c>
      <c r="AO447" t="n">
        <v>0</v>
      </c>
      <c r="AP447" t="inlineStr">
        <is>
          <t>No</t>
        </is>
      </c>
      <c r="AQ447" t="inlineStr">
        <is>
          <t>Yes</t>
        </is>
      </c>
      <c r="AR447">
        <f>HYPERLINK("http://catalog.hathitrust.org/Record/001411511","HathiTrust Record")</f>
        <v/>
      </c>
      <c r="AS447">
        <f>HYPERLINK("https://creighton-primo.hosted.exlibrisgroup.com/primo-explore/search?tab=default_tab&amp;search_scope=EVERYTHING&amp;vid=01CRU&amp;lang=en_US&amp;offset=0&amp;query=any,contains,991003511769702656","Catalog Record")</f>
        <v/>
      </c>
      <c r="AT447">
        <f>HYPERLINK("http://www.worldcat.org/oclc/1066878","WorldCat Record")</f>
        <v/>
      </c>
      <c r="AU447" t="inlineStr">
        <is>
          <t>2643357921:eng</t>
        </is>
      </c>
      <c r="AV447" t="inlineStr">
        <is>
          <t>1066878</t>
        </is>
      </c>
      <c r="AW447" t="inlineStr">
        <is>
          <t>991003511769702656</t>
        </is>
      </c>
      <c r="AX447" t="inlineStr">
        <is>
          <t>991003511769702656</t>
        </is>
      </c>
      <c r="AY447" t="inlineStr">
        <is>
          <t>2269053050002656</t>
        </is>
      </c>
      <c r="AZ447" t="inlineStr">
        <is>
          <t>BOOK</t>
        </is>
      </c>
      <c r="BC447" t="inlineStr">
        <is>
          <t>32285000685643</t>
        </is>
      </c>
      <c r="BD447" t="inlineStr">
        <is>
          <t>893524884</t>
        </is>
      </c>
    </row>
    <row r="448">
      <c r="A448" t="inlineStr">
        <is>
          <t>No</t>
        </is>
      </c>
      <c r="B448" t="inlineStr">
        <is>
          <t>BT21 .O8</t>
        </is>
      </c>
      <c r="C448" t="inlineStr">
        <is>
          <t>0                      BT 0021000O  8</t>
        </is>
      </c>
      <c r="D448" t="inlineStr">
        <is>
          <t>A manual of the history of dogmas, by Bernard J. Otten.</t>
        </is>
      </c>
      <c r="E448" t="inlineStr">
        <is>
          <t>V. 2</t>
        </is>
      </c>
      <c r="F448" t="inlineStr">
        <is>
          <t>Yes</t>
        </is>
      </c>
      <c r="G448" t="inlineStr">
        <is>
          <t>1</t>
        </is>
      </c>
      <c r="H448" t="inlineStr">
        <is>
          <t>No</t>
        </is>
      </c>
      <c r="I448" t="inlineStr">
        <is>
          <t>No</t>
        </is>
      </c>
      <c r="J448" t="inlineStr">
        <is>
          <t>0</t>
        </is>
      </c>
      <c r="K448" t="inlineStr">
        <is>
          <t>Otten, Bernard J. (Bernard John), 1862-1930.</t>
        </is>
      </c>
      <c r="L448" t="inlineStr">
        <is>
          <t>St. Louis, Mo., and London, B. Herder, 1917-1918.</t>
        </is>
      </c>
      <c r="M448" t="inlineStr">
        <is>
          <t>1918</t>
        </is>
      </c>
      <c r="O448" t="inlineStr">
        <is>
          <t>eng</t>
        </is>
      </c>
      <c r="P448" t="inlineStr">
        <is>
          <t>mou</t>
        </is>
      </c>
      <c r="R448" t="inlineStr">
        <is>
          <t xml:space="preserve">BT </t>
        </is>
      </c>
      <c r="S448" t="n">
        <v>1</v>
      </c>
      <c r="T448" t="n">
        <v>4</v>
      </c>
      <c r="U448" t="inlineStr">
        <is>
          <t>1995-10-10</t>
        </is>
      </c>
      <c r="V448" t="inlineStr">
        <is>
          <t>2009-04-21</t>
        </is>
      </c>
      <c r="W448" t="inlineStr">
        <is>
          <t>1991-06-12</t>
        </is>
      </c>
      <c r="X448" t="inlineStr">
        <is>
          <t>1991-06-12</t>
        </is>
      </c>
      <c r="Y448" t="n">
        <v>118</v>
      </c>
      <c r="Z448" t="n">
        <v>107</v>
      </c>
      <c r="AA448" t="n">
        <v>148</v>
      </c>
      <c r="AB448" t="n">
        <v>2</v>
      </c>
      <c r="AC448" t="n">
        <v>3</v>
      </c>
      <c r="AD448" t="n">
        <v>23</v>
      </c>
      <c r="AE448" t="n">
        <v>23</v>
      </c>
      <c r="AF448" t="n">
        <v>8</v>
      </c>
      <c r="AG448" t="n">
        <v>8</v>
      </c>
      <c r="AH448" t="n">
        <v>4</v>
      </c>
      <c r="AI448" t="n">
        <v>4</v>
      </c>
      <c r="AJ448" t="n">
        <v>18</v>
      </c>
      <c r="AK448" t="n">
        <v>18</v>
      </c>
      <c r="AL448" t="n">
        <v>0</v>
      </c>
      <c r="AM448" t="n">
        <v>0</v>
      </c>
      <c r="AN448" t="n">
        <v>0</v>
      </c>
      <c r="AO448" t="n">
        <v>0</v>
      </c>
      <c r="AP448" t="inlineStr">
        <is>
          <t>Yes</t>
        </is>
      </c>
      <c r="AQ448" t="inlineStr">
        <is>
          <t>No</t>
        </is>
      </c>
      <c r="AR448">
        <f>HYPERLINK("http://catalog.hathitrust.org/Record/001926826","HathiTrust Record")</f>
        <v/>
      </c>
      <c r="AS448">
        <f>HYPERLINK("https://creighton-primo.hosted.exlibrisgroup.com/primo-explore/search?tab=default_tab&amp;search_scope=EVERYTHING&amp;vid=01CRU&amp;lang=en_US&amp;offset=0&amp;query=any,contains,991004384149702656","Catalog Record")</f>
        <v/>
      </c>
      <c r="AT448">
        <f>HYPERLINK("http://www.worldcat.org/oclc/3237713","WorldCat Record")</f>
        <v/>
      </c>
      <c r="AU448" t="inlineStr">
        <is>
          <t>9450275:eng</t>
        </is>
      </c>
      <c r="AV448" t="inlineStr">
        <is>
          <t>3237713</t>
        </is>
      </c>
      <c r="AW448" t="inlineStr">
        <is>
          <t>991004384149702656</t>
        </is>
      </c>
      <c r="AX448" t="inlineStr">
        <is>
          <t>991004384149702656</t>
        </is>
      </c>
      <c r="AY448" t="inlineStr">
        <is>
          <t>2258137900002656</t>
        </is>
      </c>
      <c r="AZ448" t="inlineStr">
        <is>
          <t>BOOK</t>
        </is>
      </c>
      <c r="BC448" t="inlineStr">
        <is>
          <t>32285000685676</t>
        </is>
      </c>
      <c r="BD448" t="inlineStr">
        <is>
          <t>893618600</t>
        </is>
      </c>
    </row>
    <row r="449">
      <c r="A449" t="inlineStr">
        <is>
          <t>No</t>
        </is>
      </c>
      <c r="B449" t="inlineStr">
        <is>
          <t>BT21 .O8</t>
        </is>
      </c>
      <c r="C449" t="inlineStr">
        <is>
          <t>0                      BT 0021000O  8</t>
        </is>
      </c>
      <c r="D449" t="inlineStr">
        <is>
          <t>A manual of the history of dogmas, by Bernard J. Otten.</t>
        </is>
      </c>
      <c r="E449" t="inlineStr">
        <is>
          <t>V. 1</t>
        </is>
      </c>
      <c r="F449" t="inlineStr">
        <is>
          <t>Yes</t>
        </is>
      </c>
      <c r="G449" t="inlineStr">
        <is>
          <t>1</t>
        </is>
      </c>
      <c r="H449" t="inlineStr">
        <is>
          <t>No</t>
        </is>
      </c>
      <c r="I449" t="inlineStr">
        <is>
          <t>No</t>
        </is>
      </c>
      <c r="J449" t="inlineStr">
        <is>
          <t>0</t>
        </is>
      </c>
      <c r="K449" t="inlineStr">
        <is>
          <t>Otten, Bernard J. (Bernard John), 1862-1930.</t>
        </is>
      </c>
      <c r="L449" t="inlineStr">
        <is>
          <t>St. Louis, Mo., and London, B. Herder, 1917-1918.</t>
        </is>
      </c>
      <c r="M449" t="inlineStr">
        <is>
          <t>1918</t>
        </is>
      </c>
      <c r="O449" t="inlineStr">
        <is>
          <t>eng</t>
        </is>
      </c>
      <c r="P449" t="inlineStr">
        <is>
          <t>mou</t>
        </is>
      </c>
      <c r="R449" t="inlineStr">
        <is>
          <t xml:space="preserve">BT </t>
        </is>
      </c>
      <c r="S449" t="n">
        <v>3</v>
      </c>
      <c r="T449" t="n">
        <v>4</v>
      </c>
      <c r="U449" t="inlineStr">
        <is>
          <t>2009-04-21</t>
        </is>
      </c>
      <c r="V449" t="inlineStr">
        <is>
          <t>2009-04-21</t>
        </is>
      </c>
      <c r="W449" t="inlineStr">
        <is>
          <t>1991-06-12</t>
        </is>
      </c>
      <c r="X449" t="inlineStr">
        <is>
          <t>1991-06-12</t>
        </is>
      </c>
      <c r="Y449" t="n">
        <v>118</v>
      </c>
      <c r="Z449" t="n">
        <v>107</v>
      </c>
      <c r="AA449" t="n">
        <v>148</v>
      </c>
      <c r="AB449" t="n">
        <v>2</v>
      </c>
      <c r="AC449" t="n">
        <v>3</v>
      </c>
      <c r="AD449" t="n">
        <v>23</v>
      </c>
      <c r="AE449" t="n">
        <v>23</v>
      </c>
      <c r="AF449" t="n">
        <v>8</v>
      </c>
      <c r="AG449" t="n">
        <v>8</v>
      </c>
      <c r="AH449" t="n">
        <v>4</v>
      </c>
      <c r="AI449" t="n">
        <v>4</v>
      </c>
      <c r="AJ449" t="n">
        <v>18</v>
      </c>
      <c r="AK449" t="n">
        <v>18</v>
      </c>
      <c r="AL449" t="n">
        <v>0</v>
      </c>
      <c r="AM449" t="n">
        <v>0</v>
      </c>
      <c r="AN449" t="n">
        <v>0</v>
      </c>
      <c r="AO449" t="n">
        <v>0</v>
      </c>
      <c r="AP449" t="inlineStr">
        <is>
          <t>Yes</t>
        </is>
      </c>
      <c r="AQ449" t="inlineStr">
        <is>
          <t>No</t>
        </is>
      </c>
      <c r="AR449">
        <f>HYPERLINK("http://catalog.hathitrust.org/Record/001926826","HathiTrust Record")</f>
        <v/>
      </c>
      <c r="AS449">
        <f>HYPERLINK("https://creighton-primo.hosted.exlibrisgroup.com/primo-explore/search?tab=default_tab&amp;search_scope=EVERYTHING&amp;vid=01CRU&amp;lang=en_US&amp;offset=0&amp;query=any,contains,991004384149702656","Catalog Record")</f>
        <v/>
      </c>
      <c r="AT449">
        <f>HYPERLINK("http://www.worldcat.org/oclc/3237713","WorldCat Record")</f>
        <v/>
      </c>
      <c r="AU449" t="inlineStr">
        <is>
          <t>9450275:eng</t>
        </is>
      </c>
      <c r="AV449" t="inlineStr">
        <is>
          <t>3237713</t>
        </is>
      </c>
      <c r="AW449" t="inlineStr">
        <is>
          <t>991004384149702656</t>
        </is>
      </c>
      <c r="AX449" t="inlineStr">
        <is>
          <t>991004384149702656</t>
        </is>
      </c>
      <c r="AY449" t="inlineStr">
        <is>
          <t>2258137900002656</t>
        </is>
      </c>
      <c r="AZ449" t="inlineStr">
        <is>
          <t>BOOK</t>
        </is>
      </c>
      <c r="BC449" t="inlineStr">
        <is>
          <t>32285000685668</t>
        </is>
      </c>
      <c r="BD449" t="inlineStr">
        <is>
          <t>893624661</t>
        </is>
      </c>
    </row>
    <row r="450">
      <c r="A450" t="inlineStr">
        <is>
          <t>No</t>
        </is>
      </c>
      <c r="B450" t="inlineStr">
        <is>
          <t>BT21.2 .B86</t>
        </is>
      </c>
      <c r="C450" t="inlineStr">
        <is>
          <t>0                      BT 0021200B  86</t>
        </is>
      </c>
      <c r="D450" t="inlineStr">
        <is>
          <t>The evolution of Christian thought / by T. A. Burkill.</t>
        </is>
      </c>
      <c r="F450" t="inlineStr">
        <is>
          <t>No</t>
        </is>
      </c>
      <c r="G450" t="inlineStr">
        <is>
          <t>1</t>
        </is>
      </c>
      <c r="H450" t="inlineStr">
        <is>
          <t>No</t>
        </is>
      </c>
      <c r="I450" t="inlineStr">
        <is>
          <t>No</t>
        </is>
      </c>
      <c r="J450" t="inlineStr">
        <is>
          <t>0</t>
        </is>
      </c>
      <c r="K450" t="inlineStr">
        <is>
          <t>Burkill, T. Alec.</t>
        </is>
      </c>
      <c r="L450" t="inlineStr">
        <is>
          <t>Ithaca [N.Y.] Cornell University Press [1971]</t>
        </is>
      </c>
      <c r="M450" t="inlineStr">
        <is>
          <t>1971</t>
        </is>
      </c>
      <c r="O450" t="inlineStr">
        <is>
          <t>eng</t>
        </is>
      </c>
      <c r="P450" t="inlineStr">
        <is>
          <t>nyu</t>
        </is>
      </c>
      <c r="R450" t="inlineStr">
        <is>
          <t xml:space="preserve">BT </t>
        </is>
      </c>
      <c r="S450" t="n">
        <v>4</v>
      </c>
      <c r="T450" t="n">
        <v>4</v>
      </c>
      <c r="U450" t="inlineStr">
        <is>
          <t>2010-07-01</t>
        </is>
      </c>
      <c r="V450" t="inlineStr">
        <is>
          <t>2010-07-01</t>
        </is>
      </c>
      <c r="W450" t="inlineStr">
        <is>
          <t>1991-06-14</t>
        </is>
      </c>
      <c r="X450" t="inlineStr">
        <is>
          <t>1991-06-14</t>
        </is>
      </c>
      <c r="Y450" t="n">
        <v>1119</v>
      </c>
      <c r="Z450" t="n">
        <v>979</v>
      </c>
      <c r="AA450" t="n">
        <v>986</v>
      </c>
      <c r="AB450" t="n">
        <v>8</v>
      </c>
      <c r="AC450" t="n">
        <v>8</v>
      </c>
      <c r="AD450" t="n">
        <v>44</v>
      </c>
      <c r="AE450" t="n">
        <v>44</v>
      </c>
      <c r="AF450" t="n">
        <v>16</v>
      </c>
      <c r="AG450" t="n">
        <v>16</v>
      </c>
      <c r="AH450" t="n">
        <v>9</v>
      </c>
      <c r="AI450" t="n">
        <v>9</v>
      </c>
      <c r="AJ450" t="n">
        <v>25</v>
      </c>
      <c r="AK450" t="n">
        <v>25</v>
      </c>
      <c r="AL450" t="n">
        <v>6</v>
      </c>
      <c r="AM450" t="n">
        <v>6</v>
      </c>
      <c r="AN450" t="n">
        <v>0</v>
      </c>
      <c r="AO450" t="n">
        <v>0</v>
      </c>
      <c r="AP450" t="inlineStr">
        <is>
          <t>No</t>
        </is>
      </c>
      <c r="AQ450" t="inlineStr">
        <is>
          <t>Yes</t>
        </is>
      </c>
      <c r="AR450">
        <f>HYPERLINK("http://catalog.hathitrust.org/Record/001926903","HathiTrust Record")</f>
        <v/>
      </c>
      <c r="AS450">
        <f>HYPERLINK("https://creighton-primo.hosted.exlibrisgroup.com/primo-explore/search?tab=default_tab&amp;search_scope=EVERYTHING&amp;vid=01CRU&amp;lang=en_US&amp;offset=0&amp;query=any,contains,991000689209702656","Catalog Record")</f>
        <v/>
      </c>
      <c r="AT450">
        <f>HYPERLINK("http://www.worldcat.org/oclc/123340","WorldCat Record")</f>
        <v/>
      </c>
      <c r="AU450" t="inlineStr">
        <is>
          <t>450041:eng</t>
        </is>
      </c>
      <c r="AV450" t="inlineStr">
        <is>
          <t>123340</t>
        </is>
      </c>
      <c r="AW450" t="inlineStr">
        <is>
          <t>991000689209702656</t>
        </is>
      </c>
      <c r="AX450" t="inlineStr">
        <is>
          <t>991000689209702656</t>
        </is>
      </c>
      <c r="AY450" t="inlineStr">
        <is>
          <t>2263512020002656</t>
        </is>
      </c>
      <c r="AZ450" t="inlineStr">
        <is>
          <t>BOOK</t>
        </is>
      </c>
      <c r="BB450" t="inlineStr">
        <is>
          <t>9780801405815</t>
        </is>
      </c>
      <c r="BC450" t="inlineStr">
        <is>
          <t>32285000685981</t>
        </is>
      </c>
      <c r="BD450" t="inlineStr">
        <is>
          <t>893432209</t>
        </is>
      </c>
    </row>
    <row r="451">
      <c r="A451" t="inlineStr">
        <is>
          <t>No</t>
        </is>
      </c>
      <c r="B451" t="inlineStr">
        <is>
          <t>BT21.2 .H36</t>
        </is>
      </c>
      <c r="C451" t="inlineStr">
        <is>
          <t>0                      BT 0021200H  36</t>
        </is>
      </c>
      <c r="D451" t="inlineStr">
        <is>
          <t>The continuity of Christian doctrine / by R.P.C. Hanson ; with an introduction by Joseph F. Kelly.</t>
        </is>
      </c>
      <c r="F451" t="inlineStr">
        <is>
          <t>No</t>
        </is>
      </c>
      <c r="G451" t="inlineStr">
        <is>
          <t>1</t>
        </is>
      </c>
      <c r="H451" t="inlineStr">
        <is>
          <t>No</t>
        </is>
      </c>
      <c r="I451" t="inlineStr">
        <is>
          <t>No</t>
        </is>
      </c>
      <c r="J451" t="inlineStr">
        <is>
          <t>0</t>
        </is>
      </c>
      <c r="K451" t="inlineStr">
        <is>
          <t>Hanson, R. P. C. (Richard Patrick Crosland), 1916-1988.</t>
        </is>
      </c>
      <c r="L451" t="inlineStr">
        <is>
          <t>New York : Seabury Press, 1981.</t>
        </is>
      </c>
      <c r="M451" t="inlineStr">
        <is>
          <t>1981</t>
        </is>
      </c>
      <c r="O451" t="inlineStr">
        <is>
          <t>eng</t>
        </is>
      </c>
      <c r="P451" t="inlineStr">
        <is>
          <t>nyu</t>
        </is>
      </c>
      <c r="Q451" t="inlineStr">
        <is>
          <t>The Walter and Mary Tuohy lectures</t>
        </is>
      </c>
      <c r="R451" t="inlineStr">
        <is>
          <t xml:space="preserve">BT </t>
        </is>
      </c>
      <c r="S451" t="n">
        <v>4</v>
      </c>
      <c r="T451" t="n">
        <v>4</v>
      </c>
      <c r="U451" t="inlineStr">
        <is>
          <t>2007-11-03</t>
        </is>
      </c>
      <c r="V451" t="inlineStr">
        <is>
          <t>2007-11-03</t>
        </is>
      </c>
      <c r="W451" t="inlineStr">
        <is>
          <t>1994-02-16</t>
        </is>
      </c>
      <c r="X451" t="inlineStr">
        <is>
          <t>1994-02-16</t>
        </is>
      </c>
      <c r="Y451" t="n">
        <v>236</v>
      </c>
      <c r="Z451" t="n">
        <v>209</v>
      </c>
      <c r="AA451" t="n">
        <v>223</v>
      </c>
      <c r="AB451" t="n">
        <v>2</v>
      </c>
      <c r="AC451" t="n">
        <v>2</v>
      </c>
      <c r="AD451" t="n">
        <v>15</v>
      </c>
      <c r="AE451" t="n">
        <v>16</v>
      </c>
      <c r="AF451" t="n">
        <v>5</v>
      </c>
      <c r="AG451" t="n">
        <v>6</v>
      </c>
      <c r="AH451" t="n">
        <v>3</v>
      </c>
      <c r="AI451" t="n">
        <v>3</v>
      </c>
      <c r="AJ451" t="n">
        <v>10</v>
      </c>
      <c r="AK451" t="n">
        <v>10</v>
      </c>
      <c r="AL451" t="n">
        <v>1</v>
      </c>
      <c r="AM451" t="n">
        <v>1</v>
      </c>
      <c r="AN451" t="n">
        <v>0</v>
      </c>
      <c r="AO451" t="n">
        <v>0</v>
      </c>
      <c r="AP451" t="inlineStr">
        <is>
          <t>No</t>
        </is>
      </c>
      <c r="AQ451" t="inlineStr">
        <is>
          <t>Yes</t>
        </is>
      </c>
      <c r="AR451">
        <f>HYPERLINK("http://catalog.hathitrust.org/Record/000303678","HathiTrust Record")</f>
        <v/>
      </c>
      <c r="AS451">
        <f>HYPERLINK("https://creighton-primo.hosted.exlibrisgroup.com/primo-explore/search?tab=default_tab&amp;search_scope=EVERYTHING&amp;vid=01CRU&amp;lang=en_US&amp;offset=0&amp;query=any,contains,991005115929702656","Catalog Record")</f>
        <v/>
      </c>
      <c r="AT451">
        <f>HYPERLINK("http://www.worldcat.org/oclc/7462431","WorldCat Record")</f>
        <v/>
      </c>
      <c r="AU451" t="inlineStr">
        <is>
          <t>294370037:eng</t>
        </is>
      </c>
      <c r="AV451" t="inlineStr">
        <is>
          <t>7462431</t>
        </is>
      </c>
      <c r="AW451" t="inlineStr">
        <is>
          <t>991005115929702656</t>
        </is>
      </c>
      <c r="AX451" t="inlineStr">
        <is>
          <t>991005115929702656</t>
        </is>
      </c>
      <c r="AY451" t="inlineStr">
        <is>
          <t>2262780400002656</t>
        </is>
      </c>
      <c r="AZ451" t="inlineStr">
        <is>
          <t>BOOK</t>
        </is>
      </c>
      <c r="BB451" t="inlineStr">
        <is>
          <t>9780816405046</t>
        </is>
      </c>
      <c r="BC451" t="inlineStr">
        <is>
          <t>32285000686021</t>
        </is>
      </c>
      <c r="BD451" t="inlineStr">
        <is>
          <t>893520453</t>
        </is>
      </c>
    </row>
    <row r="452">
      <c r="A452" t="inlineStr">
        <is>
          <t>No</t>
        </is>
      </c>
      <c r="B452" t="inlineStr">
        <is>
          <t>BT21.2 .H57 1980</t>
        </is>
      </c>
      <c r="C452" t="inlineStr">
        <is>
          <t>0                      BT 0021200H  57          1980</t>
        </is>
      </c>
      <c r="D452" t="inlineStr">
        <is>
          <t>A History of Christian doctrine : in succession to the earlier work of G. P. Fisher, published in the International technological library series / edited by Hubert Cunliffe-Jones, assisted by Benjamin Drewery.</t>
        </is>
      </c>
      <c r="F452" t="inlineStr">
        <is>
          <t>No</t>
        </is>
      </c>
      <c r="G452" t="inlineStr">
        <is>
          <t>1</t>
        </is>
      </c>
      <c r="H452" t="inlineStr">
        <is>
          <t>No</t>
        </is>
      </c>
      <c r="I452" t="inlineStr">
        <is>
          <t>No</t>
        </is>
      </c>
      <c r="J452" t="inlineStr">
        <is>
          <t>0</t>
        </is>
      </c>
      <c r="L452" t="inlineStr">
        <is>
          <t>Philadelphia : Fortress Press, 1980, c1978.</t>
        </is>
      </c>
      <c r="M452" t="inlineStr">
        <is>
          <t>1980</t>
        </is>
      </c>
      <c r="O452" t="inlineStr">
        <is>
          <t>eng</t>
        </is>
      </c>
      <c r="P452" t="inlineStr">
        <is>
          <t>pau</t>
        </is>
      </c>
      <c r="R452" t="inlineStr">
        <is>
          <t xml:space="preserve">BT </t>
        </is>
      </c>
      <c r="S452" t="n">
        <v>7</v>
      </c>
      <c r="T452" t="n">
        <v>7</v>
      </c>
      <c r="U452" t="inlineStr">
        <is>
          <t>2005-06-27</t>
        </is>
      </c>
      <c r="V452" t="inlineStr">
        <is>
          <t>2005-06-27</t>
        </is>
      </c>
      <c r="W452" t="inlineStr">
        <is>
          <t>1990-05-23</t>
        </is>
      </c>
      <c r="X452" t="inlineStr">
        <is>
          <t>1990-05-23</t>
        </is>
      </c>
      <c r="Y452" t="n">
        <v>734</v>
      </c>
      <c r="Z452" t="n">
        <v>683</v>
      </c>
      <c r="AA452" t="n">
        <v>702</v>
      </c>
      <c r="AB452" t="n">
        <v>7</v>
      </c>
      <c r="AC452" t="n">
        <v>8</v>
      </c>
      <c r="AD452" t="n">
        <v>38</v>
      </c>
      <c r="AE452" t="n">
        <v>39</v>
      </c>
      <c r="AF452" t="n">
        <v>17</v>
      </c>
      <c r="AG452" t="n">
        <v>17</v>
      </c>
      <c r="AH452" t="n">
        <v>7</v>
      </c>
      <c r="AI452" t="n">
        <v>7</v>
      </c>
      <c r="AJ452" t="n">
        <v>18</v>
      </c>
      <c r="AK452" t="n">
        <v>18</v>
      </c>
      <c r="AL452" t="n">
        <v>5</v>
      </c>
      <c r="AM452" t="n">
        <v>6</v>
      </c>
      <c r="AN452" t="n">
        <v>0</v>
      </c>
      <c r="AO452" t="n">
        <v>0</v>
      </c>
      <c r="AP452" t="inlineStr">
        <is>
          <t>No</t>
        </is>
      </c>
      <c r="AQ452" t="inlineStr">
        <is>
          <t>Yes</t>
        </is>
      </c>
      <c r="AR452">
        <f>HYPERLINK("http://catalog.hathitrust.org/Record/000732608","HathiTrust Record")</f>
        <v/>
      </c>
      <c r="AS452">
        <f>HYPERLINK("https://creighton-primo.hosted.exlibrisgroup.com/primo-explore/search?tab=default_tab&amp;search_scope=EVERYTHING&amp;vid=01CRU&amp;lang=en_US&amp;offset=0&amp;query=any,contains,991004835509702656","Catalog Record")</f>
        <v/>
      </c>
      <c r="AT452">
        <f>HYPERLINK("http://www.worldcat.org/oclc/5447623","WorldCat Record")</f>
        <v/>
      </c>
      <c r="AU452" t="inlineStr">
        <is>
          <t>4917936450:eng</t>
        </is>
      </c>
      <c r="AV452" t="inlineStr">
        <is>
          <t>5447623</t>
        </is>
      </c>
      <c r="AW452" t="inlineStr">
        <is>
          <t>991004835509702656</t>
        </is>
      </c>
      <c r="AX452" t="inlineStr">
        <is>
          <t>991004835509702656</t>
        </is>
      </c>
      <c r="AY452" t="inlineStr">
        <is>
          <t>2259327160002656</t>
        </is>
      </c>
      <c r="AZ452" t="inlineStr">
        <is>
          <t>BOOK</t>
        </is>
      </c>
      <c r="BB452" t="inlineStr">
        <is>
          <t>9780800606268</t>
        </is>
      </c>
      <c r="BC452" t="inlineStr">
        <is>
          <t>32285000164599</t>
        </is>
      </c>
      <c r="BD452" t="inlineStr">
        <is>
          <t>893260230</t>
        </is>
      </c>
    </row>
    <row r="453">
      <c r="A453" t="inlineStr">
        <is>
          <t>No</t>
        </is>
      </c>
      <c r="B453" t="inlineStr">
        <is>
          <t>BT21.2 .L613</t>
        </is>
      </c>
      <c r="C453" t="inlineStr">
        <is>
          <t>0                      BT 0021200L  613</t>
        </is>
      </c>
      <c r="D453" t="inlineStr">
        <is>
          <t>A short history of Christian doctrine / translated by F. Ernest Stoeffler.</t>
        </is>
      </c>
      <c r="F453" t="inlineStr">
        <is>
          <t>No</t>
        </is>
      </c>
      <c r="G453" t="inlineStr">
        <is>
          <t>1</t>
        </is>
      </c>
      <c r="H453" t="inlineStr">
        <is>
          <t>No</t>
        </is>
      </c>
      <c r="I453" t="inlineStr">
        <is>
          <t>No</t>
        </is>
      </c>
      <c r="J453" t="inlineStr">
        <is>
          <t>0</t>
        </is>
      </c>
      <c r="K453" t="inlineStr">
        <is>
          <t>Lohse, Bernhard, 1928-1997.</t>
        </is>
      </c>
      <c r="L453" t="inlineStr">
        <is>
          <t>Philadelphia : Fortress Press, [1966]</t>
        </is>
      </c>
      <c r="M453" t="inlineStr">
        <is>
          <t>1966</t>
        </is>
      </c>
      <c r="O453" t="inlineStr">
        <is>
          <t>eng</t>
        </is>
      </c>
      <c r="P453" t="inlineStr">
        <is>
          <t>pau</t>
        </is>
      </c>
      <c r="R453" t="inlineStr">
        <is>
          <t xml:space="preserve">BT </t>
        </is>
      </c>
      <c r="S453" t="n">
        <v>6</v>
      </c>
      <c r="T453" t="n">
        <v>6</v>
      </c>
      <c r="U453" t="inlineStr">
        <is>
          <t>2010-07-08</t>
        </is>
      </c>
      <c r="V453" t="inlineStr">
        <is>
          <t>2010-07-08</t>
        </is>
      </c>
      <c r="W453" t="inlineStr">
        <is>
          <t>1991-06-14</t>
        </is>
      </c>
      <c r="X453" t="inlineStr">
        <is>
          <t>1991-06-14</t>
        </is>
      </c>
      <c r="Y453" t="n">
        <v>510</v>
      </c>
      <c r="Z453" t="n">
        <v>443</v>
      </c>
      <c r="AA453" t="n">
        <v>581</v>
      </c>
      <c r="AB453" t="n">
        <v>7</v>
      </c>
      <c r="AC453" t="n">
        <v>8</v>
      </c>
      <c r="AD453" t="n">
        <v>36</v>
      </c>
      <c r="AE453" t="n">
        <v>42</v>
      </c>
      <c r="AF453" t="n">
        <v>14</v>
      </c>
      <c r="AG453" t="n">
        <v>16</v>
      </c>
      <c r="AH453" t="n">
        <v>7</v>
      </c>
      <c r="AI453" t="n">
        <v>7</v>
      </c>
      <c r="AJ453" t="n">
        <v>18</v>
      </c>
      <c r="AK453" t="n">
        <v>22</v>
      </c>
      <c r="AL453" t="n">
        <v>6</v>
      </c>
      <c r="AM453" t="n">
        <v>7</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HYPERLINK("https://creighton-primo.hosted.exlibrisgroup.com/primo-explore/search?tab=default_tab&amp;search_scope=EVERYTHING&amp;vid=01CRU&amp;lang=en_US&amp;offset=0&amp;query=any,contains,991003385059702656","Catalog Record")</f>
        <v/>
      </c>
      <c r="AT453">
        <f>HYPERLINK("http://www.worldcat.org/oclc/922115","WorldCat Record")</f>
        <v/>
      </c>
      <c r="AU453" t="inlineStr">
        <is>
          <t>449131:eng</t>
        </is>
      </c>
      <c r="AV453" t="inlineStr">
        <is>
          <t>922115</t>
        </is>
      </c>
      <c r="AW453" t="inlineStr">
        <is>
          <t>991003385059702656</t>
        </is>
      </c>
      <c r="AX453" t="inlineStr">
        <is>
          <t>991003385059702656</t>
        </is>
      </c>
      <c r="AY453" t="inlineStr">
        <is>
          <t>2269799090002656</t>
        </is>
      </c>
      <c r="AZ453" t="inlineStr">
        <is>
          <t>BOOK</t>
        </is>
      </c>
      <c r="BC453" t="inlineStr">
        <is>
          <t>32285000686047</t>
        </is>
      </c>
      <c r="BD453" t="inlineStr">
        <is>
          <t>893787281</t>
        </is>
      </c>
    </row>
    <row r="454">
      <c r="A454" t="inlineStr">
        <is>
          <t>No</t>
        </is>
      </c>
      <c r="B454" t="inlineStr">
        <is>
          <t>BT21.2 .O57 1999</t>
        </is>
      </c>
      <c r="C454" t="inlineStr">
        <is>
          <t>0                      BT 0021200O  57          1999</t>
        </is>
      </c>
      <c r="D454" t="inlineStr">
        <is>
          <t>The story of Christian theology : twenty centuries of tradition &amp; reform / Roger E. Olson.</t>
        </is>
      </c>
      <c r="F454" t="inlineStr">
        <is>
          <t>No</t>
        </is>
      </c>
      <c r="G454" t="inlineStr">
        <is>
          <t>1</t>
        </is>
      </c>
      <c r="H454" t="inlineStr">
        <is>
          <t>No</t>
        </is>
      </c>
      <c r="I454" t="inlineStr">
        <is>
          <t>No</t>
        </is>
      </c>
      <c r="J454" t="inlineStr">
        <is>
          <t>0</t>
        </is>
      </c>
      <c r="K454" t="inlineStr">
        <is>
          <t>Olson, Roger E.</t>
        </is>
      </c>
      <c r="L454" t="inlineStr">
        <is>
          <t>Downers Grove, Ill. : InterVarsity Press, c1999.</t>
        </is>
      </c>
      <c r="M454" t="inlineStr">
        <is>
          <t>1999</t>
        </is>
      </c>
      <c r="O454" t="inlineStr">
        <is>
          <t>eng</t>
        </is>
      </c>
      <c r="P454" t="inlineStr">
        <is>
          <t>ilu</t>
        </is>
      </c>
      <c r="R454" t="inlineStr">
        <is>
          <t xml:space="preserve">BT </t>
        </is>
      </c>
      <c r="S454" t="n">
        <v>6</v>
      </c>
      <c r="T454" t="n">
        <v>6</v>
      </c>
      <c r="U454" t="inlineStr">
        <is>
          <t>2003-04-22</t>
        </is>
      </c>
      <c r="V454" t="inlineStr">
        <is>
          <t>2003-04-22</t>
        </is>
      </c>
      <c r="W454" t="inlineStr">
        <is>
          <t>2001-01-16</t>
        </is>
      </c>
      <c r="X454" t="inlineStr">
        <is>
          <t>2001-01-16</t>
        </is>
      </c>
      <c r="Y454" t="n">
        <v>760</v>
      </c>
      <c r="Z454" t="n">
        <v>684</v>
      </c>
      <c r="AA454" t="n">
        <v>706</v>
      </c>
      <c r="AB454" t="n">
        <v>6</v>
      </c>
      <c r="AC454" t="n">
        <v>6</v>
      </c>
      <c r="AD454" t="n">
        <v>25</v>
      </c>
      <c r="AE454" t="n">
        <v>26</v>
      </c>
      <c r="AF454" t="n">
        <v>13</v>
      </c>
      <c r="AG454" t="n">
        <v>14</v>
      </c>
      <c r="AH454" t="n">
        <v>5</v>
      </c>
      <c r="AI454" t="n">
        <v>6</v>
      </c>
      <c r="AJ454" t="n">
        <v>9</v>
      </c>
      <c r="AK454" t="n">
        <v>9</v>
      </c>
      <c r="AL454" t="n">
        <v>4</v>
      </c>
      <c r="AM454" t="n">
        <v>4</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HYPERLINK("https://creighton-primo.hosted.exlibrisgroup.com/primo-explore/search?tab=default_tab&amp;search_scope=EVERYTHING&amp;vid=01CRU&amp;lang=en_US&amp;offset=0&amp;query=any,contains,991003363169702656","Catalog Record")</f>
        <v/>
      </c>
      <c r="AT454">
        <f>HYPERLINK("http://www.worldcat.org/oclc/40762786","WorldCat Record")</f>
        <v/>
      </c>
      <c r="AU454" t="inlineStr">
        <is>
          <t>20485646:eng</t>
        </is>
      </c>
      <c r="AV454" t="inlineStr">
        <is>
          <t>40762786</t>
        </is>
      </c>
      <c r="AW454" t="inlineStr">
        <is>
          <t>991003363169702656</t>
        </is>
      </c>
      <c r="AX454" t="inlineStr">
        <is>
          <t>991003363169702656</t>
        </is>
      </c>
      <c r="AY454" t="inlineStr">
        <is>
          <t>2267187780002656</t>
        </is>
      </c>
      <c r="AZ454" t="inlineStr">
        <is>
          <t>BOOK</t>
        </is>
      </c>
      <c r="BB454" t="inlineStr">
        <is>
          <t>9780830815050</t>
        </is>
      </c>
      <c r="BC454" t="inlineStr">
        <is>
          <t>32285004284393</t>
        </is>
      </c>
      <c r="BD454" t="inlineStr">
        <is>
          <t>893511887</t>
        </is>
      </c>
    </row>
    <row r="455">
      <c r="A455" t="inlineStr">
        <is>
          <t>No</t>
        </is>
      </c>
      <c r="B455" t="inlineStr">
        <is>
          <t>BT21.2 .P35 1984</t>
        </is>
      </c>
      <c r="C455" t="inlineStr">
        <is>
          <t>0                      BT 0021200P  35          1984</t>
        </is>
      </c>
      <c r="D455" t="inlineStr">
        <is>
          <t>From Luther to Tillich : the reformers and their heirs / Wilhelm Pauck ; edited by Marion Pauck.</t>
        </is>
      </c>
      <c r="F455" t="inlineStr">
        <is>
          <t>No</t>
        </is>
      </c>
      <c r="G455" t="inlineStr">
        <is>
          <t>1</t>
        </is>
      </c>
      <c r="H455" t="inlineStr">
        <is>
          <t>No</t>
        </is>
      </c>
      <c r="I455" t="inlineStr">
        <is>
          <t>No</t>
        </is>
      </c>
      <c r="J455" t="inlineStr">
        <is>
          <t>0</t>
        </is>
      </c>
      <c r="K455" t="inlineStr">
        <is>
          <t>Pauck, Wilhelm, 1901-1981.</t>
        </is>
      </c>
      <c r="L455" t="inlineStr">
        <is>
          <t>San Francisco : Harper &amp; Row, c1984.</t>
        </is>
      </c>
      <c r="M455" t="inlineStr">
        <is>
          <t>1984</t>
        </is>
      </c>
      <c r="N455" t="inlineStr">
        <is>
          <t>1st ed.</t>
        </is>
      </c>
      <c r="O455" t="inlineStr">
        <is>
          <t>eng</t>
        </is>
      </c>
      <c r="P455" t="inlineStr">
        <is>
          <t>cau</t>
        </is>
      </c>
      <c r="R455" t="inlineStr">
        <is>
          <t xml:space="preserve">BT </t>
        </is>
      </c>
      <c r="S455" t="n">
        <v>6</v>
      </c>
      <c r="T455" t="n">
        <v>6</v>
      </c>
      <c r="U455" t="inlineStr">
        <is>
          <t>1993-04-21</t>
        </is>
      </c>
      <c r="V455" t="inlineStr">
        <is>
          <t>1993-04-21</t>
        </is>
      </c>
      <c r="W455" t="inlineStr">
        <is>
          <t>1991-06-14</t>
        </is>
      </c>
      <c r="X455" t="inlineStr">
        <is>
          <t>1991-06-14</t>
        </is>
      </c>
      <c r="Y455" t="n">
        <v>497</v>
      </c>
      <c r="Z455" t="n">
        <v>428</v>
      </c>
      <c r="AA455" t="n">
        <v>433</v>
      </c>
      <c r="AB455" t="n">
        <v>2</v>
      </c>
      <c r="AC455" t="n">
        <v>2</v>
      </c>
      <c r="AD455" t="n">
        <v>20</v>
      </c>
      <c r="AE455" t="n">
        <v>20</v>
      </c>
      <c r="AF455" t="n">
        <v>7</v>
      </c>
      <c r="AG455" t="n">
        <v>7</v>
      </c>
      <c r="AH455" t="n">
        <v>4</v>
      </c>
      <c r="AI455" t="n">
        <v>4</v>
      </c>
      <c r="AJ455" t="n">
        <v>13</v>
      </c>
      <c r="AK455" t="n">
        <v>13</v>
      </c>
      <c r="AL455" t="n">
        <v>1</v>
      </c>
      <c r="AM455" t="n">
        <v>1</v>
      </c>
      <c r="AN455" t="n">
        <v>0</v>
      </c>
      <c r="AO455" t="n">
        <v>0</v>
      </c>
      <c r="AP455" t="inlineStr">
        <is>
          <t>No</t>
        </is>
      </c>
      <c r="AQ455" t="inlineStr">
        <is>
          <t>Yes</t>
        </is>
      </c>
      <c r="AR455">
        <f>HYPERLINK("http://catalog.hathitrust.org/Record/000339820","HathiTrust Record")</f>
        <v/>
      </c>
      <c r="AS455">
        <f>HYPERLINK("https://creighton-primo.hosted.exlibrisgroup.com/primo-explore/search?tab=default_tab&amp;search_scope=EVERYTHING&amp;vid=01CRU&amp;lang=en_US&amp;offset=0&amp;query=any,contains,991000489029702656","Catalog Record")</f>
        <v/>
      </c>
      <c r="AT455">
        <f>HYPERLINK("http://www.worldcat.org/oclc/11091026","WorldCat Record")</f>
        <v/>
      </c>
      <c r="AU455" t="inlineStr">
        <is>
          <t>155875144:eng</t>
        </is>
      </c>
      <c r="AV455" t="inlineStr">
        <is>
          <t>11091026</t>
        </is>
      </c>
      <c r="AW455" t="inlineStr">
        <is>
          <t>991000489029702656</t>
        </is>
      </c>
      <c r="AX455" t="inlineStr">
        <is>
          <t>991000489029702656</t>
        </is>
      </c>
      <c r="AY455" t="inlineStr">
        <is>
          <t>2270777890002656</t>
        </is>
      </c>
      <c r="AZ455" t="inlineStr">
        <is>
          <t>BOOK</t>
        </is>
      </c>
      <c r="BB455" t="inlineStr">
        <is>
          <t>9780060664756</t>
        </is>
      </c>
      <c r="BC455" t="inlineStr">
        <is>
          <t>32285000686054</t>
        </is>
      </c>
      <c r="BD455" t="inlineStr">
        <is>
          <t>893802809</t>
        </is>
      </c>
    </row>
    <row r="456">
      <c r="A456" t="inlineStr">
        <is>
          <t>No</t>
        </is>
      </c>
      <c r="B456" t="inlineStr">
        <is>
          <t>BT21.2 .R42</t>
        </is>
      </c>
      <c r="C456" t="inlineStr">
        <is>
          <t>0                      BT 0021200R  42</t>
        </is>
      </c>
      <c r="D456" t="inlineStr">
        <is>
          <t>What are they saying about dogma? / By William E. Reiser.</t>
        </is>
      </c>
      <c r="F456" t="inlineStr">
        <is>
          <t>No</t>
        </is>
      </c>
      <c r="G456" t="inlineStr">
        <is>
          <t>1</t>
        </is>
      </c>
      <c r="H456" t="inlineStr">
        <is>
          <t>No</t>
        </is>
      </c>
      <c r="I456" t="inlineStr">
        <is>
          <t>No</t>
        </is>
      </c>
      <c r="J456" t="inlineStr">
        <is>
          <t>0</t>
        </is>
      </c>
      <c r="K456" t="inlineStr">
        <is>
          <t>Reiser, William E.</t>
        </is>
      </c>
      <c r="L456" t="inlineStr">
        <is>
          <t>New York : Paulist Press, c1978.</t>
        </is>
      </c>
      <c r="M456" t="inlineStr">
        <is>
          <t>1978</t>
        </is>
      </c>
      <c r="O456" t="inlineStr">
        <is>
          <t>eng</t>
        </is>
      </c>
      <c r="P456" t="inlineStr">
        <is>
          <t>nyu</t>
        </is>
      </c>
      <c r="Q456" t="inlineStr">
        <is>
          <t>A Deus book</t>
        </is>
      </c>
      <c r="R456" t="inlineStr">
        <is>
          <t xml:space="preserve">BT </t>
        </is>
      </c>
      <c r="S456" t="n">
        <v>1</v>
      </c>
      <c r="T456" t="n">
        <v>1</v>
      </c>
      <c r="U456" t="inlineStr">
        <is>
          <t>2010-07-08</t>
        </is>
      </c>
      <c r="V456" t="inlineStr">
        <is>
          <t>2010-07-08</t>
        </is>
      </c>
      <c r="W456" t="inlineStr">
        <is>
          <t>1991-06-14</t>
        </is>
      </c>
      <c r="X456" t="inlineStr">
        <is>
          <t>1991-06-14</t>
        </is>
      </c>
      <c r="Y456" t="n">
        <v>280</v>
      </c>
      <c r="Z456" t="n">
        <v>228</v>
      </c>
      <c r="AA456" t="n">
        <v>242</v>
      </c>
      <c r="AB456" t="n">
        <v>3</v>
      </c>
      <c r="AC456" t="n">
        <v>3</v>
      </c>
      <c r="AD456" t="n">
        <v>31</v>
      </c>
      <c r="AE456" t="n">
        <v>32</v>
      </c>
      <c r="AF456" t="n">
        <v>12</v>
      </c>
      <c r="AG456" t="n">
        <v>13</v>
      </c>
      <c r="AH456" t="n">
        <v>6</v>
      </c>
      <c r="AI456" t="n">
        <v>6</v>
      </c>
      <c r="AJ456" t="n">
        <v>22</v>
      </c>
      <c r="AK456" t="n">
        <v>22</v>
      </c>
      <c r="AL456" t="n">
        <v>1</v>
      </c>
      <c r="AM456" t="n">
        <v>1</v>
      </c>
      <c r="AN456" t="n">
        <v>0</v>
      </c>
      <c r="AO456" t="n">
        <v>0</v>
      </c>
      <c r="AP456" t="inlineStr">
        <is>
          <t>No</t>
        </is>
      </c>
      <c r="AQ456" t="inlineStr">
        <is>
          <t>Yes</t>
        </is>
      </c>
      <c r="AR456">
        <f>HYPERLINK("http://catalog.hathitrust.org/Record/006020471","HathiTrust Record")</f>
        <v/>
      </c>
      <c r="AS456">
        <f>HYPERLINK("https://creighton-primo.hosted.exlibrisgroup.com/primo-explore/search?tab=default_tab&amp;search_scope=EVERYTHING&amp;vid=01CRU&amp;lang=en_US&amp;offset=0&amp;query=any,contains,991004646239702656","Catalog Record")</f>
        <v/>
      </c>
      <c r="AT456">
        <f>HYPERLINK("http://www.worldcat.org/oclc/4492069","WorldCat Record")</f>
        <v/>
      </c>
      <c r="AU456" t="inlineStr">
        <is>
          <t>466155:eng</t>
        </is>
      </c>
      <c r="AV456" t="inlineStr">
        <is>
          <t>4492069</t>
        </is>
      </c>
      <c r="AW456" t="inlineStr">
        <is>
          <t>991004646239702656</t>
        </is>
      </c>
      <c r="AX456" t="inlineStr">
        <is>
          <t>991004646239702656</t>
        </is>
      </c>
      <c r="AY456" t="inlineStr">
        <is>
          <t>2263549170002656</t>
        </is>
      </c>
      <c r="AZ456" t="inlineStr">
        <is>
          <t>BOOK</t>
        </is>
      </c>
      <c r="BB456" t="inlineStr">
        <is>
          <t>9780809121274</t>
        </is>
      </c>
      <c r="BC456" t="inlineStr">
        <is>
          <t>32285000686120</t>
        </is>
      </c>
      <c r="BD456" t="inlineStr">
        <is>
          <t>893782486</t>
        </is>
      </c>
    </row>
    <row r="457">
      <c r="A457" t="inlineStr">
        <is>
          <t>No</t>
        </is>
      </c>
      <c r="B457" t="inlineStr">
        <is>
          <t>BT21.2 .T5 1968</t>
        </is>
      </c>
      <c r="C457" t="inlineStr">
        <is>
          <t>0                      BT 0021200T  5           1968</t>
        </is>
      </c>
      <c r="D457" t="inlineStr">
        <is>
          <t>A history of Christian thought / Paul Tillich.</t>
        </is>
      </c>
      <c r="F457" t="inlineStr">
        <is>
          <t>No</t>
        </is>
      </c>
      <c r="G457" t="inlineStr">
        <is>
          <t>1</t>
        </is>
      </c>
      <c r="H457" t="inlineStr">
        <is>
          <t>No</t>
        </is>
      </c>
      <c r="I457" t="inlineStr">
        <is>
          <t>No</t>
        </is>
      </c>
      <c r="J457" t="inlineStr">
        <is>
          <t>0</t>
        </is>
      </c>
      <c r="K457" t="inlineStr">
        <is>
          <t>Tillich, Paul, 1886-1965.</t>
        </is>
      </c>
      <c r="L457" t="inlineStr">
        <is>
          <t>New York, Harper &amp; Row [1968]</t>
        </is>
      </c>
      <c r="M457" t="inlineStr">
        <is>
          <t>1968</t>
        </is>
      </c>
      <c r="N457" t="inlineStr">
        <is>
          <t>[2d ed., rev. and] edited by Carl E. Braaten.</t>
        </is>
      </c>
      <c r="O457" t="inlineStr">
        <is>
          <t>eng</t>
        </is>
      </c>
      <c r="P457" t="inlineStr">
        <is>
          <t>nyu</t>
        </is>
      </c>
      <c r="R457" t="inlineStr">
        <is>
          <t xml:space="preserve">BT </t>
        </is>
      </c>
      <c r="S457" t="n">
        <v>7</v>
      </c>
      <c r="T457" t="n">
        <v>7</v>
      </c>
      <c r="U457" t="inlineStr">
        <is>
          <t>2010-07-02</t>
        </is>
      </c>
      <c r="V457" t="inlineStr">
        <is>
          <t>2010-07-02</t>
        </is>
      </c>
      <c r="W457" t="inlineStr">
        <is>
          <t>1991-06-14</t>
        </is>
      </c>
      <c r="X457" t="inlineStr">
        <is>
          <t>1991-06-14</t>
        </is>
      </c>
      <c r="Y457" t="n">
        <v>937</v>
      </c>
      <c r="Z457" t="n">
        <v>907</v>
      </c>
      <c r="AA457" t="n">
        <v>1473</v>
      </c>
      <c r="AB457" t="n">
        <v>7</v>
      </c>
      <c r="AC457" t="n">
        <v>11</v>
      </c>
      <c r="AD457" t="n">
        <v>41</v>
      </c>
      <c r="AE457" t="n">
        <v>54</v>
      </c>
      <c r="AF457" t="n">
        <v>17</v>
      </c>
      <c r="AG457" t="n">
        <v>24</v>
      </c>
      <c r="AH457" t="n">
        <v>7</v>
      </c>
      <c r="AI457" t="n">
        <v>9</v>
      </c>
      <c r="AJ457" t="n">
        <v>24</v>
      </c>
      <c r="AK457" t="n">
        <v>26</v>
      </c>
      <c r="AL457" t="n">
        <v>4</v>
      </c>
      <c r="AM457" t="n">
        <v>8</v>
      </c>
      <c r="AN457" t="n">
        <v>0</v>
      </c>
      <c r="AO457" t="n">
        <v>0</v>
      </c>
      <c r="AP457" t="inlineStr">
        <is>
          <t>No</t>
        </is>
      </c>
      <c r="AQ457" t="inlineStr">
        <is>
          <t>Yes</t>
        </is>
      </c>
      <c r="AR457">
        <f>HYPERLINK("http://catalog.hathitrust.org/Record/001411522","HathiTrust Record")</f>
        <v/>
      </c>
      <c r="AS457">
        <f>HYPERLINK("https://creighton-primo.hosted.exlibrisgroup.com/primo-explore/search?tab=default_tab&amp;search_scope=EVERYTHING&amp;vid=01CRU&amp;lang=en_US&amp;offset=0&amp;query=any,contains,991003374229702656","Catalog Record")</f>
        <v/>
      </c>
      <c r="AT457">
        <f>HYPERLINK("http://www.worldcat.org/oclc/910897","WorldCat Record")</f>
        <v/>
      </c>
      <c r="AU457" t="inlineStr">
        <is>
          <t>1361094:eng</t>
        </is>
      </c>
      <c r="AV457" t="inlineStr">
        <is>
          <t>910897</t>
        </is>
      </c>
      <c r="AW457" t="inlineStr">
        <is>
          <t>991003374229702656</t>
        </is>
      </c>
      <c r="AX457" t="inlineStr">
        <is>
          <t>991003374229702656</t>
        </is>
      </c>
      <c r="AY457" t="inlineStr">
        <is>
          <t>2266767330002656</t>
        </is>
      </c>
      <c r="AZ457" t="inlineStr">
        <is>
          <t>BOOK</t>
        </is>
      </c>
      <c r="BC457" t="inlineStr">
        <is>
          <t>32285000686146</t>
        </is>
      </c>
      <c r="BD457" t="inlineStr">
        <is>
          <t>893904355</t>
        </is>
      </c>
    </row>
    <row r="458">
      <c r="A458" t="inlineStr">
        <is>
          <t>No</t>
        </is>
      </c>
      <c r="B458" t="inlineStr">
        <is>
          <t>BT2114.C6 A2 1961</t>
        </is>
      </c>
      <c r="C458" t="inlineStr">
        <is>
          <t>0                      BT 2114000C  6                  A  2           1961</t>
        </is>
      </c>
      <c r="D458" t="inlineStr">
        <is>
          <t>Manual of the parish Confraternity of Christian Doctrine : organization and promotion of CCD activity for priests, religious, seminarians, and the laity.</t>
        </is>
      </c>
      <c r="F458" t="inlineStr">
        <is>
          <t>No</t>
        </is>
      </c>
      <c r="G458" t="inlineStr">
        <is>
          <t>1</t>
        </is>
      </c>
      <c r="H458" t="inlineStr">
        <is>
          <t>No</t>
        </is>
      </c>
      <c r="I458" t="inlineStr">
        <is>
          <t>No</t>
        </is>
      </c>
      <c r="J458" t="inlineStr">
        <is>
          <t>0</t>
        </is>
      </c>
      <c r="K458" t="inlineStr">
        <is>
          <t>Confraternity of Christian Doctrine.</t>
        </is>
      </c>
      <c r="M458" t="inlineStr">
        <is>
          <t>1961</t>
        </is>
      </c>
      <c r="N458" t="inlineStr">
        <is>
          <t>Tenth and rev. ed.</t>
        </is>
      </c>
      <c r="O458" t="inlineStr">
        <is>
          <t>eng</t>
        </is>
      </c>
      <c r="P458" t="inlineStr">
        <is>
          <t xml:space="preserve">xx </t>
        </is>
      </c>
      <c r="R458" t="inlineStr">
        <is>
          <t xml:space="preserve">BT </t>
        </is>
      </c>
      <c r="S458" t="n">
        <v>2</v>
      </c>
      <c r="T458" t="n">
        <v>2</v>
      </c>
      <c r="U458" t="inlineStr">
        <is>
          <t>2004-09-22</t>
        </is>
      </c>
      <c r="V458" t="inlineStr">
        <is>
          <t>2004-09-22</t>
        </is>
      </c>
      <c r="W458" t="inlineStr">
        <is>
          <t>1991-11-07</t>
        </is>
      </c>
      <c r="X458" t="inlineStr">
        <is>
          <t>1991-11-07</t>
        </is>
      </c>
      <c r="Y458" t="n">
        <v>26</v>
      </c>
      <c r="Z458" t="n">
        <v>26</v>
      </c>
      <c r="AA458" t="n">
        <v>43</v>
      </c>
      <c r="AB458" t="n">
        <v>1</v>
      </c>
      <c r="AC458" t="n">
        <v>1</v>
      </c>
      <c r="AD458" t="n">
        <v>5</v>
      </c>
      <c r="AE458" t="n">
        <v>8</v>
      </c>
      <c r="AF458" t="n">
        <v>3</v>
      </c>
      <c r="AG458" t="n">
        <v>4</v>
      </c>
      <c r="AH458" t="n">
        <v>0</v>
      </c>
      <c r="AI458" t="n">
        <v>1</v>
      </c>
      <c r="AJ458" t="n">
        <v>5</v>
      </c>
      <c r="AK458" t="n">
        <v>6</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HYPERLINK("https://creighton-primo.hosted.exlibrisgroup.com/primo-explore/search?tab=default_tab&amp;search_scope=EVERYTHING&amp;vid=01CRU&amp;lang=en_US&amp;offset=0&amp;query=any,contains,991003041079702656","Catalog Record")</f>
        <v/>
      </c>
      <c r="AT458">
        <f>HYPERLINK("http://www.worldcat.org/oclc/602387","WorldCat Record")</f>
        <v/>
      </c>
      <c r="AU458" t="inlineStr">
        <is>
          <t>3855584893:eng</t>
        </is>
      </c>
      <c r="AV458" t="inlineStr">
        <is>
          <t>602387</t>
        </is>
      </c>
      <c r="AW458" t="inlineStr">
        <is>
          <t>991003041079702656</t>
        </is>
      </c>
      <c r="AX458" t="inlineStr">
        <is>
          <t>991003041079702656</t>
        </is>
      </c>
      <c r="AY458" t="inlineStr">
        <is>
          <t>2260155890002656</t>
        </is>
      </c>
      <c r="AZ458" t="inlineStr">
        <is>
          <t>BOOK</t>
        </is>
      </c>
      <c r="BC458" t="inlineStr">
        <is>
          <t>32285000809615</t>
        </is>
      </c>
      <c r="BD458" t="inlineStr">
        <is>
          <t>893329895</t>
        </is>
      </c>
    </row>
    <row r="459">
      <c r="A459" t="inlineStr">
        <is>
          <t>No</t>
        </is>
      </c>
      <c r="B459" t="inlineStr">
        <is>
          <t>BT215 .F4</t>
        </is>
      </c>
      <c r="C459" t="inlineStr">
        <is>
          <t>0                      BT 0215000F  4</t>
        </is>
      </c>
      <c r="D459" t="inlineStr">
        <is>
          <t>Christ and the critics : a defense of the divinity of Jesus againt the attacks of modern sceptical criticism / by Hilarin Felder, O. M. Cat. Translated from the original German by John L. Stoddard.</t>
        </is>
      </c>
      <c r="E459" t="inlineStr">
        <is>
          <t>V.1</t>
        </is>
      </c>
      <c r="F459" t="inlineStr">
        <is>
          <t>Yes</t>
        </is>
      </c>
      <c r="G459" t="inlineStr">
        <is>
          <t>1</t>
        </is>
      </c>
      <c r="H459" t="inlineStr">
        <is>
          <t>No</t>
        </is>
      </c>
      <c r="I459" t="inlineStr">
        <is>
          <t>No</t>
        </is>
      </c>
      <c r="J459" t="inlineStr">
        <is>
          <t>0</t>
        </is>
      </c>
      <c r="K459" t="inlineStr">
        <is>
          <t>Felder, Hilarin, 1867-1951.</t>
        </is>
      </c>
      <c r="L459" t="inlineStr">
        <is>
          <t>London, Burns, Oates, and Washbourne, ltd., 1924.</t>
        </is>
      </c>
      <c r="M459" t="inlineStr">
        <is>
          <t>1924</t>
        </is>
      </c>
      <c r="O459" t="inlineStr">
        <is>
          <t>eng</t>
        </is>
      </c>
      <c r="P459" t="inlineStr">
        <is>
          <t>enk</t>
        </is>
      </c>
      <c r="R459" t="inlineStr">
        <is>
          <t xml:space="preserve">BT </t>
        </is>
      </c>
      <c r="S459" t="n">
        <v>9</v>
      </c>
      <c r="T459" t="n">
        <v>15</v>
      </c>
      <c r="U459" t="inlineStr">
        <is>
          <t>2001-02-06</t>
        </is>
      </c>
      <c r="V459" t="inlineStr">
        <is>
          <t>2001-02-06</t>
        </is>
      </c>
      <c r="W459" t="inlineStr">
        <is>
          <t>1991-08-12</t>
        </is>
      </c>
      <c r="X459" t="inlineStr">
        <is>
          <t>1991-08-12</t>
        </is>
      </c>
      <c r="Y459" t="n">
        <v>115</v>
      </c>
      <c r="Z459" t="n">
        <v>103</v>
      </c>
      <c r="AA459" t="n">
        <v>141</v>
      </c>
      <c r="AB459" t="n">
        <v>2</v>
      </c>
      <c r="AC459" t="n">
        <v>2</v>
      </c>
      <c r="AD459" t="n">
        <v>15</v>
      </c>
      <c r="AE459" t="n">
        <v>25</v>
      </c>
      <c r="AF459" t="n">
        <v>4</v>
      </c>
      <c r="AG459" t="n">
        <v>7</v>
      </c>
      <c r="AH459" t="n">
        <v>3</v>
      </c>
      <c r="AI459" t="n">
        <v>9</v>
      </c>
      <c r="AJ459" t="n">
        <v>13</v>
      </c>
      <c r="AK459" t="n">
        <v>17</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HYPERLINK("https://creighton-primo.hosted.exlibrisgroup.com/primo-explore/search?tab=default_tab&amp;search_scope=EVERYTHING&amp;vid=01CRU&amp;lang=en_US&amp;offset=0&amp;query=any,contains,991004143509702656","Catalog Record")</f>
        <v/>
      </c>
      <c r="AT459">
        <f>HYPERLINK("http://www.worldcat.org/oclc/2504891","WorldCat Record")</f>
        <v/>
      </c>
      <c r="AU459" t="inlineStr">
        <is>
          <t>430949778:eng</t>
        </is>
      </c>
      <c r="AV459" t="inlineStr">
        <is>
          <t>2504891</t>
        </is>
      </c>
      <c r="AW459" t="inlineStr">
        <is>
          <t>991004143509702656</t>
        </is>
      </c>
      <c r="AX459" t="inlineStr">
        <is>
          <t>991004143509702656</t>
        </is>
      </c>
      <c r="AY459" t="inlineStr">
        <is>
          <t>2258639010002656</t>
        </is>
      </c>
      <c r="AZ459" t="inlineStr">
        <is>
          <t>BOOK</t>
        </is>
      </c>
      <c r="BC459" t="inlineStr">
        <is>
          <t>32285000711993</t>
        </is>
      </c>
      <c r="BD459" t="inlineStr">
        <is>
          <t>893869340</t>
        </is>
      </c>
    </row>
    <row r="460">
      <c r="A460" t="inlineStr">
        <is>
          <t>No</t>
        </is>
      </c>
      <c r="B460" t="inlineStr">
        <is>
          <t>BT215 .F4</t>
        </is>
      </c>
      <c r="C460" t="inlineStr">
        <is>
          <t>0                      BT 0215000F  4</t>
        </is>
      </c>
      <c r="D460" t="inlineStr">
        <is>
          <t>Christ and the critics : a defense of the divinity of Jesus againt the attacks of modern sceptical criticism / by Hilarin Felder, O. M. Cat. Translated from the original German by John L. Stoddard.</t>
        </is>
      </c>
      <c r="E460" t="inlineStr">
        <is>
          <t>V.2</t>
        </is>
      </c>
      <c r="F460" t="inlineStr">
        <is>
          <t>Yes</t>
        </is>
      </c>
      <c r="G460" t="inlineStr">
        <is>
          <t>1</t>
        </is>
      </c>
      <c r="H460" t="inlineStr">
        <is>
          <t>No</t>
        </is>
      </c>
      <c r="I460" t="inlineStr">
        <is>
          <t>No</t>
        </is>
      </c>
      <c r="J460" t="inlineStr">
        <is>
          <t>0</t>
        </is>
      </c>
      <c r="K460" t="inlineStr">
        <is>
          <t>Felder, Hilarin, 1867-1951.</t>
        </is>
      </c>
      <c r="L460" t="inlineStr">
        <is>
          <t>London, Burns, Oates, and Washbourne, ltd., 1924.</t>
        </is>
      </c>
      <c r="M460" t="inlineStr">
        <is>
          <t>1924</t>
        </is>
      </c>
      <c r="O460" t="inlineStr">
        <is>
          <t>eng</t>
        </is>
      </c>
      <c r="P460" t="inlineStr">
        <is>
          <t>enk</t>
        </is>
      </c>
      <c r="R460" t="inlineStr">
        <is>
          <t xml:space="preserve">BT </t>
        </is>
      </c>
      <c r="S460" t="n">
        <v>6</v>
      </c>
      <c r="T460" t="n">
        <v>15</v>
      </c>
      <c r="U460" t="inlineStr">
        <is>
          <t>2000-09-13</t>
        </is>
      </c>
      <c r="V460" t="inlineStr">
        <is>
          <t>2001-02-06</t>
        </is>
      </c>
      <c r="W460" t="inlineStr">
        <is>
          <t>1991-08-12</t>
        </is>
      </c>
      <c r="X460" t="inlineStr">
        <is>
          <t>1991-08-12</t>
        </is>
      </c>
      <c r="Y460" t="n">
        <v>115</v>
      </c>
      <c r="Z460" t="n">
        <v>103</v>
      </c>
      <c r="AA460" t="n">
        <v>141</v>
      </c>
      <c r="AB460" t="n">
        <v>2</v>
      </c>
      <c r="AC460" t="n">
        <v>2</v>
      </c>
      <c r="AD460" t="n">
        <v>15</v>
      </c>
      <c r="AE460" t="n">
        <v>25</v>
      </c>
      <c r="AF460" t="n">
        <v>4</v>
      </c>
      <c r="AG460" t="n">
        <v>7</v>
      </c>
      <c r="AH460" t="n">
        <v>3</v>
      </c>
      <c r="AI460" t="n">
        <v>9</v>
      </c>
      <c r="AJ460" t="n">
        <v>13</v>
      </c>
      <c r="AK460" t="n">
        <v>17</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HYPERLINK("https://creighton-primo.hosted.exlibrisgroup.com/primo-explore/search?tab=default_tab&amp;search_scope=EVERYTHING&amp;vid=01CRU&amp;lang=en_US&amp;offset=0&amp;query=any,contains,991004143509702656","Catalog Record")</f>
        <v/>
      </c>
      <c r="AT460">
        <f>HYPERLINK("http://www.worldcat.org/oclc/2504891","WorldCat Record")</f>
        <v/>
      </c>
      <c r="AU460" t="inlineStr">
        <is>
          <t>430949778:eng</t>
        </is>
      </c>
      <c r="AV460" t="inlineStr">
        <is>
          <t>2504891</t>
        </is>
      </c>
      <c r="AW460" t="inlineStr">
        <is>
          <t>991004143509702656</t>
        </is>
      </c>
      <c r="AX460" t="inlineStr">
        <is>
          <t>991004143509702656</t>
        </is>
      </c>
      <c r="AY460" t="inlineStr">
        <is>
          <t>2258639010002656</t>
        </is>
      </c>
      <c r="AZ460" t="inlineStr">
        <is>
          <t>BOOK</t>
        </is>
      </c>
      <c r="BC460" t="inlineStr">
        <is>
          <t>32285000712009</t>
        </is>
      </c>
      <c r="BD460" t="inlineStr">
        <is>
          <t>893882108</t>
        </is>
      </c>
    </row>
    <row r="461">
      <c r="A461" t="inlineStr">
        <is>
          <t>No</t>
        </is>
      </c>
      <c r="B461" t="inlineStr">
        <is>
          <t>BT215 .R53</t>
        </is>
      </c>
      <c r="C461" t="inlineStr">
        <is>
          <t>0                      BT 0215000R  53</t>
        </is>
      </c>
      <c r="D461" t="inlineStr">
        <is>
          <t>The divinity of Christ / by Joseph Rickaby.</t>
        </is>
      </c>
      <c r="F461" t="inlineStr">
        <is>
          <t>No</t>
        </is>
      </c>
      <c r="G461" t="inlineStr">
        <is>
          <t>1</t>
        </is>
      </c>
      <c r="H461" t="inlineStr">
        <is>
          <t>No</t>
        </is>
      </c>
      <c r="I461" t="inlineStr">
        <is>
          <t>No</t>
        </is>
      </c>
      <c r="J461" t="inlineStr">
        <is>
          <t>0</t>
        </is>
      </c>
      <c r="K461" t="inlineStr">
        <is>
          <t>Rickaby, Joseph, 1845-1932.</t>
        </is>
      </c>
      <c r="L461" t="inlineStr">
        <is>
          <t>London and Edinburg, Sands; St. Louis, B. Herder, 1906.</t>
        </is>
      </c>
      <c r="M461" t="inlineStr">
        <is>
          <t>1906</t>
        </is>
      </c>
      <c r="O461" t="inlineStr">
        <is>
          <t>eng</t>
        </is>
      </c>
      <c r="P461" t="inlineStr">
        <is>
          <t>___</t>
        </is>
      </c>
      <c r="Q461" t="inlineStr">
        <is>
          <t>Westminster lectures ; 2nd ser.</t>
        </is>
      </c>
      <c r="R461" t="inlineStr">
        <is>
          <t xml:space="preserve">BT </t>
        </is>
      </c>
      <c r="S461" t="n">
        <v>9</v>
      </c>
      <c r="T461" t="n">
        <v>9</v>
      </c>
      <c r="U461" t="inlineStr">
        <is>
          <t>2001-09-25</t>
        </is>
      </c>
      <c r="V461" t="inlineStr">
        <is>
          <t>2001-09-25</t>
        </is>
      </c>
      <c r="W461" t="inlineStr">
        <is>
          <t>1991-08-12</t>
        </is>
      </c>
      <c r="X461" t="inlineStr">
        <is>
          <t>1991-08-12</t>
        </is>
      </c>
      <c r="Y461" t="n">
        <v>43</v>
      </c>
      <c r="Z461" t="n">
        <v>36</v>
      </c>
      <c r="AA461" t="n">
        <v>60</v>
      </c>
      <c r="AB461" t="n">
        <v>1</v>
      </c>
      <c r="AC461" t="n">
        <v>1</v>
      </c>
      <c r="AD461" t="n">
        <v>8</v>
      </c>
      <c r="AE461" t="n">
        <v>8</v>
      </c>
      <c r="AF461" t="n">
        <v>1</v>
      </c>
      <c r="AG461" t="n">
        <v>1</v>
      </c>
      <c r="AH461" t="n">
        <v>3</v>
      </c>
      <c r="AI461" t="n">
        <v>3</v>
      </c>
      <c r="AJ461" t="n">
        <v>6</v>
      </c>
      <c r="AK461" t="n">
        <v>6</v>
      </c>
      <c r="AL461" t="n">
        <v>0</v>
      </c>
      <c r="AM461" t="n">
        <v>0</v>
      </c>
      <c r="AN461" t="n">
        <v>0</v>
      </c>
      <c r="AO461" t="n">
        <v>0</v>
      </c>
      <c r="AP461" t="inlineStr">
        <is>
          <t>Yes</t>
        </is>
      </c>
      <c r="AQ461" t="inlineStr">
        <is>
          <t>No</t>
        </is>
      </c>
      <c r="AR461">
        <f>HYPERLINK("http://catalog.hathitrust.org/Record/100219409","HathiTrust Record")</f>
        <v/>
      </c>
      <c r="AS461">
        <f>HYPERLINK("https://creighton-primo.hosted.exlibrisgroup.com/primo-explore/search?tab=default_tab&amp;search_scope=EVERYTHING&amp;vid=01CRU&amp;lang=en_US&amp;offset=0&amp;query=any,contains,991002835259702656","Catalog Record")</f>
        <v/>
      </c>
      <c r="AT461">
        <f>HYPERLINK("http://www.worldcat.org/oclc/479726","WorldCat Record")</f>
        <v/>
      </c>
      <c r="AU461" t="inlineStr">
        <is>
          <t>1556325:eng</t>
        </is>
      </c>
      <c r="AV461" t="inlineStr">
        <is>
          <t>479726</t>
        </is>
      </c>
      <c r="AW461" t="inlineStr">
        <is>
          <t>991002835259702656</t>
        </is>
      </c>
      <c r="AX461" t="inlineStr">
        <is>
          <t>991002835259702656</t>
        </is>
      </c>
      <c r="AY461" t="inlineStr">
        <is>
          <t>2263697280002656</t>
        </is>
      </c>
      <c r="AZ461" t="inlineStr">
        <is>
          <t>BOOK</t>
        </is>
      </c>
      <c r="BC461" t="inlineStr">
        <is>
          <t>32285000712017</t>
        </is>
      </c>
      <c r="BD461" t="inlineStr">
        <is>
          <t>893721664</t>
        </is>
      </c>
    </row>
    <row r="462">
      <c r="A462" t="inlineStr">
        <is>
          <t>No</t>
        </is>
      </c>
      <c r="B462" t="inlineStr">
        <is>
          <t>BT215 .R6</t>
        </is>
      </c>
      <c r="C462" t="inlineStr">
        <is>
          <t>0                      BT 0215000R  6</t>
        </is>
      </c>
      <c r="D462" t="inlineStr">
        <is>
          <t>"His only Son" : the truth of the divinity of Christ / by William F. Robinson.</t>
        </is>
      </c>
      <c r="F462" t="inlineStr">
        <is>
          <t>No</t>
        </is>
      </c>
      <c r="G462" t="inlineStr">
        <is>
          <t>1</t>
        </is>
      </c>
      <c r="H462" t="inlineStr">
        <is>
          <t>No</t>
        </is>
      </c>
      <c r="I462" t="inlineStr">
        <is>
          <t>No</t>
        </is>
      </c>
      <c r="J462" t="inlineStr">
        <is>
          <t>0</t>
        </is>
      </c>
      <c r="K462" t="inlineStr">
        <is>
          <t>Robison, William F. (William Ferretti), 1871-1944.</t>
        </is>
      </c>
      <c r="L462" t="inlineStr">
        <is>
          <t>St.Louis, Mo., London, Herder, 1918.</t>
        </is>
      </c>
      <c r="M462" t="inlineStr">
        <is>
          <t>1918</t>
        </is>
      </c>
      <c r="O462" t="inlineStr">
        <is>
          <t>eng</t>
        </is>
      </c>
      <c r="P462" t="inlineStr">
        <is>
          <t>mou</t>
        </is>
      </c>
      <c r="R462" t="inlineStr">
        <is>
          <t xml:space="preserve">BT </t>
        </is>
      </c>
      <c r="S462" t="n">
        <v>5</v>
      </c>
      <c r="T462" t="n">
        <v>5</v>
      </c>
      <c r="U462" t="inlineStr">
        <is>
          <t>2001-02-06</t>
        </is>
      </c>
      <c r="V462" t="inlineStr">
        <is>
          <t>2001-02-06</t>
        </is>
      </c>
      <c r="W462" t="inlineStr">
        <is>
          <t>1991-08-12</t>
        </is>
      </c>
      <c r="X462" t="inlineStr">
        <is>
          <t>1991-08-12</t>
        </is>
      </c>
      <c r="Y462" t="n">
        <v>43</v>
      </c>
      <c r="Z462" t="n">
        <v>42</v>
      </c>
      <c r="AA462" t="n">
        <v>57</v>
      </c>
      <c r="AB462" t="n">
        <v>1</v>
      </c>
      <c r="AC462" t="n">
        <v>1</v>
      </c>
      <c r="AD462" t="n">
        <v>11</v>
      </c>
      <c r="AE462" t="n">
        <v>14</v>
      </c>
      <c r="AF462" t="n">
        <v>1</v>
      </c>
      <c r="AG462" t="n">
        <v>2</v>
      </c>
      <c r="AH462" t="n">
        <v>4</v>
      </c>
      <c r="AI462" t="n">
        <v>4</v>
      </c>
      <c r="AJ462" t="n">
        <v>9</v>
      </c>
      <c r="AK462" t="n">
        <v>12</v>
      </c>
      <c r="AL462" t="n">
        <v>0</v>
      </c>
      <c r="AM462" t="n">
        <v>0</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HYPERLINK("https://creighton-primo.hosted.exlibrisgroup.com/primo-explore/search?tab=default_tab&amp;search_scope=EVERYTHING&amp;vid=01CRU&amp;lang=en_US&amp;offset=0&amp;query=any,contains,991003133649702656","Catalog Record")</f>
        <v/>
      </c>
      <c r="AT462">
        <f>HYPERLINK("http://www.worldcat.org/oclc/676073","WorldCat Record")</f>
        <v/>
      </c>
      <c r="AU462" t="inlineStr">
        <is>
          <t>6785210:eng</t>
        </is>
      </c>
      <c r="AV462" t="inlineStr">
        <is>
          <t>676073</t>
        </is>
      </c>
      <c r="AW462" t="inlineStr">
        <is>
          <t>991003133649702656</t>
        </is>
      </c>
      <c r="AX462" t="inlineStr">
        <is>
          <t>991003133649702656</t>
        </is>
      </c>
      <c r="AY462" t="inlineStr">
        <is>
          <t>2270142450002656</t>
        </is>
      </c>
      <c r="AZ462" t="inlineStr">
        <is>
          <t>BOOK</t>
        </is>
      </c>
      <c r="BC462" t="inlineStr">
        <is>
          <t>32285000712025</t>
        </is>
      </c>
      <c r="BD462" t="inlineStr">
        <is>
          <t>893348368</t>
        </is>
      </c>
    </row>
    <row r="463">
      <c r="A463" t="inlineStr">
        <is>
          <t>No</t>
        </is>
      </c>
      <c r="B463" t="inlineStr">
        <is>
          <t>BT215 .V37</t>
        </is>
      </c>
      <c r="C463" t="inlineStr">
        <is>
          <t>0                      BT 0215000V  37</t>
        </is>
      </c>
      <c r="D463" t="inlineStr">
        <is>
          <t>The mustard tree : an argument on behalf of the Divinity of Christ / by O.R. Vassall-Phillips ; with a preface by R.H. Benson and an epilogue by Hilaire Belloc.</t>
        </is>
      </c>
      <c r="F463" t="inlineStr">
        <is>
          <t>No</t>
        </is>
      </c>
      <c r="G463" t="inlineStr">
        <is>
          <t>1</t>
        </is>
      </c>
      <c r="H463" t="inlineStr">
        <is>
          <t>No</t>
        </is>
      </c>
      <c r="I463" t="inlineStr">
        <is>
          <t>No</t>
        </is>
      </c>
      <c r="J463" t="inlineStr">
        <is>
          <t>0</t>
        </is>
      </c>
      <c r="K463" t="inlineStr">
        <is>
          <t>Vassall-Phillips, O. R. (Oliver Rodie), 1857-1932.</t>
        </is>
      </c>
      <c r="L463" t="inlineStr">
        <is>
          <t>New York : Benzinger, 1912.</t>
        </is>
      </c>
      <c r="M463" t="inlineStr">
        <is>
          <t>1912</t>
        </is>
      </c>
      <c r="O463" t="inlineStr">
        <is>
          <t>eng</t>
        </is>
      </c>
      <c r="P463" t="inlineStr">
        <is>
          <t>nyu</t>
        </is>
      </c>
      <c r="R463" t="inlineStr">
        <is>
          <t xml:space="preserve">BT </t>
        </is>
      </c>
      <c r="S463" t="n">
        <v>3</v>
      </c>
      <c r="T463" t="n">
        <v>3</v>
      </c>
      <c r="U463" t="inlineStr">
        <is>
          <t>2000-09-13</t>
        </is>
      </c>
      <c r="V463" t="inlineStr">
        <is>
          <t>2000-09-13</t>
        </is>
      </c>
      <c r="W463" t="inlineStr">
        <is>
          <t>1991-08-12</t>
        </is>
      </c>
      <c r="X463" t="inlineStr">
        <is>
          <t>1991-08-12</t>
        </is>
      </c>
      <c r="Y463" t="n">
        <v>13</v>
      </c>
      <c r="Z463" t="n">
        <v>13</v>
      </c>
      <c r="AA463" t="n">
        <v>36</v>
      </c>
      <c r="AB463" t="n">
        <v>1</v>
      </c>
      <c r="AC463" t="n">
        <v>1</v>
      </c>
      <c r="AD463" t="n">
        <v>5</v>
      </c>
      <c r="AE463" t="n">
        <v>11</v>
      </c>
      <c r="AF463" t="n">
        <v>1</v>
      </c>
      <c r="AG463" t="n">
        <v>2</v>
      </c>
      <c r="AH463" t="n">
        <v>2</v>
      </c>
      <c r="AI463" t="n">
        <v>3</v>
      </c>
      <c r="AJ463" t="n">
        <v>3</v>
      </c>
      <c r="AK463" t="n">
        <v>8</v>
      </c>
      <c r="AL463" t="n">
        <v>0</v>
      </c>
      <c r="AM463" t="n">
        <v>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HYPERLINK("https://creighton-primo.hosted.exlibrisgroup.com/primo-explore/search?tab=default_tab&amp;search_scope=EVERYTHING&amp;vid=01CRU&amp;lang=en_US&amp;offset=0&amp;query=any,contains,991005235679702656","Catalog Record")</f>
        <v/>
      </c>
      <c r="AT463">
        <f>HYPERLINK("http://www.worldcat.org/oclc/8379030","WorldCat Record")</f>
        <v/>
      </c>
      <c r="AU463" t="inlineStr">
        <is>
          <t>14533763:eng</t>
        </is>
      </c>
      <c r="AV463" t="inlineStr">
        <is>
          <t>8379030</t>
        </is>
      </c>
      <c r="AW463" t="inlineStr">
        <is>
          <t>991005235679702656</t>
        </is>
      </c>
      <c r="AX463" t="inlineStr">
        <is>
          <t>991005235679702656</t>
        </is>
      </c>
      <c r="AY463" t="inlineStr">
        <is>
          <t>2261930600002656</t>
        </is>
      </c>
      <c r="AZ463" t="inlineStr">
        <is>
          <t>BOOK</t>
        </is>
      </c>
      <c r="BC463" t="inlineStr">
        <is>
          <t>32285000712041</t>
        </is>
      </c>
      <c r="BD463" t="inlineStr">
        <is>
          <t>893902339</t>
        </is>
      </c>
    </row>
    <row r="464">
      <c r="A464" t="inlineStr">
        <is>
          <t>No</t>
        </is>
      </c>
      <c r="B464" t="inlineStr">
        <is>
          <t>BT216 .L8 1962</t>
        </is>
      </c>
      <c r="C464" t="inlineStr">
        <is>
          <t>0                      BT 0216000L  8           1962</t>
        </is>
      </c>
      <c r="D464" t="inlineStr">
        <is>
          <t>Son and Saviour : the divinity of Jesus Christ in the Scriptures : a symposium / by A. Gelin ... [et al.] ; edited by A. Gelin ; [translation into English by Anthony Wheaton].</t>
        </is>
      </c>
      <c r="F464" t="inlineStr">
        <is>
          <t>No</t>
        </is>
      </c>
      <c r="G464" t="inlineStr">
        <is>
          <t>1</t>
        </is>
      </c>
      <c r="H464" t="inlineStr">
        <is>
          <t>No</t>
        </is>
      </c>
      <c r="I464" t="inlineStr">
        <is>
          <t>No</t>
        </is>
      </c>
      <c r="J464" t="inlineStr">
        <is>
          <t>0</t>
        </is>
      </c>
      <c r="K464" t="inlineStr">
        <is>
          <t>Lumière et vie (Lyon, France)</t>
        </is>
      </c>
      <c r="L464" t="inlineStr">
        <is>
          <t>Baltimore : Helicon Press, 1962, c1960.</t>
        </is>
      </c>
      <c r="M464" t="inlineStr">
        <is>
          <t>1962</t>
        </is>
      </c>
      <c r="N464" t="inlineStr">
        <is>
          <t>Fully rev., new ed.</t>
        </is>
      </c>
      <c r="O464" t="inlineStr">
        <is>
          <t>eng</t>
        </is>
      </c>
      <c r="P464" t="inlineStr">
        <is>
          <t>mdu</t>
        </is>
      </c>
      <c r="R464" t="inlineStr">
        <is>
          <t xml:space="preserve">BT </t>
        </is>
      </c>
      <c r="S464" t="n">
        <v>4</v>
      </c>
      <c r="T464" t="n">
        <v>4</v>
      </c>
      <c r="U464" t="inlineStr">
        <is>
          <t>2000-09-13</t>
        </is>
      </c>
      <c r="V464" t="inlineStr">
        <is>
          <t>2000-09-13</t>
        </is>
      </c>
      <c r="W464" t="inlineStr">
        <is>
          <t>1991-08-12</t>
        </is>
      </c>
      <c r="X464" t="inlineStr">
        <is>
          <t>1991-08-12</t>
        </is>
      </c>
      <c r="Y464" t="n">
        <v>54</v>
      </c>
      <c r="Z464" t="n">
        <v>50</v>
      </c>
      <c r="AA464" t="n">
        <v>228</v>
      </c>
      <c r="AB464" t="n">
        <v>1</v>
      </c>
      <c r="AC464" t="n">
        <v>1</v>
      </c>
      <c r="AD464" t="n">
        <v>11</v>
      </c>
      <c r="AE464" t="n">
        <v>32</v>
      </c>
      <c r="AF464" t="n">
        <v>1</v>
      </c>
      <c r="AG464" t="n">
        <v>11</v>
      </c>
      <c r="AH464" t="n">
        <v>3</v>
      </c>
      <c r="AI464" t="n">
        <v>9</v>
      </c>
      <c r="AJ464" t="n">
        <v>9</v>
      </c>
      <c r="AK464" t="n">
        <v>25</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HYPERLINK("https://creighton-primo.hosted.exlibrisgroup.com/primo-explore/search?tab=default_tab&amp;search_scope=EVERYTHING&amp;vid=01CRU&amp;lang=en_US&amp;offset=0&amp;query=any,contains,991004590679702656","Catalog Record")</f>
        <v/>
      </c>
      <c r="AT464">
        <f>HYPERLINK("http://www.worldcat.org/oclc/4116390","WorldCat Record")</f>
        <v/>
      </c>
      <c r="AU464" t="inlineStr">
        <is>
          <t>430782512:eng</t>
        </is>
      </c>
      <c r="AV464" t="inlineStr">
        <is>
          <t>4116390</t>
        </is>
      </c>
      <c r="AW464" t="inlineStr">
        <is>
          <t>991004590679702656</t>
        </is>
      </c>
      <c r="AX464" t="inlineStr">
        <is>
          <t>991004590679702656</t>
        </is>
      </c>
      <c r="AY464" t="inlineStr">
        <is>
          <t>2271397800002656</t>
        </is>
      </c>
      <c r="AZ464" t="inlineStr">
        <is>
          <t>BOOK</t>
        </is>
      </c>
      <c r="BC464" t="inlineStr">
        <is>
          <t>32285000712074</t>
        </is>
      </c>
      <c r="BD464" t="inlineStr">
        <is>
          <t>893612531</t>
        </is>
      </c>
    </row>
    <row r="465">
      <c r="A465" t="inlineStr">
        <is>
          <t>No</t>
        </is>
      </c>
      <c r="B465" t="inlineStr">
        <is>
          <t>BT217 .M39</t>
        </is>
      </c>
      <c r="C465" t="inlineStr">
        <is>
          <t>0                      BT 0217000M  39</t>
        </is>
      </c>
      <c r="D465" t="inlineStr">
        <is>
          <t>What a modern Catholic believes, as seen by a non-Catholic / by Martin Marty.</t>
        </is>
      </c>
      <c r="F465" t="inlineStr">
        <is>
          <t>No</t>
        </is>
      </c>
      <c r="G465" t="inlineStr">
        <is>
          <t>1</t>
        </is>
      </c>
      <c r="H465" t="inlineStr">
        <is>
          <t>No</t>
        </is>
      </c>
      <c r="I465" t="inlineStr">
        <is>
          <t>No</t>
        </is>
      </c>
      <c r="J465" t="inlineStr">
        <is>
          <t>0</t>
        </is>
      </c>
      <c r="K465" t="inlineStr">
        <is>
          <t>Marty, Martin E., 1928-</t>
        </is>
      </c>
      <c r="L465" t="inlineStr">
        <is>
          <t>Chicago : Thomas More Press, [1974]</t>
        </is>
      </c>
      <c r="M465" t="inlineStr">
        <is>
          <t>1974</t>
        </is>
      </c>
      <c r="O465" t="inlineStr">
        <is>
          <t>eng</t>
        </is>
      </c>
      <c r="P465" t="inlineStr">
        <is>
          <t>___</t>
        </is>
      </c>
      <c r="R465" t="inlineStr">
        <is>
          <t xml:space="preserve">BT </t>
        </is>
      </c>
      <c r="S465" t="n">
        <v>2</v>
      </c>
      <c r="T465" t="n">
        <v>2</v>
      </c>
      <c r="U465" t="inlineStr">
        <is>
          <t>1996-01-18</t>
        </is>
      </c>
      <c r="V465" t="inlineStr">
        <is>
          <t>1996-01-18</t>
        </is>
      </c>
      <c r="W465" t="inlineStr">
        <is>
          <t>1991-10-14</t>
        </is>
      </c>
      <c r="X465" t="inlineStr">
        <is>
          <t>1991-10-14</t>
        </is>
      </c>
      <c r="Y465" t="n">
        <v>124</v>
      </c>
      <c r="Z465" t="n">
        <v>107</v>
      </c>
      <c r="AA465" t="n">
        <v>107</v>
      </c>
      <c r="AB465" t="n">
        <v>1</v>
      </c>
      <c r="AC465" t="n">
        <v>1</v>
      </c>
      <c r="AD465" t="n">
        <v>12</v>
      </c>
      <c r="AE465" t="n">
        <v>12</v>
      </c>
      <c r="AF465" t="n">
        <v>4</v>
      </c>
      <c r="AG465" t="n">
        <v>4</v>
      </c>
      <c r="AH465" t="n">
        <v>4</v>
      </c>
      <c r="AI465" t="n">
        <v>4</v>
      </c>
      <c r="AJ465" t="n">
        <v>8</v>
      </c>
      <c r="AK465" t="n">
        <v>8</v>
      </c>
      <c r="AL465" t="n">
        <v>0</v>
      </c>
      <c r="AM465" t="n">
        <v>0</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HYPERLINK("https://creighton-primo.hosted.exlibrisgroup.com/primo-explore/search?tab=default_tab&amp;search_scope=EVERYTHING&amp;vid=01CRU&amp;lang=en_US&amp;offset=0&amp;query=any,contains,991003526709702656","Catalog Record")</f>
        <v/>
      </c>
      <c r="AT465">
        <f>HYPERLINK("http://www.worldcat.org/oclc/1090148","WorldCat Record")</f>
        <v/>
      </c>
      <c r="AU465" t="inlineStr">
        <is>
          <t>2060277:eng</t>
        </is>
      </c>
      <c r="AV465" t="inlineStr">
        <is>
          <t>1090148</t>
        </is>
      </c>
      <c r="AW465" t="inlineStr">
        <is>
          <t>991003526709702656</t>
        </is>
      </c>
      <c r="AX465" t="inlineStr">
        <is>
          <t>991003526709702656</t>
        </is>
      </c>
      <c r="AY465" t="inlineStr">
        <is>
          <t>2262896050002656</t>
        </is>
      </c>
      <c r="AZ465" t="inlineStr">
        <is>
          <t>BOOK</t>
        </is>
      </c>
      <c r="BC465" t="inlineStr">
        <is>
          <t>32285000806462</t>
        </is>
      </c>
      <c r="BD465" t="inlineStr">
        <is>
          <t>893512045</t>
        </is>
      </c>
    </row>
    <row r="466">
      <c r="A466" t="inlineStr">
        <is>
          <t>No</t>
        </is>
      </c>
      <c r="B466" t="inlineStr">
        <is>
          <t>BT217 .S64 1886</t>
        </is>
      </c>
      <c r="C466" t="inlineStr">
        <is>
          <t>0                      BT 0217000S  64          1886</t>
        </is>
      </c>
      <c r="D466" t="inlineStr">
        <is>
          <t>The teachings of the holy Catholic Church : embracing her dogmas, sacraments and sacramentals / Rev. S. B. Smith. With the teachings and acts of her divine founder, our Savior and His sucessor Saint Peter, by Father Francis Deligney, S.J. Also the lives of Saint Patrick and Saint Bridget. Embellished with a series of beautiful full-page engravings, including the fourteen Stations of the Cross.</t>
        </is>
      </c>
      <c r="F466" t="inlineStr">
        <is>
          <t>No</t>
        </is>
      </c>
      <c r="G466" t="inlineStr">
        <is>
          <t>1</t>
        </is>
      </c>
      <c r="H466" t="inlineStr">
        <is>
          <t>No</t>
        </is>
      </c>
      <c r="I466" t="inlineStr">
        <is>
          <t>No</t>
        </is>
      </c>
      <c r="J466" t="inlineStr">
        <is>
          <t>0</t>
        </is>
      </c>
      <c r="K466" t="inlineStr">
        <is>
          <t>Smith, S. B. (Sebastian Bach), 1845-1895.</t>
        </is>
      </c>
      <c r="L466" t="inlineStr">
        <is>
          <t>New York : Office of Catholic Publications, 1886.</t>
        </is>
      </c>
      <c r="M466" t="inlineStr">
        <is>
          <t>1886</t>
        </is>
      </c>
      <c r="O466" t="inlineStr">
        <is>
          <t>eng</t>
        </is>
      </c>
      <c r="P466" t="inlineStr">
        <is>
          <t>nyu</t>
        </is>
      </c>
      <c r="R466" t="inlineStr">
        <is>
          <t xml:space="preserve">BT </t>
        </is>
      </c>
      <c r="S466" t="n">
        <v>5</v>
      </c>
      <c r="T466" t="n">
        <v>5</v>
      </c>
      <c r="U466" t="inlineStr">
        <is>
          <t>2002-09-17</t>
        </is>
      </c>
      <c r="V466" t="inlineStr">
        <is>
          <t>2002-09-17</t>
        </is>
      </c>
      <c r="W466" t="inlineStr">
        <is>
          <t>2000-11-28</t>
        </is>
      </c>
      <c r="X466" t="inlineStr">
        <is>
          <t>2000-11-28</t>
        </is>
      </c>
      <c r="Y466" t="n">
        <v>44</v>
      </c>
      <c r="Z466" t="n">
        <v>39</v>
      </c>
      <c r="AA466" t="n">
        <v>80</v>
      </c>
      <c r="AB466" t="n">
        <v>1</v>
      </c>
      <c r="AC466" t="n">
        <v>1</v>
      </c>
      <c r="AD466" t="n">
        <v>9</v>
      </c>
      <c r="AE466" t="n">
        <v>10</v>
      </c>
      <c r="AF466" t="n">
        <v>3</v>
      </c>
      <c r="AG466" t="n">
        <v>3</v>
      </c>
      <c r="AH466" t="n">
        <v>3</v>
      </c>
      <c r="AI466" t="n">
        <v>3</v>
      </c>
      <c r="AJ466" t="n">
        <v>5</v>
      </c>
      <c r="AK466" t="n">
        <v>6</v>
      </c>
      <c r="AL466" t="n">
        <v>0</v>
      </c>
      <c r="AM466" t="n">
        <v>0</v>
      </c>
      <c r="AN466" t="n">
        <v>0</v>
      </c>
      <c r="AO466" t="n">
        <v>0</v>
      </c>
      <c r="AP466" t="inlineStr">
        <is>
          <t>Yes</t>
        </is>
      </c>
      <c r="AQ466" t="inlineStr">
        <is>
          <t>No</t>
        </is>
      </c>
      <c r="AR466">
        <f>HYPERLINK("http://catalog.hathitrust.org/Record/100192151","HathiTrust Record")</f>
        <v/>
      </c>
      <c r="AS466">
        <f>HYPERLINK("https://creighton-primo.hosted.exlibrisgroup.com/primo-explore/search?tab=default_tab&amp;search_scope=EVERYTHING&amp;vid=01CRU&amp;lang=en_US&amp;offset=0&amp;query=any,contains,991003340999702656","Catalog Record")</f>
        <v/>
      </c>
      <c r="AT466">
        <f>HYPERLINK("http://www.worldcat.org/oclc/4446878","WorldCat Record")</f>
        <v/>
      </c>
      <c r="AU466" t="inlineStr">
        <is>
          <t>9252543:eng</t>
        </is>
      </c>
      <c r="AV466" t="inlineStr">
        <is>
          <t>4446878</t>
        </is>
      </c>
      <c r="AW466" t="inlineStr">
        <is>
          <t>991003340999702656</t>
        </is>
      </c>
      <c r="AX466" t="inlineStr">
        <is>
          <t>991003340999702656</t>
        </is>
      </c>
      <c r="AY466" t="inlineStr">
        <is>
          <t>2272250900002656</t>
        </is>
      </c>
      <c r="AZ466" t="inlineStr">
        <is>
          <t>BOOK</t>
        </is>
      </c>
      <c r="BC466" t="inlineStr">
        <is>
          <t>32285004267554</t>
        </is>
      </c>
      <c r="BD466" t="inlineStr">
        <is>
          <t>893874671</t>
        </is>
      </c>
    </row>
    <row r="467">
      <c r="A467" t="inlineStr">
        <is>
          <t>No</t>
        </is>
      </c>
      <c r="B467" t="inlineStr">
        <is>
          <t>BT218 .B613 1967</t>
        </is>
      </c>
      <c r="C467" t="inlineStr">
        <is>
          <t>0                      BT 0218000B  613         1967</t>
        </is>
      </c>
      <c r="D467" t="inlineStr">
        <is>
          <t>God is with us / Ladislaus Boros. Translated by R. A. Wilson.</t>
        </is>
      </c>
      <c r="F467" t="inlineStr">
        <is>
          <t>No</t>
        </is>
      </c>
      <c r="G467" t="inlineStr">
        <is>
          <t>1</t>
        </is>
      </c>
      <c r="H467" t="inlineStr">
        <is>
          <t>No</t>
        </is>
      </c>
      <c r="I467" t="inlineStr">
        <is>
          <t>No</t>
        </is>
      </c>
      <c r="J467" t="inlineStr">
        <is>
          <t>0</t>
        </is>
      </c>
      <c r="K467" t="inlineStr">
        <is>
          <t>Boros, Ladislaus, 1927-1981.</t>
        </is>
      </c>
      <c r="L467" t="inlineStr">
        <is>
          <t>[New York] Herder and Herder [1967]</t>
        </is>
      </c>
      <c r="M467" t="inlineStr">
        <is>
          <t>1967</t>
        </is>
      </c>
      <c r="O467" t="inlineStr">
        <is>
          <t>eng</t>
        </is>
      </c>
      <c r="P467" t="inlineStr">
        <is>
          <t>nyu</t>
        </is>
      </c>
      <c r="R467" t="inlineStr">
        <is>
          <t xml:space="preserve">BT </t>
        </is>
      </c>
      <c r="S467" t="n">
        <v>5</v>
      </c>
      <c r="T467" t="n">
        <v>5</v>
      </c>
      <c r="U467" t="inlineStr">
        <is>
          <t>2000-09-12</t>
        </is>
      </c>
      <c r="V467" t="inlineStr">
        <is>
          <t>2000-09-12</t>
        </is>
      </c>
      <c r="W467" t="inlineStr">
        <is>
          <t>1991-08-12</t>
        </is>
      </c>
      <c r="X467" t="inlineStr">
        <is>
          <t>1991-08-12</t>
        </is>
      </c>
      <c r="Y467" t="n">
        <v>156</v>
      </c>
      <c r="Z467" t="n">
        <v>150</v>
      </c>
      <c r="AA467" t="n">
        <v>176</v>
      </c>
      <c r="AB467" t="n">
        <v>3</v>
      </c>
      <c r="AC467" t="n">
        <v>3</v>
      </c>
      <c r="AD467" t="n">
        <v>23</v>
      </c>
      <c r="AE467" t="n">
        <v>27</v>
      </c>
      <c r="AF467" t="n">
        <v>6</v>
      </c>
      <c r="AG467" t="n">
        <v>7</v>
      </c>
      <c r="AH467" t="n">
        <v>6</v>
      </c>
      <c r="AI467" t="n">
        <v>8</v>
      </c>
      <c r="AJ467" t="n">
        <v>17</v>
      </c>
      <c r="AK467" t="n">
        <v>21</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HYPERLINK("https://creighton-primo.hosted.exlibrisgroup.com/primo-explore/search?tab=default_tab&amp;search_scope=EVERYTHING&amp;vid=01CRU&amp;lang=en_US&amp;offset=0&amp;query=any,contains,991003134099702656","Catalog Record")</f>
        <v/>
      </c>
      <c r="AT467">
        <f>HYPERLINK("http://www.worldcat.org/oclc/676355","WorldCat Record")</f>
        <v/>
      </c>
      <c r="AU467" t="inlineStr">
        <is>
          <t>365825649:eng</t>
        </is>
      </c>
      <c r="AV467" t="inlineStr">
        <is>
          <t>676355</t>
        </is>
      </c>
      <c r="AW467" t="inlineStr">
        <is>
          <t>991003134099702656</t>
        </is>
      </c>
      <c r="AX467" t="inlineStr">
        <is>
          <t>991003134099702656</t>
        </is>
      </c>
      <c r="AY467" t="inlineStr">
        <is>
          <t>2270185690002656</t>
        </is>
      </c>
      <c r="AZ467" t="inlineStr">
        <is>
          <t>BOOK</t>
        </is>
      </c>
      <c r="BC467" t="inlineStr">
        <is>
          <t>32285000712090</t>
        </is>
      </c>
      <c r="BD467" t="inlineStr">
        <is>
          <t>893799414</t>
        </is>
      </c>
    </row>
    <row r="468">
      <c r="A468" t="inlineStr">
        <is>
          <t>No</t>
        </is>
      </c>
      <c r="B468" t="inlineStr">
        <is>
          <t>BT2188 .G66 1974</t>
        </is>
      </c>
      <c r="C468" t="inlineStr">
        <is>
          <t>0                      BT 2188000G  66          1974</t>
        </is>
      </c>
      <c r="D468" t="inlineStr">
        <is>
          <t>Good news : further reflections / by a Modern pilgrim.</t>
        </is>
      </c>
      <c r="F468" t="inlineStr">
        <is>
          <t>No</t>
        </is>
      </c>
      <c r="G468" t="inlineStr">
        <is>
          <t>1</t>
        </is>
      </c>
      <c r="H468" t="inlineStr">
        <is>
          <t>No</t>
        </is>
      </c>
      <c r="I468" t="inlineStr">
        <is>
          <t>No</t>
        </is>
      </c>
      <c r="J468" t="inlineStr">
        <is>
          <t>0</t>
        </is>
      </c>
      <c r="L468" t="inlineStr">
        <is>
          <t>Chicago : Thomas More Press, [1974]</t>
        </is>
      </c>
      <c r="M468" t="inlineStr">
        <is>
          <t>1974</t>
        </is>
      </c>
      <c r="O468" t="inlineStr">
        <is>
          <t>eng</t>
        </is>
      </c>
      <c r="P468" t="inlineStr">
        <is>
          <t>___</t>
        </is>
      </c>
      <c r="R468" t="inlineStr">
        <is>
          <t xml:space="preserve">BT </t>
        </is>
      </c>
      <c r="S468" t="n">
        <v>2</v>
      </c>
      <c r="T468" t="n">
        <v>2</v>
      </c>
      <c r="U468" t="inlineStr">
        <is>
          <t>1994-06-29</t>
        </is>
      </c>
      <c r="V468" t="inlineStr">
        <is>
          <t>1994-06-29</t>
        </is>
      </c>
      <c r="W468" t="inlineStr">
        <is>
          <t>1991-11-07</t>
        </is>
      </c>
      <c r="X468" t="inlineStr">
        <is>
          <t>1991-11-07</t>
        </is>
      </c>
      <c r="Y468" t="n">
        <v>50</v>
      </c>
      <c r="Z468" t="n">
        <v>47</v>
      </c>
      <c r="AA468" t="n">
        <v>47</v>
      </c>
      <c r="AB468" t="n">
        <v>2</v>
      </c>
      <c r="AC468" t="n">
        <v>2</v>
      </c>
      <c r="AD468" t="n">
        <v>4</v>
      </c>
      <c r="AE468" t="n">
        <v>4</v>
      </c>
      <c r="AF468" t="n">
        <v>0</v>
      </c>
      <c r="AG468" t="n">
        <v>0</v>
      </c>
      <c r="AH468" t="n">
        <v>0</v>
      </c>
      <c r="AI468" t="n">
        <v>0</v>
      </c>
      <c r="AJ468" t="n">
        <v>4</v>
      </c>
      <c r="AK468" t="n">
        <v>4</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HYPERLINK("https://creighton-primo.hosted.exlibrisgroup.com/primo-explore/search?tab=default_tab&amp;search_scope=EVERYTHING&amp;vid=01CRU&amp;lang=en_US&amp;offset=0&amp;query=any,contains,991003492949702656","Catalog Record")</f>
        <v/>
      </c>
      <c r="AT468">
        <f>HYPERLINK("http://www.worldcat.org/oclc/1043042","WorldCat Record")</f>
        <v/>
      </c>
      <c r="AU468" t="inlineStr">
        <is>
          <t>2012575:eng</t>
        </is>
      </c>
      <c r="AV468" t="inlineStr">
        <is>
          <t>1043042</t>
        </is>
      </c>
      <c r="AW468" t="inlineStr">
        <is>
          <t>991003492949702656</t>
        </is>
      </c>
      <c r="AX468" t="inlineStr">
        <is>
          <t>991003492949702656</t>
        </is>
      </c>
      <c r="AY468" t="inlineStr">
        <is>
          <t>2267021110002656</t>
        </is>
      </c>
      <c r="AZ468" t="inlineStr">
        <is>
          <t>BOOK</t>
        </is>
      </c>
      <c r="BC468" t="inlineStr">
        <is>
          <t>32285000809623</t>
        </is>
      </c>
      <c r="BD468" t="inlineStr">
        <is>
          <t>893623542</t>
        </is>
      </c>
    </row>
    <row r="469">
      <c r="A469" t="inlineStr">
        <is>
          <t>No</t>
        </is>
      </c>
      <c r="B469" t="inlineStr">
        <is>
          <t>BT22 .C45 1997</t>
        </is>
      </c>
      <c r="C469" t="inlineStr">
        <is>
          <t>0                      BT 0022000C  45          1997</t>
        </is>
      </c>
      <c r="D469" t="inlineStr">
        <is>
          <t>By the renewing of your minds : the pastoral function of Christian doctrine / Ellen T. Charry.</t>
        </is>
      </c>
      <c r="F469" t="inlineStr">
        <is>
          <t>No</t>
        </is>
      </c>
      <c r="G469" t="inlineStr">
        <is>
          <t>1</t>
        </is>
      </c>
      <c r="H469" t="inlineStr">
        <is>
          <t>No</t>
        </is>
      </c>
      <c r="I469" t="inlineStr">
        <is>
          <t>No</t>
        </is>
      </c>
      <c r="J469" t="inlineStr">
        <is>
          <t>0</t>
        </is>
      </c>
      <c r="K469" t="inlineStr">
        <is>
          <t>Charry, Ellen T.</t>
        </is>
      </c>
      <c r="L469" t="inlineStr">
        <is>
          <t>New York : Oxford University Press, 1997.</t>
        </is>
      </c>
      <c r="M469" t="inlineStr">
        <is>
          <t>1997</t>
        </is>
      </c>
      <c r="O469" t="inlineStr">
        <is>
          <t>eng</t>
        </is>
      </c>
      <c r="P469" t="inlineStr">
        <is>
          <t>nyu</t>
        </is>
      </c>
      <c r="R469" t="inlineStr">
        <is>
          <t xml:space="preserve">BT </t>
        </is>
      </c>
      <c r="S469" t="n">
        <v>1</v>
      </c>
      <c r="T469" t="n">
        <v>1</v>
      </c>
      <c r="U469" t="inlineStr">
        <is>
          <t>2006-03-29</t>
        </is>
      </c>
      <c r="V469" t="inlineStr">
        <is>
          <t>2006-03-29</t>
        </is>
      </c>
      <c r="W469" t="inlineStr">
        <is>
          <t>1997-12-03</t>
        </is>
      </c>
      <c r="X469" t="inlineStr">
        <is>
          <t>1997-12-03</t>
        </is>
      </c>
      <c r="Y469" t="n">
        <v>353</v>
      </c>
      <c r="Z469" t="n">
        <v>295</v>
      </c>
      <c r="AA469" t="n">
        <v>1147</v>
      </c>
      <c r="AB469" t="n">
        <v>2</v>
      </c>
      <c r="AC469" t="n">
        <v>3</v>
      </c>
      <c r="AD469" t="n">
        <v>22</v>
      </c>
      <c r="AE469" t="n">
        <v>36</v>
      </c>
      <c r="AF469" t="n">
        <v>10</v>
      </c>
      <c r="AG469" t="n">
        <v>19</v>
      </c>
      <c r="AH469" t="n">
        <v>3</v>
      </c>
      <c r="AI469" t="n">
        <v>7</v>
      </c>
      <c r="AJ469" t="n">
        <v>14</v>
      </c>
      <c r="AK469" t="n">
        <v>17</v>
      </c>
      <c r="AL469" t="n">
        <v>1</v>
      </c>
      <c r="AM469" t="n">
        <v>2</v>
      </c>
      <c r="AN469" t="n">
        <v>0</v>
      </c>
      <c r="AO469" t="n">
        <v>0</v>
      </c>
      <c r="AP469" t="inlineStr">
        <is>
          <t>No</t>
        </is>
      </c>
      <c r="AQ469" t="inlineStr">
        <is>
          <t>Yes</t>
        </is>
      </c>
      <c r="AR469">
        <f>HYPERLINK("http://catalog.hathitrust.org/Record/004234211","HathiTrust Record")</f>
        <v/>
      </c>
      <c r="AS469">
        <f>HYPERLINK("https://creighton-primo.hosted.exlibrisgroup.com/primo-explore/search?tab=default_tab&amp;search_scope=EVERYTHING&amp;vid=01CRU&amp;lang=en_US&amp;offset=0&amp;query=any,contains,991002677909702656","Catalog Record")</f>
        <v/>
      </c>
      <c r="AT469">
        <f>HYPERLINK("http://www.worldcat.org/oclc/35008171","WorldCat Record")</f>
        <v/>
      </c>
      <c r="AU469" t="inlineStr">
        <is>
          <t>799865436:eng</t>
        </is>
      </c>
      <c r="AV469" t="inlineStr">
        <is>
          <t>35008171</t>
        </is>
      </c>
      <c r="AW469" t="inlineStr">
        <is>
          <t>991002677909702656</t>
        </is>
      </c>
      <c r="AX469" t="inlineStr">
        <is>
          <t>991002677909702656</t>
        </is>
      </c>
      <c r="AY469" t="inlineStr">
        <is>
          <t>2262300780002656</t>
        </is>
      </c>
      <c r="AZ469" t="inlineStr">
        <is>
          <t>BOOK</t>
        </is>
      </c>
      <c r="BB469" t="inlineStr">
        <is>
          <t>9780195097108</t>
        </is>
      </c>
      <c r="BC469" t="inlineStr">
        <is>
          <t>32285003280855</t>
        </is>
      </c>
      <c r="BD469" t="inlineStr">
        <is>
          <t>893251508</t>
        </is>
      </c>
    </row>
    <row r="470">
      <c r="A470" t="inlineStr">
        <is>
          <t>No</t>
        </is>
      </c>
      <c r="B470" t="inlineStr">
        <is>
          <t>BT220 .A753 1973</t>
        </is>
      </c>
      <c r="C470" t="inlineStr">
        <is>
          <t>0                      BT 0220000A  753         1973</t>
        </is>
      </c>
      <c r="D470" t="inlineStr">
        <is>
          <t>Sur l'incarnation du Verbe [par] Athanase d'Alexandrie; introduction, texte critique, traduction, notes ... par Charles Kannengiesser, [S.J.], ...</t>
        </is>
      </c>
      <c r="F470" t="inlineStr">
        <is>
          <t>No</t>
        </is>
      </c>
      <c r="G470" t="inlineStr">
        <is>
          <t>1</t>
        </is>
      </c>
      <c r="H470" t="inlineStr">
        <is>
          <t>No</t>
        </is>
      </c>
      <c r="I470" t="inlineStr">
        <is>
          <t>Yes</t>
        </is>
      </c>
      <c r="J470" t="inlineStr">
        <is>
          <t>0</t>
        </is>
      </c>
      <c r="K470" t="inlineStr">
        <is>
          <t>Athanasius, Saint, Patriarch of Alexandria, -373.</t>
        </is>
      </c>
      <c r="L470" t="inlineStr">
        <is>
          <t>Paris, Éditions du Cerf, 1973.</t>
        </is>
      </c>
      <c r="M470" t="inlineStr">
        <is>
          <t>1973</t>
        </is>
      </c>
      <c r="O470" t="inlineStr">
        <is>
          <t>fre</t>
        </is>
      </c>
      <c r="P470" t="inlineStr">
        <is>
          <t xml:space="preserve">fr </t>
        </is>
      </c>
      <c r="Q470" t="inlineStr">
        <is>
          <t>Sources chrétiennes ; no 199</t>
        </is>
      </c>
      <c r="R470" t="inlineStr">
        <is>
          <t xml:space="preserve">BT </t>
        </is>
      </c>
      <c r="S470" t="n">
        <v>2</v>
      </c>
      <c r="T470" t="n">
        <v>2</v>
      </c>
      <c r="U470" t="inlineStr">
        <is>
          <t>1998-02-19</t>
        </is>
      </c>
      <c r="V470" t="inlineStr">
        <is>
          <t>1998-02-19</t>
        </is>
      </c>
      <c r="W470" t="inlineStr">
        <is>
          <t>1991-08-14</t>
        </is>
      </c>
      <c r="X470" t="inlineStr">
        <is>
          <t>1991-08-14</t>
        </is>
      </c>
      <c r="Y470" t="n">
        <v>203</v>
      </c>
      <c r="Z470" t="n">
        <v>133</v>
      </c>
      <c r="AA470" t="n">
        <v>157</v>
      </c>
      <c r="AB470" t="n">
        <v>2</v>
      </c>
      <c r="AC470" t="n">
        <v>2</v>
      </c>
      <c r="AD470" t="n">
        <v>17</v>
      </c>
      <c r="AE470" t="n">
        <v>20</v>
      </c>
      <c r="AF470" t="n">
        <v>4</v>
      </c>
      <c r="AG470" t="n">
        <v>5</v>
      </c>
      <c r="AH470" t="n">
        <v>5</v>
      </c>
      <c r="AI470" t="n">
        <v>6</v>
      </c>
      <c r="AJ470" t="n">
        <v>12</v>
      </c>
      <c r="AK470" t="n">
        <v>14</v>
      </c>
      <c r="AL470" t="n">
        <v>1</v>
      </c>
      <c r="AM470" t="n">
        <v>1</v>
      </c>
      <c r="AN470" t="n">
        <v>0</v>
      </c>
      <c r="AO470" t="n">
        <v>0</v>
      </c>
      <c r="AP470" t="inlineStr">
        <is>
          <t>No</t>
        </is>
      </c>
      <c r="AQ470" t="inlineStr">
        <is>
          <t>Yes</t>
        </is>
      </c>
      <c r="AR470">
        <f>HYPERLINK("http://catalog.hathitrust.org/Record/001406277","HathiTrust Record")</f>
        <v/>
      </c>
      <c r="AS470">
        <f>HYPERLINK("https://creighton-primo.hosted.exlibrisgroup.com/primo-explore/search?tab=default_tab&amp;search_scope=EVERYTHING&amp;vid=01CRU&amp;lang=en_US&amp;offset=0&amp;query=any,contains,991003350659702656","Catalog Record")</f>
        <v/>
      </c>
      <c r="AT470">
        <f>HYPERLINK("http://www.worldcat.org/oclc/883962","WorldCat Record")</f>
        <v/>
      </c>
      <c r="AU470" t="inlineStr">
        <is>
          <t>2287017095:fre</t>
        </is>
      </c>
      <c r="AV470" t="inlineStr">
        <is>
          <t>883962</t>
        </is>
      </c>
      <c r="AW470" t="inlineStr">
        <is>
          <t>991003350659702656</t>
        </is>
      </c>
      <c r="AX470" t="inlineStr">
        <is>
          <t>991003350659702656</t>
        </is>
      </c>
      <c r="AY470" t="inlineStr">
        <is>
          <t>2258804370002656</t>
        </is>
      </c>
      <c r="AZ470" t="inlineStr">
        <is>
          <t>BOOK</t>
        </is>
      </c>
      <c r="BC470" t="inlineStr">
        <is>
          <t>32285000712165</t>
        </is>
      </c>
      <c r="BD470" t="inlineStr">
        <is>
          <t>893441207</t>
        </is>
      </c>
    </row>
    <row r="471">
      <c r="A471" t="inlineStr">
        <is>
          <t>No</t>
        </is>
      </c>
      <c r="B471" t="inlineStr">
        <is>
          <t>BT220 .C37 1981</t>
        </is>
      </c>
      <c r="C471" t="inlineStr">
        <is>
          <t>0                      BT 0220000C  37          1981</t>
        </is>
      </c>
      <c r="D471" t="inlineStr">
        <is>
          <t>The absolute primacy and predestination of Jesus and his virgin mother / by Juniper B. Carol.</t>
        </is>
      </c>
      <c r="F471" t="inlineStr">
        <is>
          <t>No</t>
        </is>
      </c>
      <c r="G471" t="inlineStr">
        <is>
          <t>1</t>
        </is>
      </c>
      <c r="H471" t="inlineStr">
        <is>
          <t>No</t>
        </is>
      </c>
      <c r="I471" t="inlineStr">
        <is>
          <t>No</t>
        </is>
      </c>
      <c r="J471" t="inlineStr">
        <is>
          <t>0</t>
        </is>
      </c>
      <c r="K471" t="inlineStr">
        <is>
          <t>Carol, Juniper B., 1911-1990.</t>
        </is>
      </c>
      <c r="L471" t="inlineStr">
        <is>
          <t>Chicago : Franciscan Herald Press, [1981].</t>
        </is>
      </c>
      <c r="M471" t="inlineStr">
        <is>
          <t>1981</t>
        </is>
      </c>
      <c r="O471" t="inlineStr">
        <is>
          <t>eng</t>
        </is>
      </c>
      <c r="P471" t="inlineStr">
        <is>
          <t>ilu</t>
        </is>
      </c>
      <c r="R471" t="inlineStr">
        <is>
          <t xml:space="preserve">BT </t>
        </is>
      </c>
      <c r="S471" t="n">
        <v>5</v>
      </c>
      <c r="T471" t="n">
        <v>5</v>
      </c>
      <c r="U471" t="inlineStr">
        <is>
          <t>2000-02-09</t>
        </is>
      </c>
      <c r="V471" t="inlineStr">
        <is>
          <t>2000-02-09</t>
        </is>
      </c>
      <c r="W471" t="inlineStr">
        <is>
          <t>1991-02-01</t>
        </is>
      </c>
      <c r="X471" t="inlineStr">
        <is>
          <t>1991-02-01</t>
        </is>
      </c>
      <c r="Y471" t="n">
        <v>59</v>
      </c>
      <c r="Z471" t="n">
        <v>53</v>
      </c>
      <c r="AA471" t="n">
        <v>53</v>
      </c>
      <c r="AB471" t="n">
        <v>2</v>
      </c>
      <c r="AC471" t="n">
        <v>2</v>
      </c>
      <c r="AD471" t="n">
        <v>8</v>
      </c>
      <c r="AE471" t="n">
        <v>8</v>
      </c>
      <c r="AF471" t="n">
        <v>1</v>
      </c>
      <c r="AG471" t="n">
        <v>1</v>
      </c>
      <c r="AH471" t="n">
        <v>1</v>
      </c>
      <c r="AI471" t="n">
        <v>1</v>
      </c>
      <c r="AJ471" t="n">
        <v>8</v>
      </c>
      <c r="AK471" t="n">
        <v>8</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HYPERLINK("https://creighton-primo.hosted.exlibrisgroup.com/primo-explore/search?tab=default_tab&amp;search_scope=EVERYTHING&amp;vid=01CRU&amp;lang=en_US&amp;offset=0&amp;query=any,contains,991005201209702656","Catalog Record")</f>
        <v/>
      </c>
      <c r="AT471">
        <f>HYPERLINK("http://www.worldcat.org/oclc/8083638","WorldCat Record")</f>
        <v/>
      </c>
      <c r="AU471" t="inlineStr">
        <is>
          <t>30479295:eng</t>
        </is>
      </c>
      <c r="AV471" t="inlineStr">
        <is>
          <t>8083638</t>
        </is>
      </c>
      <c r="AW471" t="inlineStr">
        <is>
          <t>991005201209702656</t>
        </is>
      </c>
      <c r="AX471" t="inlineStr">
        <is>
          <t>991005201209702656</t>
        </is>
      </c>
      <c r="AY471" t="inlineStr">
        <is>
          <t>2271989360002656</t>
        </is>
      </c>
      <c r="AZ471" t="inlineStr">
        <is>
          <t>BOOK</t>
        </is>
      </c>
      <c r="BC471" t="inlineStr">
        <is>
          <t>32285000462969</t>
        </is>
      </c>
      <c r="BD471" t="inlineStr">
        <is>
          <t>893236466</t>
        </is>
      </c>
    </row>
    <row r="472">
      <c r="A472" t="inlineStr">
        <is>
          <t>No</t>
        </is>
      </c>
      <c r="B472" t="inlineStr">
        <is>
          <t>BT220 .D84 1996</t>
        </is>
      </c>
      <c r="C472" t="inlineStr">
        <is>
          <t>0                      BT 0220000D  84          1996</t>
        </is>
      </c>
      <c r="D472" t="inlineStr">
        <is>
          <t>Christology in the making : a New Testament inquiry into the origins of the doctrine of the Incarnation / James D.G. Dunn.</t>
        </is>
      </c>
      <c r="F472" t="inlineStr">
        <is>
          <t>No</t>
        </is>
      </c>
      <c r="G472" t="inlineStr">
        <is>
          <t>1</t>
        </is>
      </c>
      <c r="H472" t="inlineStr">
        <is>
          <t>No</t>
        </is>
      </c>
      <c r="I472" t="inlineStr">
        <is>
          <t>No</t>
        </is>
      </c>
      <c r="J472" t="inlineStr">
        <is>
          <t>0</t>
        </is>
      </c>
      <c r="K472" t="inlineStr">
        <is>
          <t>Dunn, James D. G., 1939-2020.</t>
        </is>
      </c>
      <c r="L472" t="inlineStr">
        <is>
          <t>Grand Rapids, Mich. : W.B. Eerdmans Pub. Co., 1996.</t>
        </is>
      </c>
      <c r="M472" t="inlineStr">
        <is>
          <t>1996</t>
        </is>
      </c>
      <c r="N472" t="inlineStr">
        <is>
          <t>2nd ed.</t>
        </is>
      </c>
      <c r="O472" t="inlineStr">
        <is>
          <t>eng</t>
        </is>
      </c>
      <c r="P472" t="inlineStr">
        <is>
          <t>miu</t>
        </is>
      </c>
      <c r="R472" t="inlineStr">
        <is>
          <t xml:space="preserve">BT </t>
        </is>
      </c>
      <c r="S472" t="n">
        <v>1</v>
      </c>
      <c r="T472" t="n">
        <v>1</v>
      </c>
      <c r="U472" t="inlineStr">
        <is>
          <t>2010-07-01</t>
        </is>
      </c>
      <c r="V472" t="inlineStr">
        <is>
          <t>2010-07-01</t>
        </is>
      </c>
      <c r="W472" t="inlineStr">
        <is>
          <t>2010-06-07</t>
        </is>
      </c>
      <c r="X472" t="inlineStr">
        <is>
          <t>2010-06-07</t>
        </is>
      </c>
      <c r="Y472" t="n">
        <v>272</v>
      </c>
      <c r="Z472" t="n">
        <v>237</v>
      </c>
      <c r="AA472" t="n">
        <v>606</v>
      </c>
      <c r="AB472" t="n">
        <v>2</v>
      </c>
      <c r="AC472" t="n">
        <v>3</v>
      </c>
      <c r="AD472" t="n">
        <v>12</v>
      </c>
      <c r="AE472" t="n">
        <v>41</v>
      </c>
      <c r="AF472" t="n">
        <v>6</v>
      </c>
      <c r="AG472" t="n">
        <v>16</v>
      </c>
      <c r="AH472" t="n">
        <v>1</v>
      </c>
      <c r="AI472" t="n">
        <v>9</v>
      </c>
      <c r="AJ472" t="n">
        <v>6</v>
      </c>
      <c r="AK472" t="n">
        <v>25</v>
      </c>
      <c r="AL472" t="n">
        <v>1</v>
      </c>
      <c r="AM472" t="n">
        <v>2</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HYPERLINK("https://creighton-primo.hosted.exlibrisgroup.com/primo-explore/search?tab=default_tab&amp;search_scope=EVERYTHING&amp;vid=01CRU&amp;lang=en_US&amp;offset=0&amp;query=any,contains,991000000159702656","Catalog Record")</f>
        <v/>
      </c>
      <c r="AT472">
        <f>HYPERLINK("http://www.worldcat.org/oclc/34926860","WorldCat Record")</f>
        <v/>
      </c>
      <c r="AU472" t="inlineStr">
        <is>
          <t>836753216:eng</t>
        </is>
      </c>
      <c r="AV472" t="inlineStr">
        <is>
          <t>34926860</t>
        </is>
      </c>
      <c r="AW472" t="inlineStr">
        <is>
          <t>991000000159702656</t>
        </is>
      </c>
      <c r="AX472" t="inlineStr">
        <is>
          <t>991000000159702656</t>
        </is>
      </c>
      <c r="AY472" t="inlineStr">
        <is>
          <t>2256083970002656</t>
        </is>
      </c>
      <c r="AZ472" t="inlineStr">
        <is>
          <t>BOOK</t>
        </is>
      </c>
      <c r="BB472" t="inlineStr">
        <is>
          <t>9780802842572</t>
        </is>
      </c>
      <c r="BC472" t="inlineStr">
        <is>
          <t>32285002443827</t>
        </is>
      </c>
      <c r="BD472" t="inlineStr">
        <is>
          <t>893320729</t>
        </is>
      </c>
    </row>
    <row r="473">
      <c r="A473" t="inlineStr">
        <is>
          <t>No</t>
        </is>
      </c>
      <c r="B473" t="inlineStr">
        <is>
          <t>BT220 .L37</t>
        </is>
      </c>
      <c r="C473" t="inlineStr">
        <is>
          <t>0                      BT 0220000L  37</t>
        </is>
      </c>
      <c r="D473" t="inlineStr">
        <is>
          <t>The incarnation : papers from the Summer school of Catholic studies held at Cambridge, July 25-31, 1925 / ed. by the Rev. C. Lattey.</t>
        </is>
      </c>
      <c r="F473" t="inlineStr">
        <is>
          <t>No</t>
        </is>
      </c>
      <c r="G473" t="inlineStr">
        <is>
          <t>1</t>
        </is>
      </c>
      <c r="H473" t="inlineStr">
        <is>
          <t>No</t>
        </is>
      </c>
      <c r="I473" t="inlineStr">
        <is>
          <t>No</t>
        </is>
      </c>
      <c r="J473" t="inlineStr">
        <is>
          <t>0</t>
        </is>
      </c>
      <c r="K473" t="inlineStr">
        <is>
          <t>Lattey, C. (Cuthbert), 1877-1954, editor.</t>
        </is>
      </c>
      <c r="L473" t="inlineStr">
        <is>
          <t>Cambridge [Eng.] W. Heffer &amp; sons, ltd., 1926.</t>
        </is>
      </c>
      <c r="M473" t="inlineStr">
        <is>
          <t>1926</t>
        </is>
      </c>
      <c r="O473" t="inlineStr">
        <is>
          <t>eng</t>
        </is>
      </c>
      <c r="P473" t="inlineStr">
        <is>
          <t xml:space="preserve">en </t>
        </is>
      </c>
      <c r="R473" t="inlineStr">
        <is>
          <t xml:space="preserve">BT </t>
        </is>
      </c>
      <c r="S473" t="n">
        <v>1</v>
      </c>
      <c r="T473" t="n">
        <v>1</v>
      </c>
      <c r="U473" t="inlineStr">
        <is>
          <t>1998-06-02</t>
        </is>
      </c>
      <c r="V473" t="inlineStr">
        <is>
          <t>1998-06-02</t>
        </is>
      </c>
      <c r="W473" t="inlineStr">
        <is>
          <t>1991-08-14</t>
        </is>
      </c>
      <c r="X473" t="inlineStr">
        <is>
          <t>1991-08-14</t>
        </is>
      </c>
      <c r="Y473" t="n">
        <v>102</v>
      </c>
      <c r="Z473" t="n">
        <v>79</v>
      </c>
      <c r="AA473" t="n">
        <v>81</v>
      </c>
      <c r="AB473" t="n">
        <v>2</v>
      </c>
      <c r="AC473" t="n">
        <v>2</v>
      </c>
      <c r="AD473" t="n">
        <v>21</v>
      </c>
      <c r="AE473" t="n">
        <v>21</v>
      </c>
      <c r="AF473" t="n">
        <v>6</v>
      </c>
      <c r="AG473" t="n">
        <v>6</v>
      </c>
      <c r="AH473" t="n">
        <v>6</v>
      </c>
      <c r="AI473" t="n">
        <v>6</v>
      </c>
      <c r="AJ473" t="n">
        <v>17</v>
      </c>
      <c r="AK473" t="n">
        <v>17</v>
      </c>
      <c r="AL473" t="n">
        <v>0</v>
      </c>
      <c r="AM473" t="n">
        <v>0</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HYPERLINK("https://creighton-primo.hosted.exlibrisgroup.com/primo-explore/search?tab=default_tab&amp;search_scope=EVERYTHING&amp;vid=01CRU&amp;lang=en_US&amp;offset=0&amp;query=any,contains,991004135629702656","Catalog Record")</f>
        <v/>
      </c>
      <c r="AT473">
        <f>HYPERLINK("http://www.worldcat.org/oclc/2484971","WorldCat Record")</f>
        <v/>
      </c>
      <c r="AU473" t="inlineStr">
        <is>
          <t>5263975:eng</t>
        </is>
      </c>
      <c r="AV473" t="inlineStr">
        <is>
          <t>2484971</t>
        </is>
      </c>
      <c r="AW473" t="inlineStr">
        <is>
          <t>991004135629702656</t>
        </is>
      </c>
      <c r="AX473" t="inlineStr">
        <is>
          <t>991004135629702656</t>
        </is>
      </c>
      <c r="AY473" t="inlineStr">
        <is>
          <t>2264026200002656</t>
        </is>
      </c>
      <c r="AZ473" t="inlineStr">
        <is>
          <t>BOOK</t>
        </is>
      </c>
      <c r="BC473" t="inlineStr">
        <is>
          <t>32285000712231</t>
        </is>
      </c>
      <c r="BD473" t="inlineStr">
        <is>
          <t>893525696</t>
        </is>
      </c>
    </row>
    <row r="474">
      <c r="A474" t="inlineStr">
        <is>
          <t>No</t>
        </is>
      </c>
      <c r="B474" t="inlineStr">
        <is>
          <t>BT220 .L54 1927</t>
        </is>
      </c>
      <c r="C474" t="inlineStr">
        <is>
          <t>0                      BT 0220000L  54          1927</t>
        </is>
      </c>
      <c r="D474" t="inlineStr">
        <is>
          <t>The incarnation, birth, and infancy of Jesus Christ; or, The mysteries of the faith / by St. Alphonsus de Liguori, edited by Rev. Eugene Grimm.</t>
        </is>
      </c>
      <c r="F474" t="inlineStr">
        <is>
          <t>No</t>
        </is>
      </c>
      <c r="G474" t="inlineStr">
        <is>
          <t>1</t>
        </is>
      </c>
      <c r="H474" t="inlineStr">
        <is>
          <t>No</t>
        </is>
      </c>
      <c r="I474" t="inlineStr">
        <is>
          <t>No</t>
        </is>
      </c>
      <c r="J474" t="inlineStr">
        <is>
          <t>0</t>
        </is>
      </c>
      <c r="K474" t="inlineStr">
        <is>
          <t>Liguori, Alfonso Maria de', Saint, 1696-1787.</t>
        </is>
      </c>
      <c r="L474" t="inlineStr">
        <is>
          <t>Brooklyn : Redemptorist fathers, c1927.</t>
        </is>
      </c>
      <c r="M474" t="inlineStr">
        <is>
          <t>1927</t>
        </is>
      </c>
      <c r="O474" t="inlineStr">
        <is>
          <t>eng</t>
        </is>
      </c>
      <c r="P474" t="inlineStr">
        <is>
          <t>___</t>
        </is>
      </c>
      <c r="Q474" t="inlineStr">
        <is>
          <t>The complete works of Saint Alphonsus de Liguori. The ascetical works. v. 4</t>
        </is>
      </c>
      <c r="R474" t="inlineStr">
        <is>
          <t xml:space="preserve">BT </t>
        </is>
      </c>
      <c r="S474" t="n">
        <v>3</v>
      </c>
      <c r="T474" t="n">
        <v>3</v>
      </c>
      <c r="U474" t="inlineStr">
        <is>
          <t>1994-02-07</t>
        </is>
      </c>
      <c r="V474" t="inlineStr">
        <is>
          <t>1994-02-07</t>
        </is>
      </c>
      <c r="W474" t="inlineStr">
        <is>
          <t>1991-08-14</t>
        </is>
      </c>
      <c r="X474" t="inlineStr">
        <is>
          <t>1991-08-14</t>
        </is>
      </c>
      <c r="Y474" t="n">
        <v>92</v>
      </c>
      <c r="Z474" t="n">
        <v>85</v>
      </c>
      <c r="AA474" t="n">
        <v>126</v>
      </c>
      <c r="AB474" t="n">
        <v>1</v>
      </c>
      <c r="AC474" t="n">
        <v>1</v>
      </c>
      <c r="AD474" t="n">
        <v>10</v>
      </c>
      <c r="AE474" t="n">
        <v>15</v>
      </c>
      <c r="AF474" t="n">
        <v>2</v>
      </c>
      <c r="AG474" t="n">
        <v>4</v>
      </c>
      <c r="AH474" t="n">
        <v>3</v>
      </c>
      <c r="AI474" t="n">
        <v>3</v>
      </c>
      <c r="AJ474" t="n">
        <v>6</v>
      </c>
      <c r="AK474" t="n">
        <v>10</v>
      </c>
      <c r="AL474" t="n">
        <v>0</v>
      </c>
      <c r="AM474" t="n">
        <v>0</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HYPERLINK("https://creighton-primo.hosted.exlibrisgroup.com/primo-explore/search?tab=default_tab&amp;search_scope=EVERYTHING&amp;vid=01CRU&amp;lang=en_US&amp;offset=0&amp;query=any,contains,991003410949702656","Catalog Record")</f>
        <v/>
      </c>
      <c r="AT474">
        <f>HYPERLINK("http://www.worldcat.org/oclc/949406","WorldCat Record")</f>
        <v/>
      </c>
      <c r="AU474" t="inlineStr">
        <is>
          <t>2863559618:eng</t>
        </is>
      </c>
      <c r="AV474" t="inlineStr">
        <is>
          <t>949406</t>
        </is>
      </c>
      <c r="AW474" t="inlineStr">
        <is>
          <t>991003410949702656</t>
        </is>
      </c>
      <c r="AX474" t="inlineStr">
        <is>
          <t>991003410949702656</t>
        </is>
      </c>
      <c r="AY474" t="inlineStr">
        <is>
          <t>2262951310002656</t>
        </is>
      </c>
      <c r="AZ474" t="inlineStr">
        <is>
          <t>BOOK</t>
        </is>
      </c>
      <c r="BC474" t="inlineStr">
        <is>
          <t>32285000712249</t>
        </is>
      </c>
      <c r="BD474" t="inlineStr">
        <is>
          <t>893893699</t>
        </is>
      </c>
    </row>
    <row r="475">
      <c r="A475" t="inlineStr">
        <is>
          <t>No</t>
        </is>
      </c>
      <c r="B475" t="inlineStr">
        <is>
          <t>BT220 .S355 1990</t>
        </is>
      </c>
      <c r="C475" t="inlineStr">
        <is>
          <t>0                      BT 0220000S  355         1990</t>
        </is>
      </c>
      <c r="D475" t="inlineStr">
        <is>
          <t>The mysteries of March : Hans Urs von Balthasar on the Incarnation and Easter / by John Saward ; foreword by Rowan Williams.</t>
        </is>
      </c>
      <c r="F475" t="inlineStr">
        <is>
          <t>No</t>
        </is>
      </c>
      <c r="G475" t="inlineStr">
        <is>
          <t>1</t>
        </is>
      </c>
      <c r="H475" t="inlineStr">
        <is>
          <t>No</t>
        </is>
      </c>
      <c r="I475" t="inlineStr">
        <is>
          <t>No</t>
        </is>
      </c>
      <c r="J475" t="inlineStr">
        <is>
          <t>0</t>
        </is>
      </c>
      <c r="K475" t="inlineStr">
        <is>
          <t>Saward, John.</t>
        </is>
      </c>
      <c r="L475" t="inlineStr">
        <is>
          <t>Washington, D.C. : Catholic University of America Press, c1990.</t>
        </is>
      </c>
      <c r="M475" t="inlineStr">
        <is>
          <t>1990</t>
        </is>
      </c>
      <c r="O475" t="inlineStr">
        <is>
          <t>eng</t>
        </is>
      </c>
      <c r="P475" t="inlineStr">
        <is>
          <t>dcu</t>
        </is>
      </c>
      <c r="R475" t="inlineStr">
        <is>
          <t xml:space="preserve">BT </t>
        </is>
      </c>
      <c r="S475" t="n">
        <v>1</v>
      </c>
      <c r="T475" t="n">
        <v>1</v>
      </c>
      <c r="U475" t="inlineStr">
        <is>
          <t>2001-07-12</t>
        </is>
      </c>
      <c r="V475" t="inlineStr">
        <is>
          <t>2001-07-12</t>
        </is>
      </c>
      <c r="W475" t="inlineStr">
        <is>
          <t>1992-02-27</t>
        </is>
      </c>
      <c r="X475" t="inlineStr">
        <is>
          <t>1992-02-27</t>
        </is>
      </c>
      <c r="Y475" t="n">
        <v>191</v>
      </c>
      <c r="Z475" t="n">
        <v>159</v>
      </c>
      <c r="AA475" t="n">
        <v>170</v>
      </c>
      <c r="AB475" t="n">
        <v>2</v>
      </c>
      <c r="AC475" t="n">
        <v>2</v>
      </c>
      <c r="AD475" t="n">
        <v>16</v>
      </c>
      <c r="AE475" t="n">
        <v>19</v>
      </c>
      <c r="AF475" t="n">
        <v>5</v>
      </c>
      <c r="AG475" t="n">
        <v>7</v>
      </c>
      <c r="AH475" t="n">
        <v>3</v>
      </c>
      <c r="AI475" t="n">
        <v>5</v>
      </c>
      <c r="AJ475" t="n">
        <v>12</v>
      </c>
      <c r="AK475" t="n">
        <v>14</v>
      </c>
      <c r="AL475" t="n">
        <v>1</v>
      </c>
      <c r="AM475" t="n">
        <v>1</v>
      </c>
      <c r="AN475" t="n">
        <v>0</v>
      </c>
      <c r="AO475" t="n">
        <v>0</v>
      </c>
      <c r="AP475" t="inlineStr">
        <is>
          <t>No</t>
        </is>
      </c>
      <c r="AQ475" t="inlineStr">
        <is>
          <t>Yes</t>
        </is>
      </c>
      <c r="AR475">
        <f>HYPERLINK("http://catalog.hathitrust.org/Record/002205441","HathiTrust Record")</f>
        <v/>
      </c>
      <c r="AS475">
        <f>HYPERLINK("https://creighton-primo.hosted.exlibrisgroup.com/primo-explore/search?tab=default_tab&amp;search_scope=EVERYTHING&amp;vid=01CRU&amp;lang=en_US&amp;offset=0&amp;query=any,contains,991001645469702656","Catalog Record")</f>
        <v/>
      </c>
      <c r="AT475">
        <f>HYPERLINK("http://www.worldcat.org/oclc/21043489","WorldCat Record")</f>
        <v/>
      </c>
      <c r="AU475" t="inlineStr">
        <is>
          <t>20088776:eng</t>
        </is>
      </c>
      <c r="AV475" t="inlineStr">
        <is>
          <t>21043489</t>
        </is>
      </c>
      <c r="AW475" t="inlineStr">
        <is>
          <t>991001645469702656</t>
        </is>
      </c>
      <c r="AX475" t="inlineStr">
        <is>
          <t>991001645469702656</t>
        </is>
      </c>
      <c r="AY475" t="inlineStr">
        <is>
          <t>2268977370002656</t>
        </is>
      </c>
      <c r="AZ475" t="inlineStr">
        <is>
          <t>BOOK</t>
        </is>
      </c>
      <c r="BB475" t="inlineStr">
        <is>
          <t>9780813207278</t>
        </is>
      </c>
      <c r="BC475" t="inlineStr">
        <is>
          <t>32285000937135</t>
        </is>
      </c>
      <c r="BD475" t="inlineStr">
        <is>
          <t>893244268</t>
        </is>
      </c>
    </row>
    <row r="476">
      <c r="A476" t="inlineStr">
        <is>
          <t>No</t>
        </is>
      </c>
      <c r="B476" t="inlineStr">
        <is>
          <t>BT220 .T6 1998</t>
        </is>
      </c>
      <c r="C476" t="inlineStr">
        <is>
          <t>0                      BT 0220000T  6           1998</t>
        </is>
      </c>
      <c r="D476" t="inlineStr">
        <is>
          <t>Space, time and resurrection / Thomas F. Torrance.</t>
        </is>
      </c>
      <c r="F476" t="inlineStr">
        <is>
          <t>No</t>
        </is>
      </c>
      <c r="G476" t="inlineStr">
        <is>
          <t>1</t>
        </is>
      </c>
      <c r="H476" t="inlineStr">
        <is>
          <t>No</t>
        </is>
      </c>
      <c r="I476" t="inlineStr">
        <is>
          <t>No</t>
        </is>
      </c>
      <c r="J476" t="inlineStr">
        <is>
          <t>0</t>
        </is>
      </c>
      <c r="K476" t="inlineStr">
        <is>
          <t>Torrance, Thomas F. (Thomas Forsyth), 1913-2007.</t>
        </is>
      </c>
      <c r="L476" t="inlineStr">
        <is>
          <t>Edinburgh : T&amp;T Clark, 1998, c1976.</t>
        </is>
      </c>
      <c r="M476" t="inlineStr">
        <is>
          <t>1998</t>
        </is>
      </c>
      <c r="O476" t="inlineStr">
        <is>
          <t>eng</t>
        </is>
      </c>
      <c r="P476" t="inlineStr">
        <is>
          <t>stk</t>
        </is>
      </c>
      <c r="R476" t="inlineStr">
        <is>
          <t xml:space="preserve">BT </t>
        </is>
      </c>
      <c r="S476" t="n">
        <v>1</v>
      </c>
      <c r="T476" t="n">
        <v>1</v>
      </c>
      <c r="U476" t="inlineStr">
        <is>
          <t>2000-09-14</t>
        </is>
      </c>
      <c r="V476" t="inlineStr">
        <is>
          <t>2000-09-14</t>
        </is>
      </c>
      <c r="W476" t="inlineStr">
        <is>
          <t>1998-08-24</t>
        </is>
      </c>
      <c r="X476" t="inlineStr">
        <is>
          <t>1998-08-24</t>
        </is>
      </c>
      <c r="Y476" t="n">
        <v>62</v>
      </c>
      <c r="Z476" t="n">
        <v>41</v>
      </c>
      <c r="AA476" t="n">
        <v>335</v>
      </c>
      <c r="AB476" t="n">
        <v>1</v>
      </c>
      <c r="AC476" t="n">
        <v>4</v>
      </c>
      <c r="AD476" t="n">
        <v>6</v>
      </c>
      <c r="AE476" t="n">
        <v>25</v>
      </c>
      <c r="AF476" t="n">
        <v>5</v>
      </c>
      <c r="AG476" t="n">
        <v>9</v>
      </c>
      <c r="AH476" t="n">
        <v>1</v>
      </c>
      <c r="AI476" t="n">
        <v>6</v>
      </c>
      <c r="AJ476" t="n">
        <v>1</v>
      </c>
      <c r="AK476" t="n">
        <v>14</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HYPERLINK("https://creighton-primo.hosted.exlibrisgroup.com/primo-explore/search?tab=default_tab&amp;search_scope=EVERYTHING&amp;vid=01CRU&amp;lang=en_US&amp;offset=0&amp;query=any,contains,991002932799702656","Catalog Record")</f>
        <v/>
      </c>
      <c r="AT476">
        <f>HYPERLINK("http://www.worldcat.org/oclc/39002478","WorldCat Record")</f>
        <v/>
      </c>
      <c r="AU476" t="inlineStr">
        <is>
          <t>117231465:eng</t>
        </is>
      </c>
      <c r="AV476" t="inlineStr">
        <is>
          <t>39002478</t>
        </is>
      </c>
      <c r="AW476" t="inlineStr">
        <is>
          <t>991002932799702656</t>
        </is>
      </c>
      <c r="AX476" t="inlineStr">
        <is>
          <t>991002932799702656</t>
        </is>
      </c>
      <c r="AY476" t="inlineStr">
        <is>
          <t>2263353150002656</t>
        </is>
      </c>
      <c r="AZ476" t="inlineStr">
        <is>
          <t>BOOK</t>
        </is>
      </c>
      <c r="BB476" t="inlineStr">
        <is>
          <t>9780567086099</t>
        </is>
      </c>
      <c r="BC476" t="inlineStr">
        <is>
          <t>32285003461380</t>
        </is>
      </c>
      <c r="BD476" t="inlineStr">
        <is>
          <t>893329733</t>
        </is>
      </c>
    </row>
    <row r="477">
      <c r="A477" t="inlineStr">
        <is>
          <t>No</t>
        </is>
      </c>
      <c r="B477" t="inlineStr">
        <is>
          <t>BT220 .W28</t>
        </is>
      </c>
      <c r="C477" t="inlineStr">
        <is>
          <t>0                      BT 0220000W  28</t>
        </is>
      </c>
      <c r="D477" t="inlineStr">
        <is>
          <t>Why God became man; an essay in Christian dogma considered from the point of view of its value, intellectual and practical, psychological and social / by Leslie J. Walker.</t>
        </is>
      </c>
      <c r="F477" t="inlineStr">
        <is>
          <t>No</t>
        </is>
      </c>
      <c r="G477" t="inlineStr">
        <is>
          <t>1</t>
        </is>
      </c>
      <c r="H477" t="inlineStr">
        <is>
          <t>No</t>
        </is>
      </c>
      <c r="I477" t="inlineStr">
        <is>
          <t>No</t>
        </is>
      </c>
      <c r="J477" t="inlineStr">
        <is>
          <t>0</t>
        </is>
      </c>
      <c r="K477" t="inlineStr">
        <is>
          <t>Walker, Leslie J. (Leslie Joseph), 1877-1958.</t>
        </is>
      </c>
      <c r="L477" t="inlineStr">
        <is>
          <t>New York, The Paulist press, 1921.</t>
        </is>
      </c>
      <c r="M477" t="inlineStr">
        <is>
          <t>1921</t>
        </is>
      </c>
      <c r="O477" t="inlineStr">
        <is>
          <t>eng</t>
        </is>
      </c>
      <c r="P477" t="inlineStr">
        <is>
          <t>nyu</t>
        </is>
      </c>
      <c r="R477" t="inlineStr">
        <is>
          <t xml:space="preserve">BT </t>
        </is>
      </c>
      <c r="S477" t="n">
        <v>4</v>
      </c>
      <c r="T477" t="n">
        <v>4</v>
      </c>
      <c r="U477" t="inlineStr">
        <is>
          <t>1996-11-08</t>
        </is>
      </c>
      <c r="V477" t="inlineStr">
        <is>
          <t>1996-11-08</t>
        </is>
      </c>
      <c r="W477" t="inlineStr">
        <is>
          <t>1991-08-14</t>
        </is>
      </c>
      <c r="X477" t="inlineStr">
        <is>
          <t>1991-08-14</t>
        </is>
      </c>
      <c r="Y477" t="n">
        <v>38</v>
      </c>
      <c r="Z477" t="n">
        <v>35</v>
      </c>
      <c r="AA477" t="n">
        <v>44</v>
      </c>
      <c r="AB477" t="n">
        <v>2</v>
      </c>
      <c r="AC477" t="n">
        <v>2</v>
      </c>
      <c r="AD477" t="n">
        <v>9</v>
      </c>
      <c r="AE477" t="n">
        <v>9</v>
      </c>
      <c r="AF477" t="n">
        <v>2</v>
      </c>
      <c r="AG477" t="n">
        <v>2</v>
      </c>
      <c r="AH477" t="n">
        <v>1</v>
      </c>
      <c r="AI477" t="n">
        <v>1</v>
      </c>
      <c r="AJ477" t="n">
        <v>8</v>
      </c>
      <c r="AK477" t="n">
        <v>8</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HYPERLINK("https://creighton-primo.hosted.exlibrisgroup.com/primo-explore/search?tab=default_tab&amp;search_scope=EVERYTHING&amp;vid=01CRU&amp;lang=en_US&amp;offset=0&amp;query=any,contains,991004454839702656","Catalog Record")</f>
        <v/>
      </c>
      <c r="AT477">
        <f>HYPERLINK("http://www.worldcat.org/oclc/3519314","WorldCat Record")</f>
        <v/>
      </c>
      <c r="AU477" t="inlineStr">
        <is>
          <t>3943907854:eng</t>
        </is>
      </c>
      <c r="AV477" t="inlineStr">
        <is>
          <t>3519314</t>
        </is>
      </c>
      <c r="AW477" t="inlineStr">
        <is>
          <t>991004454839702656</t>
        </is>
      </c>
      <c r="AX477" t="inlineStr">
        <is>
          <t>991004454839702656</t>
        </is>
      </c>
      <c r="AY477" t="inlineStr">
        <is>
          <t>2267482540002656</t>
        </is>
      </c>
      <c r="AZ477" t="inlineStr">
        <is>
          <t>BOOK</t>
        </is>
      </c>
      <c r="BC477" t="inlineStr">
        <is>
          <t>32285000712306</t>
        </is>
      </c>
      <c r="BD477" t="inlineStr">
        <is>
          <t>893788710</t>
        </is>
      </c>
    </row>
    <row r="478">
      <c r="A478" t="inlineStr">
        <is>
          <t>No</t>
        </is>
      </c>
      <c r="B478" t="inlineStr">
        <is>
          <t>BT230 .M3</t>
        </is>
      </c>
      <c r="C478" t="inlineStr">
        <is>
          <t>0                      BT 0230000M  3</t>
        </is>
      </c>
      <c r="D478" t="inlineStr">
        <is>
          <t>Jesus the Messiah : the synoptic tradition of the revelation of God in Christ, with special reference to form-criticism / by Willaim Manson.</t>
        </is>
      </c>
      <c r="F478" t="inlineStr">
        <is>
          <t>No</t>
        </is>
      </c>
      <c r="G478" t="inlineStr">
        <is>
          <t>1</t>
        </is>
      </c>
      <c r="H478" t="inlineStr">
        <is>
          <t>No</t>
        </is>
      </c>
      <c r="I478" t="inlineStr">
        <is>
          <t>No</t>
        </is>
      </c>
      <c r="J478" t="inlineStr">
        <is>
          <t>0</t>
        </is>
      </c>
      <c r="K478" t="inlineStr">
        <is>
          <t>Manson, William, 1882-1958.</t>
        </is>
      </c>
      <c r="L478" t="inlineStr">
        <is>
          <t>London, Hodder and Stoughton, limited [1943]</t>
        </is>
      </c>
      <c r="M478" t="inlineStr">
        <is>
          <t>1943</t>
        </is>
      </c>
      <c r="O478" t="inlineStr">
        <is>
          <t>eng</t>
        </is>
      </c>
      <c r="P478" t="inlineStr">
        <is>
          <t>___</t>
        </is>
      </c>
      <c r="Q478" t="inlineStr">
        <is>
          <t>Cunningham lectures, 36th series</t>
        </is>
      </c>
      <c r="R478" t="inlineStr">
        <is>
          <t xml:space="preserve">BT </t>
        </is>
      </c>
      <c r="S478" t="n">
        <v>5</v>
      </c>
      <c r="T478" t="n">
        <v>5</v>
      </c>
      <c r="U478" t="inlineStr">
        <is>
          <t>2000-11-14</t>
        </is>
      </c>
      <c r="V478" t="inlineStr">
        <is>
          <t>2000-11-14</t>
        </is>
      </c>
      <c r="W478" t="inlineStr">
        <is>
          <t>1991-08-14</t>
        </is>
      </c>
      <c r="X478" t="inlineStr">
        <is>
          <t>1991-08-14</t>
        </is>
      </c>
      <c r="Y478" t="n">
        <v>206</v>
      </c>
      <c r="Z478" t="n">
        <v>183</v>
      </c>
      <c r="AA478" t="n">
        <v>422</v>
      </c>
      <c r="AB478" t="n">
        <v>3</v>
      </c>
      <c r="AC478" t="n">
        <v>3</v>
      </c>
      <c r="AD478" t="n">
        <v>14</v>
      </c>
      <c r="AE478" t="n">
        <v>22</v>
      </c>
      <c r="AF478" t="n">
        <v>4</v>
      </c>
      <c r="AG478" t="n">
        <v>9</v>
      </c>
      <c r="AH478" t="n">
        <v>3</v>
      </c>
      <c r="AI478" t="n">
        <v>4</v>
      </c>
      <c r="AJ478" t="n">
        <v>7</v>
      </c>
      <c r="AK478" t="n">
        <v>10</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HYPERLINK("https://creighton-primo.hosted.exlibrisgroup.com/primo-explore/search?tab=default_tab&amp;search_scope=EVERYTHING&amp;vid=01CRU&amp;lang=en_US&amp;offset=0&amp;query=any,contains,991002648679702656","Catalog Record")</f>
        <v/>
      </c>
      <c r="AT478">
        <f>HYPERLINK("http://www.worldcat.org/oclc/386420","WorldCat Record")</f>
        <v/>
      </c>
      <c r="AU478" t="inlineStr">
        <is>
          <t>889941389:eng</t>
        </is>
      </c>
      <c r="AV478" t="inlineStr">
        <is>
          <t>386420</t>
        </is>
      </c>
      <c r="AW478" t="inlineStr">
        <is>
          <t>991002648679702656</t>
        </is>
      </c>
      <c r="AX478" t="inlineStr">
        <is>
          <t>991002648679702656</t>
        </is>
      </c>
      <c r="AY478" t="inlineStr">
        <is>
          <t>2259484910002656</t>
        </is>
      </c>
      <c r="AZ478" t="inlineStr">
        <is>
          <t>BOOK</t>
        </is>
      </c>
      <c r="BC478" t="inlineStr">
        <is>
          <t>32285000712330</t>
        </is>
      </c>
      <c r="BD478" t="inlineStr">
        <is>
          <t>893622542</t>
        </is>
      </c>
    </row>
    <row r="479">
      <c r="A479" t="inlineStr">
        <is>
          <t>No</t>
        </is>
      </c>
      <c r="B479" t="inlineStr">
        <is>
          <t>BT230 .W813</t>
        </is>
      </c>
      <c r="C479" t="inlineStr">
        <is>
          <t>0                      BT 0230000W  813</t>
        </is>
      </c>
      <c r="D479" t="inlineStr">
        <is>
          <t>The Messianic secret / by William Wrede ; translated by J. C. G. Greig.</t>
        </is>
      </c>
      <c r="F479" t="inlineStr">
        <is>
          <t>No</t>
        </is>
      </c>
      <c r="G479" t="inlineStr">
        <is>
          <t>1</t>
        </is>
      </c>
      <c r="H479" t="inlineStr">
        <is>
          <t>No</t>
        </is>
      </c>
      <c r="I479" t="inlineStr">
        <is>
          <t>No</t>
        </is>
      </c>
      <c r="J479" t="inlineStr">
        <is>
          <t>0</t>
        </is>
      </c>
      <c r="K479" t="inlineStr">
        <is>
          <t>Wrede, William, 1859-1906.</t>
        </is>
      </c>
      <c r="L479" t="inlineStr">
        <is>
          <t>Greenwood, S. C. : Attic Press, [1971]</t>
        </is>
      </c>
      <c r="M479" t="inlineStr">
        <is>
          <t>1971</t>
        </is>
      </c>
      <c r="O479" t="inlineStr">
        <is>
          <t>eng</t>
        </is>
      </c>
      <c r="P479" t="inlineStr">
        <is>
          <t>scu</t>
        </is>
      </c>
      <c r="Q479" t="inlineStr">
        <is>
          <t>Library of theological translations</t>
        </is>
      </c>
      <c r="R479" t="inlineStr">
        <is>
          <t xml:space="preserve">BT </t>
        </is>
      </c>
      <c r="S479" t="n">
        <v>6</v>
      </c>
      <c r="T479" t="n">
        <v>6</v>
      </c>
      <c r="U479" t="inlineStr">
        <is>
          <t>2009-11-22</t>
        </is>
      </c>
      <c r="V479" t="inlineStr">
        <is>
          <t>2009-11-22</t>
        </is>
      </c>
      <c r="W479" t="inlineStr">
        <is>
          <t>1991-08-14</t>
        </is>
      </c>
      <c r="X479" t="inlineStr">
        <is>
          <t>1991-08-14</t>
        </is>
      </c>
      <c r="Y479" t="n">
        <v>82</v>
      </c>
      <c r="Z479" t="n">
        <v>76</v>
      </c>
      <c r="AA479" t="n">
        <v>307</v>
      </c>
      <c r="AB479" t="n">
        <v>1</v>
      </c>
      <c r="AC479" t="n">
        <v>1</v>
      </c>
      <c r="AD479" t="n">
        <v>6</v>
      </c>
      <c r="AE479" t="n">
        <v>23</v>
      </c>
      <c r="AF479" t="n">
        <v>2</v>
      </c>
      <c r="AG479" t="n">
        <v>9</v>
      </c>
      <c r="AH479" t="n">
        <v>1</v>
      </c>
      <c r="AI479" t="n">
        <v>5</v>
      </c>
      <c r="AJ479" t="n">
        <v>3</v>
      </c>
      <c r="AK479" t="n">
        <v>14</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HYPERLINK("https://creighton-primo.hosted.exlibrisgroup.com/primo-explore/search?tab=default_tab&amp;search_scope=EVERYTHING&amp;vid=01CRU&amp;lang=en_US&amp;offset=0&amp;query=any,contains,991004962079702656","Catalog Record")</f>
        <v/>
      </c>
      <c r="AT479">
        <f>HYPERLINK("http://www.worldcat.org/oclc/6313317","WorldCat Record")</f>
        <v/>
      </c>
      <c r="AU479" t="inlineStr">
        <is>
          <t>4919312283:eng</t>
        </is>
      </c>
      <c r="AV479" t="inlineStr">
        <is>
          <t>6313317</t>
        </is>
      </c>
      <c r="AW479" t="inlineStr">
        <is>
          <t>991004962079702656</t>
        </is>
      </c>
      <c r="AX479" t="inlineStr">
        <is>
          <t>991004962079702656</t>
        </is>
      </c>
      <c r="AY479" t="inlineStr">
        <is>
          <t>2267741750002656</t>
        </is>
      </c>
      <c r="AZ479" t="inlineStr">
        <is>
          <t>BOOK</t>
        </is>
      </c>
      <c r="BC479" t="inlineStr">
        <is>
          <t>32285000712348</t>
        </is>
      </c>
      <c r="BD479" t="inlineStr">
        <is>
          <t>893236107</t>
        </is>
      </c>
    </row>
    <row r="480">
      <c r="A480" t="inlineStr">
        <is>
          <t>No</t>
        </is>
      </c>
      <c r="B480" t="inlineStr">
        <is>
          <t>BT232 .H37 1990</t>
        </is>
      </c>
      <c r="C480" t="inlineStr">
        <is>
          <t>0                      BT 0232000H  37          1990</t>
        </is>
      </c>
      <c r="D480" t="inlineStr">
        <is>
          <t>The Son of Man tradition / Douglas R.A. Hare.</t>
        </is>
      </c>
      <c r="F480" t="inlineStr">
        <is>
          <t>No</t>
        </is>
      </c>
      <c r="G480" t="inlineStr">
        <is>
          <t>1</t>
        </is>
      </c>
      <c r="H480" t="inlineStr">
        <is>
          <t>No</t>
        </is>
      </c>
      <c r="I480" t="inlineStr">
        <is>
          <t>No</t>
        </is>
      </c>
      <c r="J480" t="inlineStr">
        <is>
          <t>0</t>
        </is>
      </c>
      <c r="K480" t="inlineStr">
        <is>
          <t>Hare, Douglas R. A.</t>
        </is>
      </c>
      <c r="L480" t="inlineStr">
        <is>
          <t>Minneapolis : Fortress Press, c1990.</t>
        </is>
      </c>
      <c r="M480" t="inlineStr">
        <is>
          <t>1990</t>
        </is>
      </c>
      <c r="O480" t="inlineStr">
        <is>
          <t>eng</t>
        </is>
      </c>
      <c r="P480" t="inlineStr">
        <is>
          <t>mnu</t>
        </is>
      </c>
      <c r="R480" t="inlineStr">
        <is>
          <t xml:space="preserve">BT </t>
        </is>
      </c>
      <c r="S480" t="n">
        <v>7</v>
      </c>
      <c r="T480" t="n">
        <v>7</v>
      </c>
      <c r="U480" t="inlineStr">
        <is>
          <t>2005-04-17</t>
        </is>
      </c>
      <c r="V480" t="inlineStr">
        <is>
          <t>2005-04-17</t>
        </is>
      </c>
      <c r="W480" t="inlineStr">
        <is>
          <t>1991-02-28</t>
        </is>
      </c>
      <c r="X480" t="inlineStr">
        <is>
          <t>1991-02-28</t>
        </is>
      </c>
      <c r="Y480" t="n">
        <v>382</v>
      </c>
      <c r="Z480" t="n">
        <v>291</v>
      </c>
      <c r="AA480" t="n">
        <v>294</v>
      </c>
      <c r="AB480" t="n">
        <v>2</v>
      </c>
      <c r="AC480" t="n">
        <v>2</v>
      </c>
      <c r="AD480" t="n">
        <v>26</v>
      </c>
      <c r="AE480" t="n">
        <v>26</v>
      </c>
      <c r="AF480" t="n">
        <v>12</v>
      </c>
      <c r="AG480" t="n">
        <v>12</v>
      </c>
      <c r="AH480" t="n">
        <v>5</v>
      </c>
      <c r="AI480" t="n">
        <v>5</v>
      </c>
      <c r="AJ480" t="n">
        <v>16</v>
      </c>
      <c r="AK480" t="n">
        <v>16</v>
      </c>
      <c r="AL480" t="n">
        <v>1</v>
      </c>
      <c r="AM480" t="n">
        <v>1</v>
      </c>
      <c r="AN480" t="n">
        <v>0</v>
      </c>
      <c r="AO480" t="n">
        <v>0</v>
      </c>
      <c r="AP480" t="inlineStr">
        <is>
          <t>No</t>
        </is>
      </c>
      <c r="AQ480" t="inlineStr">
        <is>
          <t>Yes</t>
        </is>
      </c>
      <c r="AR480">
        <f>HYPERLINK("http://catalog.hathitrust.org/Record/002238535","HathiTrust Record")</f>
        <v/>
      </c>
      <c r="AS480">
        <f>HYPERLINK("https://creighton-primo.hosted.exlibrisgroup.com/primo-explore/search?tab=default_tab&amp;search_scope=EVERYTHING&amp;vid=01CRU&amp;lang=en_US&amp;offset=0&amp;query=any,contains,991001744589702656","Catalog Record")</f>
        <v/>
      </c>
      <c r="AT480">
        <f>HYPERLINK("http://www.worldcat.org/oclc/22110766","WorldCat Record")</f>
        <v/>
      </c>
      <c r="AU480" t="inlineStr">
        <is>
          <t>20899813:eng</t>
        </is>
      </c>
      <c r="AV480" t="inlineStr">
        <is>
          <t>22110766</t>
        </is>
      </c>
      <c r="AW480" t="inlineStr">
        <is>
          <t>991001744589702656</t>
        </is>
      </c>
      <c r="AX480" t="inlineStr">
        <is>
          <t>991001744589702656</t>
        </is>
      </c>
      <c r="AY480" t="inlineStr">
        <is>
          <t>2265702900002656</t>
        </is>
      </c>
      <c r="AZ480" t="inlineStr">
        <is>
          <t>BOOK</t>
        </is>
      </c>
      <c r="BB480" t="inlineStr">
        <is>
          <t>9780800624484</t>
        </is>
      </c>
      <c r="BC480" t="inlineStr">
        <is>
          <t>32285000492313</t>
        </is>
      </c>
      <c r="BD480" t="inlineStr">
        <is>
          <t>893715675</t>
        </is>
      </c>
    </row>
    <row r="481">
      <c r="A481" t="inlineStr">
        <is>
          <t>No</t>
        </is>
      </c>
      <c r="B481" t="inlineStr">
        <is>
          <t>BT232 .H4</t>
        </is>
      </c>
      <c r="C481" t="inlineStr">
        <is>
          <t>0                      BT 0232000H  4</t>
        </is>
      </c>
      <c r="D481" t="inlineStr">
        <is>
          <t>The Son of God : the origin of Christology and the history of Jewish-Hellenistic religion / Martin Hengel ; [translated by John Bowden from the German].</t>
        </is>
      </c>
      <c r="F481" t="inlineStr">
        <is>
          <t>No</t>
        </is>
      </c>
      <c r="G481" t="inlineStr">
        <is>
          <t>1</t>
        </is>
      </c>
      <c r="H481" t="inlineStr">
        <is>
          <t>No</t>
        </is>
      </c>
      <c r="I481" t="inlineStr">
        <is>
          <t>No</t>
        </is>
      </c>
      <c r="J481" t="inlineStr">
        <is>
          <t>0</t>
        </is>
      </c>
      <c r="K481" t="inlineStr">
        <is>
          <t>Hengel, Martin.</t>
        </is>
      </c>
      <c r="L481" t="inlineStr">
        <is>
          <t>Philadelphia : Fortress Press, 1976.</t>
        </is>
      </c>
      <c r="M481" t="inlineStr">
        <is>
          <t>1976</t>
        </is>
      </c>
      <c r="N481" t="inlineStr">
        <is>
          <t>1st American ed.</t>
        </is>
      </c>
      <c r="O481" t="inlineStr">
        <is>
          <t>eng</t>
        </is>
      </c>
      <c r="P481" t="inlineStr">
        <is>
          <t>pau</t>
        </is>
      </c>
      <c r="R481" t="inlineStr">
        <is>
          <t xml:space="preserve">BT </t>
        </is>
      </c>
      <c r="S481" t="n">
        <v>5</v>
      </c>
      <c r="T481" t="n">
        <v>5</v>
      </c>
      <c r="U481" t="inlineStr">
        <is>
          <t>2000-09-14</t>
        </is>
      </c>
      <c r="V481" t="inlineStr">
        <is>
          <t>2000-09-14</t>
        </is>
      </c>
      <c r="W481" t="inlineStr">
        <is>
          <t>1991-08-14</t>
        </is>
      </c>
      <c r="X481" t="inlineStr">
        <is>
          <t>1991-08-14</t>
        </is>
      </c>
      <c r="Y481" t="n">
        <v>620</v>
      </c>
      <c r="Z481" t="n">
        <v>537</v>
      </c>
      <c r="AA481" t="n">
        <v>578</v>
      </c>
      <c r="AB481" t="n">
        <v>3</v>
      </c>
      <c r="AC481" t="n">
        <v>3</v>
      </c>
      <c r="AD481" t="n">
        <v>38</v>
      </c>
      <c r="AE481" t="n">
        <v>40</v>
      </c>
      <c r="AF481" t="n">
        <v>20</v>
      </c>
      <c r="AG481" t="n">
        <v>20</v>
      </c>
      <c r="AH481" t="n">
        <v>8</v>
      </c>
      <c r="AI481" t="n">
        <v>8</v>
      </c>
      <c r="AJ481" t="n">
        <v>20</v>
      </c>
      <c r="AK481" t="n">
        <v>22</v>
      </c>
      <c r="AL481" t="n">
        <v>2</v>
      </c>
      <c r="AM481" t="n">
        <v>2</v>
      </c>
      <c r="AN481" t="n">
        <v>0</v>
      </c>
      <c r="AO481" t="n">
        <v>0</v>
      </c>
      <c r="AP481" t="inlineStr">
        <is>
          <t>No</t>
        </is>
      </c>
      <c r="AQ481" t="inlineStr">
        <is>
          <t>Yes</t>
        </is>
      </c>
      <c r="AR481">
        <f>HYPERLINK("http://catalog.hathitrust.org/Record/006762636","HathiTrust Record")</f>
        <v/>
      </c>
      <c r="AS481">
        <f>HYPERLINK("https://creighton-primo.hosted.exlibrisgroup.com/primo-explore/search?tab=default_tab&amp;search_scope=EVERYTHING&amp;vid=01CRU&amp;lang=en_US&amp;offset=0&amp;query=any,contains,991004074469702656","Catalog Record")</f>
        <v/>
      </c>
      <c r="AT481">
        <f>HYPERLINK("http://www.worldcat.org/oclc/2315957","WorldCat Record")</f>
        <v/>
      </c>
      <c r="AU481" t="inlineStr">
        <is>
          <t>3901247049:eng</t>
        </is>
      </c>
      <c r="AV481" t="inlineStr">
        <is>
          <t>2315957</t>
        </is>
      </c>
      <c r="AW481" t="inlineStr">
        <is>
          <t>991004074469702656</t>
        </is>
      </c>
      <c r="AX481" t="inlineStr">
        <is>
          <t>991004074469702656</t>
        </is>
      </c>
      <c r="AY481" t="inlineStr">
        <is>
          <t>2263118740002656</t>
        </is>
      </c>
      <c r="AZ481" t="inlineStr">
        <is>
          <t>BOOK</t>
        </is>
      </c>
      <c r="BB481" t="inlineStr">
        <is>
          <t>9780800612276</t>
        </is>
      </c>
      <c r="BC481" t="inlineStr">
        <is>
          <t>32285000712371</t>
        </is>
      </c>
      <c r="BD481" t="inlineStr">
        <is>
          <t>893693484</t>
        </is>
      </c>
    </row>
    <row r="482">
      <c r="A482" t="inlineStr">
        <is>
          <t>No</t>
        </is>
      </c>
      <c r="B482" t="inlineStr">
        <is>
          <t>BT232 .H5</t>
        </is>
      </c>
      <c r="C482" t="inlineStr">
        <is>
          <t>0                      BT 0232000H  5</t>
        </is>
      </c>
      <c r="D482" t="inlineStr">
        <is>
          <t>Jesus and the Son of Man / by A. J. B. Higgins.</t>
        </is>
      </c>
      <c r="F482" t="inlineStr">
        <is>
          <t>No</t>
        </is>
      </c>
      <c r="G482" t="inlineStr">
        <is>
          <t>1</t>
        </is>
      </c>
      <c r="H482" t="inlineStr">
        <is>
          <t>No</t>
        </is>
      </c>
      <c r="I482" t="inlineStr">
        <is>
          <t>No</t>
        </is>
      </c>
      <c r="J482" t="inlineStr">
        <is>
          <t>0</t>
        </is>
      </c>
      <c r="K482" t="inlineStr">
        <is>
          <t>Higgins, A. J. B. (Angus John Brockhurst)</t>
        </is>
      </c>
      <c r="L482" t="inlineStr">
        <is>
          <t>Philadelphia, Fortress Press [1964]</t>
        </is>
      </c>
      <c r="M482" t="inlineStr">
        <is>
          <t>1964</t>
        </is>
      </c>
      <c r="O482" t="inlineStr">
        <is>
          <t>eng</t>
        </is>
      </c>
      <c r="P482" t="inlineStr">
        <is>
          <t>pau</t>
        </is>
      </c>
      <c r="R482" t="inlineStr">
        <is>
          <t xml:space="preserve">BT </t>
        </is>
      </c>
      <c r="S482" t="n">
        <v>4</v>
      </c>
      <c r="T482" t="n">
        <v>4</v>
      </c>
      <c r="U482" t="inlineStr">
        <is>
          <t>2000-09-14</t>
        </is>
      </c>
      <c r="V482" t="inlineStr">
        <is>
          <t>2000-09-14</t>
        </is>
      </c>
      <c r="W482" t="inlineStr">
        <is>
          <t>1991-08-14</t>
        </is>
      </c>
      <c r="X482" t="inlineStr">
        <is>
          <t>1991-08-14</t>
        </is>
      </c>
      <c r="Y482" t="n">
        <v>340</v>
      </c>
      <c r="Z482" t="n">
        <v>300</v>
      </c>
      <c r="AA482" t="n">
        <v>366</v>
      </c>
      <c r="AB482" t="n">
        <v>3</v>
      </c>
      <c r="AC482" t="n">
        <v>3</v>
      </c>
      <c r="AD482" t="n">
        <v>25</v>
      </c>
      <c r="AE482" t="n">
        <v>29</v>
      </c>
      <c r="AF482" t="n">
        <v>9</v>
      </c>
      <c r="AG482" t="n">
        <v>12</v>
      </c>
      <c r="AH482" t="n">
        <v>5</v>
      </c>
      <c r="AI482" t="n">
        <v>6</v>
      </c>
      <c r="AJ482" t="n">
        <v>15</v>
      </c>
      <c r="AK482" t="n">
        <v>16</v>
      </c>
      <c r="AL482" t="n">
        <v>2</v>
      </c>
      <c r="AM482" t="n">
        <v>2</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HYPERLINK("https://creighton-primo.hosted.exlibrisgroup.com/primo-explore/search?tab=default_tab&amp;search_scope=EVERYTHING&amp;vid=01CRU&amp;lang=en_US&amp;offset=0&amp;query=any,contains,991001214219702656","Catalog Record")</f>
        <v/>
      </c>
      <c r="AT482">
        <f>HYPERLINK("http://www.worldcat.org/oclc/193489","WorldCat Record")</f>
        <v/>
      </c>
      <c r="AU482" t="inlineStr">
        <is>
          <t>1357021:eng</t>
        </is>
      </c>
      <c r="AV482" t="inlineStr">
        <is>
          <t>193489</t>
        </is>
      </c>
      <c r="AW482" t="inlineStr">
        <is>
          <t>991001214219702656</t>
        </is>
      </c>
      <c r="AX482" t="inlineStr">
        <is>
          <t>991001214219702656</t>
        </is>
      </c>
      <c r="AY482" t="inlineStr">
        <is>
          <t>2268928280002656</t>
        </is>
      </c>
      <c r="AZ482" t="inlineStr">
        <is>
          <t>BOOK</t>
        </is>
      </c>
      <c r="BC482" t="inlineStr">
        <is>
          <t>32285000712389</t>
        </is>
      </c>
      <c r="BD482" t="inlineStr">
        <is>
          <t>893327964</t>
        </is>
      </c>
    </row>
    <row r="483">
      <c r="A483" t="inlineStr">
        <is>
          <t>No</t>
        </is>
      </c>
      <c r="B483" t="inlineStr">
        <is>
          <t>BT232 .H53</t>
        </is>
      </c>
      <c r="C483" t="inlineStr">
        <is>
          <t>0                      BT 0232000H  53</t>
        </is>
      </c>
      <c r="D483" t="inlineStr">
        <is>
          <t>The Son of Man in the teaching of Jesus / A. J. B. Higgins.</t>
        </is>
      </c>
      <c r="F483" t="inlineStr">
        <is>
          <t>No</t>
        </is>
      </c>
      <c r="G483" t="inlineStr">
        <is>
          <t>1</t>
        </is>
      </c>
      <c r="H483" t="inlineStr">
        <is>
          <t>No</t>
        </is>
      </c>
      <c r="I483" t="inlineStr">
        <is>
          <t>No</t>
        </is>
      </c>
      <c r="J483" t="inlineStr">
        <is>
          <t>0</t>
        </is>
      </c>
      <c r="K483" t="inlineStr">
        <is>
          <t>Higgins, A. J. B. (Angus John Brockhurst)</t>
        </is>
      </c>
      <c r="L483" t="inlineStr">
        <is>
          <t>Cambridge [Eng.] ; New York : Cambridge University Press, 1980.</t>
        </is>
      </c>
      <c r="M483" t="inlineStr">
        <is>
          <t>1980</t>
        </is>
      </c>
      <c r="O483" t="inlineStr">
        <is>
          <t>eng</t>
        </is>
      </c>
      <c r="P483" t="inlineStr">
        <is>
          <t>enk</t>
        </is>
      </c>
      <c r="Q483" t="inlineStr">
        <is>
          <t>Monograph series (Society for New Testament Studies) ; 39</t>
        </is>
      </c>
      <c r="R483" t="inlineStr">
        <is>
          <t xml:space="preserve">BT </t>
        </is>
      </c>
      <c r="S483" t="n">
        <v>4</v>
      </c>
      <c r="T483" t="n">
        <v>4</v>
      </c>
      <c r="U483" t="inlineStr">
        <is>
          <t>1996-09-29</t>
        </is>
      </c>
      <c r="V483" t="inlineStr">
        <is>
          <t>1996-09-29</t>
        </is>
      </c>
      <c r="W483" t="inlineStr">
        <is>
          <t>1991-08-14</t>
        </is>
      </c>
      <c r="X483" t="inlineStr">
        <is>
          <t>1991-08-14</t>
        </is>
      </c>
      <c r="Y483" t="n">
        <v>503</v>
      </c>
      <c r="Z483" t="n">
        <v>371</v>
      </c>
      <c r="AA483" t="n">
        <v>372</v>
      </c>
      <c r="AB483" t="n">
        <v>4</v>
      </c>
      <c r="AC483" t="n">
        <v>4</v>
      </c>
      <c r="AD483" t="n">
        <v>30</v>
      </c>
      <c r="AE483" t="n">
        <v>30</v>
      </c>
      <c r="AF483" t="n">
        <v>11</v>
      </c>
      <c r="AG483" t="n">
        <v>11</v>
      </c>
      <c r="AH483" t="n">
        <v>8</v>
      </c>
      <c r="AI483" t="n">
        <v>8</v>
      </c>
      <c r="AJ483" t="n">
        <v>18</v>
      </c>
      <c r="AK483" t="n">
        <v>18</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HYPERLINK("https://creighton-primo.hosted.exlibrisgroup.com/primo-explore/search?tab=default_tab&amp;search_scope=EVERYTHING&amp;vid=01CRU&amp;lang=en_US&amp;offset=0&amp;query=any,contains,991004910639702656","Catalog Record")</f>
        <v/>
      </c>
      <c r="AT483">
        <f>HYPERLINK("http://www.worldcat.org/oclc/5990553","WorldCat Record")</f>
        <v/>
      </c>
      <c r="AU483" t="inlineStr">
        <is>
          <t>10792374367:eng</t>
        </is>
      </c>
      <c r="AV483" t="inlineStr">
        <is>
          <t>5990553</t>
        </is>
      </c>
      <c r="AW483" t="inlineStr">
        <is>
          <t>991004910639702656</t>
        </is>
      </c>
      <c r="AX483" t="inlineStr">
        <is>
          <t>991004910639702656</t>
        </is>
      </c>
      <c r="AY483" t="inlineStr">
        <is>
          <t>2260700190002656</t>
        </is>
      </c>
      <c r="AZ483" t="inlineStr">
        <is>
          <t>BOOK</t>
        </is>
      </c>
      <c r="BB483" t="inlineStr">
        <is>
          <t>9780521223638</t>
        </is>
      </c>
      <c r="BC483" t="inlineStr">
        <is>
          <t>32285000712397</t>
        </is>
      </c>
      <c r="BD483" t="inlineStr">
        <is>
          <t>893436886</t>
        </is>
      </c>
    </row>
    <row r="484">
      <c r="A484" t="inlineStr">
        <is>
          <t>No</t>
        </is>
      </c>
      <c r="B484" t="inlineStr">
        <is>
          <t>BT232 .K55 1983</t>
        </is>
      </c>
      <c r="C484" t="inlineStr">
        <is>
          <t>0                      BT 0232000K  55          1983</t>
        </is>
      </c>
      <c r="D484" t="inlineStr">
        <is>
          <t>"The 'Son of Man'" as the Son of God / by Seyoon Kim.</t>
        </is>
      </c>
      <c r="F484" t="inlineStr">
        <is>
          <t>No</t>
        </is>
      </c>
      <c r="G484" t="inlineStr">
        <is>
          <t>1</t>
        </is>
      </c>
      <c r="H484" t="inlineStr">
        <is>
          <t>No</t>
        </is>
      </c>
      <c r="I484" t="inlineStr">
        <is>
          <t>No</t>
        </is>
      </c>
      <c r="J484" t="inlineStr">
        <is>
          <t>0</t>
        </is>
      </c>
      <c r="K484" t="inlineStr">
        <is>
          <t>Kim, Seyoon.</t>
        </is>
      </c>
      <c r="L484" t="inlineStr">
        <is>
          <t>Tübingen : Mohr, 1983.</t>
        </is>
      </c>
      <c r="M484" t="inlineStr">
        <is>
          <t>1983</t>
        </is>
      </c>
      <c r="O484" t="inlineStr">
        <is>
          <t>eng</t>
        </is>
      </c>
      <c r="P484" t="inlineStr">
        <is>
          <t xml:space="preserve">gw </t>
        </is>
      </c>
      <c r="Q484" t="inlineStr">
        <is>
          <t>Wissenschaftliche Untersuchungen zum Neuen Testament ; 30</t>
        </is>
      </c>
      <c r="R484" t="inlineStr">
        <is>
          <t xml:space="preserve">BT </t>
        </is>
      </c>
      <c r="S484" t="n">
        <v>4</v>
      </c>
      <c r="T484" t="n">
        <v>4</v>
      </c>
      <c r="U484" t="inlineStr">
        <is>
          <t>2000-09-13</t>
        </is>
      </c>
      <c r="V484" t="inlineStr">
        <is>
          <t>2000-09-13</t>
        </is>
      </c>
      <c r="W484" t="inlineStr">
        <is>
          <t>1991-08-14</t>
        </is>
      </c>
      <c r="X484" t="inlineStr">
        <is>
          <t>1991-08-14</t>
        </is>
      </c>
      <c r="Y484" t="n">
        <v>194</v>
      </c>
      <c r="Z484" t="n">
        <v>107</v>
      </c>
      <c r="AA484" t="n">
        <v>244</v>
      </c>
      <c r="AB484" t="n">
        <v>1</v>
      </c>
      <c r="AC484" t="n">
        <v>1</v>
      </c>
      <c r="AD484" t="n">
        <v>9</v>
      </c>
      <c r="AE484" t="n">
        <v>15</v>
      </c>
      <c r="AF484" t="n">
        <v>2</v>
      </c>
      <c r="AG484" t="n">
        <v>5</v>
      </c>
      <c r="AH484" t="n">
        <v>2</v>
      </c>
      <c r="AI484" t="n">
        <v>5</v>
      </c>
      <c r="AJ484" t="n">
        <v>6</v>
      </c>
      <c r="AK484" t="n">
        <v>9</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HYPERLINK("https://creighton-primo.hosted.exlibrisgroup.com/primo-explore/search?tab=default_tab&amp;search_scope=EVERYTHING&amp;vid=01CRU&amp;lang=en_US&amp;offset=0&amp;query=any,contains,991000376549702656","Catalog Record")</f>
        <v/>
      </c>
      <c r="AT484">
        <f>HYPERLINK("http://www.worldcat.org/oclc/10468363","WorldCat Record")</f>
        <v/>
      </c>
      <c r="AU484" t="inlineStr">
        <is>
          <t>3124056:eng</t>
        </is>
      </c>
      <c r="AV484" t="inlineStr">
        <is>
          <t>10468363</t>
        </is>
      </c>
      <c r="AW484" t="inlineStr">
        <is>
          <t>991000376549702656</t>
        </is>
      </c>
      <c r="AX484" t="inlineStr">
        <is>
          <t>991000376549702656</t>
        </is>
      </c>
      <c r="AY484" t="inlineStr">
        <is>
          <t>2272160710002656</t>
        </is>
      </c>
      <c r="AZ484" t="inlineStr">
        <is>
          <t>BOOK</t>
        </is>
      </c>
      <c r="BB484" t="inlineStr">
        <is>
          <t>9783161447051</t>
        </is>
      </c>
      <c r="BC484" t="inlineStr">
        <is>
          <t>32285000712405</t>
        </is>
      </c>
      <c r="BD484" t="inlineStr">
        <is>
          <t>893345590</t>
        </is>
      </c>
    </row>
    <row r="485">
      <c r="A485" t="inlineStr">
        <is>
          <t>No</t>
        </is>
      </c>
      <c r="B485" t="inlineStr">
        <is>
          <t>BT232 .R475 1990</t>
        </is>
      </c>
      <c r="C485" t="inlineStr">
        <is>
          <t>0                      BT 0232000R  475         1990</t>
        </is>
      </c>
      <c r="D485" t="inlineStr">
        <is>
          <t>The Johannine Son of Man / Robert Rhea.</t>
        </is>
      </c>
      <c r="F485" t="inlineStr">
        <is>
          <t>No</t>
        </is>
      </c>
      <c r="G485" t="inlineStr">
        <is>
          <t>1</t>
        </is>
      </c>
      <c r="H485" t="inlineStr">
        <is>
          <t>No</t>
        </is>
      </c>
      <c r="I485" t="inlineStr">
        <is>
          <t>No</t>
        </is>
      </c>
      <c r="J485" t="inlineStr">
        <is>
          <t>0</t>
        </is>
      </c>
      <c r="K485" t="inlineStr">
        <is>
          <t>Rhea, Robert.</t>
        </is>
      </c>
      <c r="L485" t="inlineStr">
        <is>
          <t>Zürich : Theologischer Verlag, c1990.</t>
        </is>
      </c>
      <c r="M485" t="inlineStr">
        <is>
          <t>1990</t>
        </is>
      </c>
      <c r="O485" t="inlineStr">
        <is>
          <t>eng</t>
        </is>
      </c>
      <c r="P485" t="inlineStr">
        <is>
          <t xml:space="preserve">sw </t>
        </is>
      </c>
      <c r="Q485" t="inlineStr">
        <is>
          <t>Abhandlungen zur Theologie des Alten und Neuen Testaments ; Bd. 76</t>
        </is>
      </c>
      <c r="R485" t="inlineStr">
        <is>
          <t xml:space="preserve">BT </t>
        </is>
      </c>
      <c r="S485" t="n">
        <v>3</v>
      </c>
      <c r="T485" t="n">
        <v>3</v>
      </c>
      <c r="U485" t="inlineStr">
        <is>
          <t>1999-11-16</t>
        </is>
      </c>
      <c r="V485" t="inlineStr">
        <is>
          <t>1999-11-16</t>
        </is>
      </c>
      <c r="W485" t="inlineStr">
        <is>
          <t>1991-05-08</t>
        </is>
      </c>
      <c r="X485" t="inlineStr">
        <is>
          <t>1991-05-08</t>
        </is>
      </c>
      <c r="Y485" t="n">
        <v>141</v>
      </c>
      <c r="Z485" t="n">
        <v>79</v>
      </c>
      <c r="AA485" t="n">
        <v>81</v>
      </c>
      <c r="AB485" t="n">
        <v>1</v>
      </c>
      <c r="AC485" t="n">
        <v>1</v>
      </c>
      <c r="AD485" t="n">
        <v>5</v>
      </c>
      <c r="AE485" t="n">
        <v>5</v>
      </c>
      <c r="AF485" t="n">
        <v>0</v>
      </c>
      <c r="AG485" t="n">
        <v>0</v>
      </c>
      <c r="AH485" t="n">
        <v>2</v>
      </c>
      <c r="AI485" t="n">
        <v>2</v>
      </c>
      <c r="AJ485" t="n">
        <v>4</v>
      </c>
      <c r="AK485" t="n">
        <v>4</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HYPERLINK("https://creighton-primo.hosted.exlibrisgroup.com/primo-explore/search?tab=default_tab&amp;search_scope=EVERYTHING&amp;vid=01CRU&amp;lang=en_US&amp;offset=0&amp;query=any,contains,991001669629702656","Catalog Record")</f>
        <v/>
      </c>
      <c r="AT485">
        <f>HYPERLINK("http://www.worldcat.org/oclc/21258771","WorldCat Record")</f>
        <v/>
      </c>
      <c r="AU485" t="inlineStr">
        <is>
          <t>22913825:eng</t>
        </is>
      </c>
      <c r="AV485" t="inlineStr">
        <is>
          <t>21258771</t>
        </is>
      </c>
      <c r="AW485" t="inlineStr">
        <is>
          <t>991001669629702656</t>
        </is>
      </c>
      <c r="AX485" t="inlineStr">
        <is>
          <t>991001669629702656</t>
        </is>
      </c>
      <c r="AY485" t="inlineStr">
        <is>
          <t>2261966640002656</t>
        </is>
      </c>
      <c r="AZ485" t="inlineStr">
        <is>
          <t>BOOK</t>
        </is>
      </c>
      <c r="BB485" t="inlineStr">
        <is>
          <t>9783290100612</t>
        </is>
      </c>
      <c r="BC485" t="inlineStr">
        <is>
          <t>32285000571629</t>
        </is>
      </c>
      <c r="BD485" t="inlineStr">
        <is>
          <t>893703212</t>
        </is>
      </c>
    </row>
    <row r="486">
      <c r="A486" t="inlineStr">
        <is>
          <t>No</t>
        </is>
      </c>
      <c r="B486" t="inlineStr">
        <is>
          <t>BT232 .T613</t>
        </is>
      </c>
      <c r="C486" t="inlineStr">
        <is>
          <t>0                      BT 0232000T  613</t>
        </is>
      </c>
      <c r="D486" t="inlineStr">
        <is>
          <t>The Son of Man in the synoptic tradition / H. E. Tödd.</t>
        </is>
      </c>
      <c r="F486" t="inlineStr">
        <is>
          <t>No</t>
        </is>
      </c>
      <c r="G486" t="inlineStr">
        <is>
          <t>1</t>
        </is>
      </c>
      <c r="H486" t="inlineStr">
        <is>
          <t>No</t>
        </is>
      </c>
      <c r="I486" t="inlineStr">
        <is>
          <t>No</t>
        </is>
      </c>
      <c r="J486" t="inlineStr">
        <is>
          <t>0</t>
        </is>
      </c>
      <c r="K486" t="inlineStr">
        <is>
          <t>Tödt, Heinz Eduard.</t>
        </is>
      </c>
      <c r="L486" t="inlineStr">
        <is>
          <t>Philadelphia, Westminster Press [1965]</t>
        </is>
      </c>
      <c r="M486" t="inlineStr">
        <is>
          <t>1965</t>
        </is>
      </c>
      <c r="O486" t="inlineStr">
        <is>
          <t>eng</t>
        </is>
      </c>
      <c r="P486" t="inlineStr">
        <is>
          <t>___</t>
        </is>
      </c>
      <c r="Q486" t="inlineStr">
        <is>
          <t>The New Testament library</t>
        </is>
      </c>
      <c r="R486" t="inlineStr">
        <is>
          <t xml:space="preserve">BT </t>
        </is>
      </c>
      <c r="S486" t="n">
        <v>5</v>
      </c>
      <c r="T486" t="n">
        <v>5</v>
      </c>
      <c r="U486" t="inlineStr">
        <is>
          <t>1999-09-19</t>
        </is>
      </c>
      <c r="V486" t="inlineStr">
        <is>
          <t>1999-09-19</t>
        </is>
      </c>
      <c r="W486" t="inlineStr">
        <is>
          <t>1991-08-14</t>
        </is>
      </c>
      <c r="X486" t="inlineStr">
        <is>
          <t>1991-08-14</t>
        </is>
      </c>
      <c r="Y486" t="n">
        <v>422</v>
      </c>
      <c r="Z486" t="n">
        <v>388</v>
      </c>
      <c r="AA486" t="n">
        <v>435</v>
      </c>
      <c r="AB486" t="n">
        <v>4</v>
      </c>
      <c r="AC486" t="n">
        <v>4</v>
      </c>
      <c r="AD486" t="n">
        <v>33</v>
      </c>
      <c r="AE486" t="n">
        <v>35</v>
      </c>
      <c r="AF486" t="n">
        <v>17</v>
      </c>
      <c r="AG486" t="n">
        <v>18</v>
      </c>
      <c r="AH486" t="n">
        <v>4</v>
      </c>
      <c r="AI486" t="n">
        <v>4</v>
      </c>
      <c r="AJ486" t="n">
        <v>16</v>
      </c>
      <c r="AK486" t="n">
        <v>17</v>
      </c>
      <c r="AL486" t="n">
        <v>3</v>
      </c>
      <c r="AM486" t="n">
        <v>3</v>
      </c>
      <c r="AN486" t="n">
        <v>0</v>
      </c>
      <c r="AO486" t="n">
        <v>0</v>
      </c>
      <c r="AP486" t="inlineStr">
        <is>
          <t>No</t>
        </is>
      </c>
      <c r="AQ486" t="inlineStr">
        <is>
          <t>Yes</t>
        </is>
      </c>
      <c r="AR486">
        <f>HYPERLINK("http://catalog.hathitrust.org/Record/001412118","HathiTrust Record")</f>
        <v/>
      </c>
      <c r="AS486">
        <f>HYPERLINK("https://creighton-primo.hosted.exlibrisgroup.com/primo-explore/search?tab=default_tab&amp;search_scope=EVERYTHING&amp;vid=01CRU&amp;lang=en_US&amp;offset=0&amp;query=any,contains,991002651529702656","Catalog Record")</f>
        <v/>
      </c>
      <c r="AT486">
        <f>HYPERLINK("http://www.worldcat.org/oclc/387227","WorldCat Record")</f>
        <v/>
      </c>
      <c r="AU486" t="inlineStr">
        <is>
          <t>4020133637:eng</t>
        </is>
      </c>
      <c r="AV486" t="inlineStr">
        <is>
          <t>387227</t>
        </is>
      </c>
      <c r="AW486" t="inlineStr">
        <is>
          <t>991002651529702656</t>
        </is>
      </c>
      <c r="AX486" t="inlineStr">
        <is>
          <t>991002651529702656</t>
        </is>
      </c>
      <c r="AY486" t="inlineStr">
        <is>
          <t>2258191410002656</t>
        </is>
      </c>
      <c r="AZ486" t="inlineStr">
        <is>
          <t>BOOK</t>
        </is>
      </c>
      <c r="BC486" t="inlineStr">
        <is>
          <t>32285000712439</t>
        </is>
      </c>
      <c r="BD486" t="inlineStr">
        <is>
          <t>893792722</t>
        </is>
      </c>
    </row>
    <row r="487">
      <c r="A487" t="inlineStr">
        <is>
          <t>No</t>
        </is>
      </c>
      <c r="B487" t="inlineStr">
        <is>
          <t>BT235 .M17</t>
        </is>
      </c>
      <c r="C487" t="inlineStr">
        <is>
          <t>0                      BT 0235000M  17</t>
        </is>
      </c>
      <c r="D487" t="inlineStr">
        <is>
          <t>Christ in type and prophecy / by Rev. A. J. Maas, S. J.</t>
        </is>
      </c>
      <c r="E487" t="inlineStr">
        <is>
          <t>V.1</t>
        </is>
      </c>
      <c r="F487" t="inlineStr">
        <is>
          <t>Yes</t>
        </is>
      </c>
      <c r="G487" t="inlineStr">
        <is>
          <t>1</t>
        </is>
      </c>
      <c r="H487" t="inlineStr">
        <is>
          <t>No</t>
        </is>
      </c>
      <c r="I487" t="inlineStr">
        <is>
          <t>No</t>
        </is>
      </c>
      <c r="J487" t="inlineStr">
        <is>
          <t>0</t>
        </is>
      </c>
      <c r="K487" t="inlineStr">
        <is>
          <t>Maas, A. J. (Anthony John), 1858-1927.</t>
        </is>
      </c>
      <c r="L487" t="inlineStr">
        <is>
          <t>New York, Benzinger, 1893-1896.</t>
        </is>
      </c>
      <c r="M487" t="inlineStr">
        <is>
          <t>1893</t>
        </is>
      </c>
      <c r="O487" t="inlineStr">
        <is>
          <t>eng</t>
        </is>
      </c>
      <c r="P487" t="inlineStr">
        <is>
          <t>___</t>
        </is>
      </c>
      <c r="R487" t="inlineStr">
        <is>
          <t xml:space="preserve">BT </t>
        </is>
      </c>
      <c r="S487" t="n">
        <v>2</v>
      </c>
      <c r="T487" t="n">
        <v>3</v>
      </c>
      <c r="U487" t="inlineStr">
        <is>
          <t>1993-12-01</t>
        </is>
      </c>
      <c r="V487" t="inlineStr">
        <is>
          <t>1993-12-01</t>
        </is>
      </c>
      <c r="W487" t="inlineStr">
        <is>
          <t>1991-08-14</t>
        </is>
      </c>
      <c r="X487" t="inlineStr">
        <is>
          <t>1991-08-14</t>
        </is>
      </c>
      <c r="Y487" t="n">
        <v>118</v>
      </c>
      <c r="Z487" t="n">
        <v>106</v>
      </c>
      <c r="AA487" t="n">
        <v>113</v>
      </c>
      <c r="AB487" t="n">
        <v>2</v>
      </c>
      <c r="AC487" t="n">
        <v>2</v>
      </c>
      <c r="AD487" t="n">
        <v>19</v>
      </c>
      <c r="AE487" t="n">
        <v>19</v>
      </c>
      <c r="AF487" t="n">
        <v>4</v>
      </c>
      <c r="AG487" t="n">
        <v>4</v>
      </c>
      <c r="AH487" t="n">
        <v>4</v>
      </c>
      <c r="AI487" t="n">
        <v>4</v>
      </c>
      <c r="AJ487" t="n">
        <v>16</v>
      </c>
      <c r="AK487" t="n">
        <v>16</v>
      </c>
      <c r="AL487" t="n">
        <v>0</v>
      </c>
      <c r="AM487" t="n">
        <v>0</v>
      </c>
      <c r="AN487" t="n">
        <v>0</v>
      </c>
      <c r="AO487" t="n">
        <v>0</v>
      </c>
      <c r="AP487" t="inlineStr">
        <is>
          <t>Yes</t>
        </is>
      </c>
      <c r="AQ487" t="inlineStr">
        <is>
          <t>No</t>
        </is>
      </c>
      <c r="AR487">
        <f>HYPERLINK("http://catalog.hathitrust.org/Record/008412360","HathiTrust Record")</f>
        <v/>
      </c>
      <c r="AS487">
        <f>HYPERLINK("https://creighton-primo.hosted.exlibrisgroup.com/primo-explore/search?tab=default_tab&amp;search_scope=EVERYTHING&amp;vid=01CRU&amp;lang=en_US&amp;offset=0&amp;query=any,contains,991003134609702656","Catalog Record")</f>
        <v/>
      </c>
      <c r="AT487">
        <f>HYPERLINK("http://www.worldcat.org/oclc/676651","WorldCat Record")</f>
        <v/>
      </c>
      <c r="AU487" t="inlineStr">
        <is>
          <t>3376732098:eng</t>
        </is>
      </c>
      <c r="AV487" t="inlineStr">
        <is>
          <t>676651</t>
        </is>
      </c>
      <c r="AW487" t="inlineStr">
        <is>
          <t>991003134609702656</t>
        </is>
      </c>
      <c r="AX487" t="inlineStr">
        <is>
          <t>991003134609702656</t>
        </is>
      </c>
      <c r="AY487" t="inlineStr">
        <is>
          <t>2270342490002656</t>
        </is>
      </c>
      <c r="AZ487" t="inlineStr">
        <is>
          <t>BOOK</t>
        </is>
      </c>
      <c r="BC487" t="inlineStr">
        <is>
          <t>32285000712470</t>
        </is>
      </c>
      <c r="BD487" t="inlineStr">
        <is>
          <t>893422209</t>
        </is>
      </c>
    </row>
    <row r="488">
      <c r="A488" t="inlineStr">
        <is>
          <t>No</t>
        </is>
      </c>
      <c r="B488" t="inlineStr">
        <is>
          <t>BT235 .M17</t>
        </is>
      </c>
      <c r="C488" t="inlineStr">
        <is>
          <t>0                      BT 0235000M  17</t>
        </is>
      </c>
      <c r="D488" t="inlineStr">
        <is>
          <t>Christ in type and prophecy / by Rev. A. J. Maas, S. J.</t>
        </is>
      </c>
      <c r="E488" t="inlineStr">
        <is>
          <t>V.2</t>
        </is>
      </c>
      <c r="F488" t="inlineStr">
        <is>
          <t>Yes</t>
        </is>
      </c>
      <c r="G488" t="inlineStr">
        <is>
          <t>1</t>
        </is>
      </c>
      <c r="H488" t="inlineStr">
        <is>
          <t>No</t>
        </is>
      </c>
      <c r="I488" t="inlineStr">
        <is>
          <t>No</t>
        </is>
      </c>
      <c r="J488" t="inlineStr">
        <is>
          <t>0</t>
        </is>
      </c>
      <c r="K488" t="inlineStr">
        <is>
          <t>Maas, A. J. (Anthony John), 1858-1927.</t>
        </is>
      </c>
      <c r="L488" t="inlineStr">
        <is>
          <t>New York, Benzinger, 1893-1896.</t>
        </is>
      </c>
      <c r="M488" t="inlineStr">
        <is>
          <t>1893</t>
        </is>
      </c>
      <c r="O488" t="inlineStr">
        <is>
          <t>eng</t>
        </is>
      </c>
      <c r="P488" t="inlineStr">
        <is>
          <t>___</t>
        </is>
      </c>
      <c r="R488" t="inlineStr">
        <is>
          <t xml:space="preserve">BT </t>
        </is>
      </c>
      <c r="S488" t="n">
        <v>1</v>
      </c>
      <c r="T488" t="n">
        <v>3</v>
      </c>
      <c r="U488" t="inlineStr">
        <is>
          <t>1993-12-01</t>
        </is>
      </c>
      <c r="V488" t="inlineStr">
        <is>
          <t>1993-12-01</t>
        </is>
      </c>
      <c r="W488" t="inlineStr">
        <is>
          <t>1991-08-14</t>
        </is>
      </c>
      <c r="X488" t="inlineStr">
        <is>
          <t>1991-08-14</t>
        </is>
      </c>
      <c r="Y488" t="n">
        <v>118</v>
      </c>
      <c r="Z488" t="n">
        <v>106</v>
      </c>
      <c r="AA488" t="n">
        <v>113</v>
      </c>
      <c r="AB488" t="n">
        <v>2</v>
      </c>
      <c r="AC488" t="n">
        <v>2</v>
      </c>
      <c r="AD488" t="n">
        <v>19</v>
      </c>
      <c r="AE488" t="n">
        <v>19</v>
      </c>
      <c r="AF488" t="n">
        <v>4</v>
      </c>
      <c r="AG488" t="n">
        <v>4</v>
      </c>
      <c r="AH488" t="n">
        <v>4</v>
      </c>
      <c r="AI488" t="n">
        <v>4</v>
      </c>
      <c r="AJ488" t="n">
        <v>16</v>
      </c>
      <c r="AK488" t="n">
        <v>16</v>
      </c>
      <c r="AL488" t="n">
        <v>0</v>
      </c>
      <c r="AM488" t="n">
        <v>0</v>
      </c>
      <c r="AN488" t="n">
        <v>0</v>
      </c>
      <c r="AO488" t="n">
        <v>0</v>
      </c>
      <c r="AP488" t="inlineStr">
        <is>
          <t>Yes</t>
        </is>
      </c>
      <c r="AQ488" t="inlineStr">
        <is>
          <t>No</t>
        </is>
      </c>
      <c r="AR488">
        <f>HYPERLINK("http://catalog.hathitrust.org/Record/008412360","HathiTrust Record")</f>
        <v/>
      </c>
      <c r="AS488">
        <f>HYPERLINK("https://creighton-primo.hosted.exlibrisgroup.com/primo-explore/search?tab=default_tab&amp;search_scope=EVERYTHING&amp;vid=01CRU&amp;lang=en_US&amp;offset=0&amp;query=any,contains,991003134609702656","Catalog Record")</f>
        <v/>
      </c>
      <c r="AT488">
        <f>HYPERLINK("http://www.worldcat.org/oclc/676651","WorldCat Record")</f>
        <v/>
      </c>
      <c r="AU488" t="inlineStr">
        <is>
          <t>3376732098:eng</t>
        </is>
      </c>
      <c r="AV488" t="inlineStr">
        <is>
          <t>676651</t>
        </is>
      </c>
      <c r="AW488" t="inlineStr">
        <is>
          <t>991003134609702656</t>
        </is>
      </c>
      <c r="AX488" t="inlineStr">
        <is>
          <t>991003134609702656</t>
        </is>
      </c>
      <c r="AY488" t="inlineStr">
        <is>
          <t>2270342490002656</t>
        </is>
      </c>
      <c r="AZ488" t="inlineStr">
        <is>
          <t>BOOK</t>
        </is>
      </c>
      <c r="BC488" t="inlineStr">
        <is>
          <t>32285000712462</t>
        </is>
      </c>
      <c r="BD488" t="inlineStr">
        <is>
          <t>893440963</t>
        </is>
      </c>
    </row>
    <row r="489">
      <c r="A489" t="inlineStr">
        <is>
          <t>No</t>
        </is>
      </c>
      <c r="B489" t="inlineStr">
        <is>
          <t>BT24 .H85 1994</t>
        </is>
      </c>
      <c r="C489" t="inlineStr">
        <is>
          <t>0                      BT 0024000H  85          1994</t>
        </is>
      </c>
      <c r="D489" t="inlineStr">
        <is>
          <t>The rise of normative Christianity / Arland J. Hultgren.</t>
        </is>
      </c>
      <c r="F489" t="inlineStr">
        <is>
          <t>No</t>
        </is>
      </c>
      <c r="G489" t="inlineStr">
        <is>
          <t>1</t>
        </is>
      </c>
      <c r="H489" t="inlineStr">
        <is>
          <t>No</t>
        </is>
      </c>
      <c r="I489" t="inlineStr">
        <is>
          <t>No</t>
        </is>
      </c>
      <c r="J489" t="inlineStr">
        <is>
          <t>0</t>
        </is>
      </c>
      <c r="K489" t="inlineStr">
        <is>
          <t>Hultgren, Arland J.</t>
        </is>
      </c>
      <c r="L489" t="inlineStr">
        <is>
          <t>Minneapolis : Fortress Press, c1994.</t>
        </is>
      </c>
      <c r="M489" t="inlineStr">
        <is>
          <t>1994</t>
        </is>
      </c>
      <c r="O489" t="inlineStr">
        <is>
          <t>eng</t>
        </is>
      </c>
      <c r="P489" t="inlineStr">
        <is>
          <t>mnu</t>
        </is>
      </c>
      <c r="R489" t="inlineStr">
        <is>
          <t xml:space="preserve">BT </t>
        </is>
      </c>
      <c r="S489" t="n">
        <v>6</v>
      </c>
      <c r="T489" t="n">
        <v>6</v>
      </c>
      <c r="U489" t="inlineStr">
        <is>
          <t>2000-10-21</t>
        </is>
      </c>
      <c r="V489" t="inlineStr">
        <is>
          <t>2000-10-21</t>
        </is>
      </c>
      <c r="W489" t="inlineStr">
        <is>
          <t>1994-08-18</t>
        </is>
      </c>
      <c r="X489" t="inlineStr">
        <is>
          <t>1994-08-18</t>
        </is>
      </c>
      <c r="Y489" t="n">
        <v>412</v>
      </c>
      <c r="Z489" t="n">
        <v>335</v>
      </c>
      <c r="AA489" t="n">
        <v>349</v>
      </c>
      <c r="AB489" t="n">
        <v>5</v>
      </c>
      <c r="AC489" t="n">
        <v>5</v>
      </c>
      <c r="AD489" t="n">
        <v>32</v>
      </c>
      <c r="AE489" t="n">
        <v>32</v>
      </c>
      <c r="AF489" t="n">
        <v>13</v>
      </c>
      <c r="AG489" t="n">
        <v>13</v>
      </c>
      <c r="AH489" t="n">
        <v>8</v>
      </c>
      <c r="AI489" t="n">
        <v>8</v>
      </c>
      <c r="AJ489" t="n">
        <v>17</v>
      </c>
      <c r="AK489" t="n">
        <v>17</v>
      </c>
      <c r="AL489" t="n">
        <v>4</v>
      </c>
      <c r="AM489" t="n">
        <v>4</v>
      </c>
      <c r="AN489" t="n">
        <v>0</v>
      </c>
      <c r="AO489" t="n">
        <v>0</v>
      </c>
      <c r="AP489" t="inlineStr">
        <is>
          <t>No</t>
        </is>
      </c>
      <c r="AQ489" t="inlineStr">
        <is>
          <t>Yes</t>
        </is>
      </c>
      <c r="AR489">
        <f>HYPERLINK("http://catalog.hathitrust.org/Record/002801847","HathiTrust Record")</f>
        <v/>
      </c>
      <c r="AS489">
        <f>HYPERLINK("https://creighton-primo.hosted.exlibrisgroup.com/primo-explore/search?tab=default_tab&amp;search_scope=EVERYTHING&amp;vid=01CRU&amp;lang=en_US&amp;offset=0&amp;query=any,contains,991002206689702656","Catalog Record")</f>
        <v/>
      </c>
      <c r="AT489">
        <f>HYPERLINK("http://www.worldcat.org/oclc/28378175","WorldCat Record")</f>
        <v/>
      </c>
      <c r="AU489" t="inlineStr">
        <is>
          <t>30739065:eng</t>
        </is>
      </c>
      <c r="AV489" t="inlineStr">
        <is>
          <t>28378175</t>
        </is>
      </c>
      <c r="AW489" t="inlineStr">
        <is>
          <t>991002206689702656</t>
        </is>
      </c>
      <c r="AX489" t="inlineStr">
        <is>
          <t>991002206689702656</t>
        </is>
      </c>
      <c r="AY489" t="inlineStr">
        <is>
          <t>2263114110002656</t>
        </is>
      </c>
      <c r="AZ489" t="inlineStr">
        <is>
          <t>BOOK</t>
        </is>
      </c>
      <c r="BB489" t="inlineStr">
        <is>
          <t>9780800626457</t>
        </is>
      </c>
      <c r="BC489" t="inlineStr">
        <is>
          <t>32285001943157</t>
        </is>
      </c>
      <c r="BD489" t="inlineStr">
        <is>
          <t>893691318</t>
        </is>
      </c>
    </row>
    <row r="490">
      <c r="A490" t="inlineStr">
        <is>
          <t>No</t>
        </is>
      </c>
      <c r="B490" t="inlineStr">
        <is>
          <t>BT25 .B24</t>
        </is>
      </c>
      <c r="C490" t="inlineStr">
        <is>
          <t>0                      BT 0025000B  24</t>
        </is>
      </c>
      <c r="D490" t="inlineStr">
        <is>
          <t>Main currents in early Christian thought, by Robert Barr. Pref. by Jean Daniélou.</t>
        </is>
      </c>
      <c r="F490" t="inlineStr">
        <is>
          <t>No</t>
        </is>
      </c>
      <c r="G490" t="inlineStr">
        <is>
          <t>1</t>
        </is>
      </c>
      <c r="H490" t="inlineStr">
        <is>
          <t>No</t>
        </is>
      </c>
      <c r="I490" t="inlineStr">
        <is>
          <t>No</t>
        </is>
      </c>
      <c r="J490" t="inlineStr">
        <is>
          <t>0</t>
        </is>
      </c>
      <c r="K490" t="inlineStr">
        <is>
          <t>Barr, Robert R.</t>
        </is>
      </c>
      <c r="L490" t="inlineStr">
        <is>
          <t>Glen Rock, N.J., Paulist Press [1966]</t>
        </is>
      </c>
      <c r="M490" t="inlineStr">
        <is>
          <t>1966</t>
        </is>
      </c>
      <c r="O490" t="inlineStr">
        <is>
          <t>eng</t>
        </is>
      </c>
      <c r="P490" t="inlineStr">
        <is>
          <t>nju</t>
        </is>
      </c>
      <c r="Q490" t="inlineStr">
        <is>
          <t>Guide to the Fathers of the church ; 1</t>
        </is>
      </c>
      <c r="R490" t="inlineStr">
        <is>
          <t xml:space="preserve">BT </t>
        </is>
      </c>
      <c r="S490" t="n">
        <v>9</v>
      </c>
      <c r="T490" t="n">
        <v>9</v>
      </c>
      <c r="U490" t="inlineStr">
        <is>
          <t>2004-05-26</t>
        </is>
      </c>
      <c r="V490" t="inlineStr">
        <is>
          <t>2004-05-26</t>
        </is>
      </c>
      <c r="W490" t="inlineStr">
        <is>
          <t>1991-06-14</t>
        </is>
      </c>
      <c r="X490" t="inlineStr">
        <is>
          <t>1991-06-14</t>
        </is>
      </c>
      <c r="Y490" t="n">
        <v>337</v>
      </c>
      <c r="Z490" t="n">
        <v>285</v>
      </c>
      <c r="AA490" t="n">
        <v>293</v>
      </c>
      <c r="AB490" t="n">
        <v>4</v>
      </c>
      <c r="AC490" t="n">
        <v>4</v>
      </c>
      <c r="AD490" t="n">
        <v>34</v>
      </c>
      <c r="AE490" t="n">
        <v>35</v>
      </c>
      <c r="AF490" t="n">
        <v>11</v>
      </c>
      <c r="AG490" t="n">
        <v>12</v>
      </c>
      <c r="AH490" t="n">
        <v>8</v>
      </c>
      <c r="AI490" t="n">
        <v>8</v>
      </c>
      <c r="AJ490" t="n">
        <v>25</v>
      </c>
      <c r="AK490" t="n">
        <v>26</v>
      </c>
      <c r="AL490" t="n">
        <v>1</v>
      </c>
      <c r="AM490" t="n">
        <v>1</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HYPERLINK("https://creighton-primo.hosted.exlibrisgroup.com/primo-explore/search?tab=default_tab&amp;search_scope=EVERYTHING&amp;vid=01CRU&amp;lang=en_US&amp;offset=0&amp;query=any,contains,991003191709702656","Catalog Record")</f>
        <v/>
      </c>
      <c r="AT490">
        <f>HYPERLINK("http://www.worldcat.org/oclc/716861","WorldCat Record")</f>
        <v/>
      </c>
      <c r="AU490" t="inlineStr">
        <is>
          <t>8912565860:eng</t>
        </is>
      </c>
      <c r="AV490" t="inlineStr">
        <is>
          <t>716861</t>
        </is>
      </c>
      <c r="AW490" t="inlineStr">
        <is>
          <t>991003191709702656</t>
        </is>
      </c>
      <c r="AX490" t="inlineStr">
        <is>
          <t>991003191709702656</t>
        </is>
      </c>
      <c r="AY490" t="inlineStr">
        <is>
          <t>2259332640002656</t>
        </is>
      </c>
      <c r="AZ490" t="inlineStr">
        <is>
          <t>BOOK</t>
        </is>
      </c>
      <c r="BC490" t="inlineStr">
        <is>
          <t>32285000686195</t>
        </is>
      </c>
      <c r="BD490" t="inlineStr">
        <is>
          <t>893441002</t>
        </is>
      </c>
    </row>
    <row r="491">
      <c r="A491" t="inlineStr">
        <is>
          <t>No</t>
        </is>
      </c>
      <c r="B491" t="inlineStr">
        <is>
          <t>BT25 .B37 1983</t>
        </is>
      </c>
      <c r="C491" t="inlineStr">
        <is>
          <t>0                      BT 0025000B  37          1983</t>
        </is>
      </c>
      <c r="D491" t="inlineStr">
        <is>
          <t>Early Syriac theology : with special reference to the Maronite tradition / Seely J. Beggiani.</t>
        </is>
      </c>
      <c r="F491" t="inlineStr">
        <is>
          <t>No</t>
        </is>
      </c>
      <c r="G491" t="inlineStr">
        <is>
          <t>1</t>
        </is>
      </c>
      <c r="H491" t="inlineStr">
        <is>
          <t>No</t>
        </is>
      </c>
      <c r="I491" t="inlineStr">
        <is>
          <t>No</t>
        </is>
      </c>
      <c r="J491" t="inlineStr">
        <is>
          <t>0</t>
        </is>
      </c>
      <c r="K491" t="inlineStr">
        <is>
          <t>Beggiani, Seely J., 1935-</t>
        </is>
      </c>
      <c r="L491" t="inlineStr">
        <is>
          <t>Lanham, MD : University Press of America, c1983.</t>
        </is>
      </c>
      <c r="M491" t="inlineStr">
        <is>
          <t>1983</t>
        </is>
      </c>
      <c r="O491" t="inlineStr">
        <is>
          <t>eng</t>
        </is>
      </c>
      <c r="P491" t="inlineStr">
        <is>
          <t>mdu</t>
        </is>
      </c>
      <c r="R491" t="inlineStr">
        <is>
          <t xml:space="preserve">BT </t>
        </is>
      </c>
      <c r="S491" t="n">
        <v>7</v>
      </c>
      <c r="T491" t="n">
        <v>7</v>
      </c>
      <c r="U491" t="inlineStr">
        <is>
          <t>2007-04-22</t>
        </is>
      </c>
      <c r="V491" t="inlineStr">
        <is>
          <t>2007-04-22</t>
        </is>
      </c>
      <c r="W491" t="inlineStr">
        <is>
          <t>1991-06-14</t>
        </is>
      </c>
      <c r="X491" t="inlineStr">
        <is>
          <t>1991-06-14</t>
        </is>
      </c>
      <c r="Y491" t="n">
        <v>244</v>
      </c>
      <c r="Z491" t="n">
        <v>178</v>
      </c>
      <c r="AA491" t="n">
        <v>529</v>
      </c>
      <c r="AB491" t="n">
        <v>2</v>
      </c>
      <c r="AC491" t="n">
        <v>4</v>
      </c>
      <c r="AD491" t="n">
        <v>15</v>
      </c>
      <c r="AE491" t="n">
        <v>32</v>
      </c>
      <c r="AF491" t="n">
        <v>3</v>
      </c>
      <c r="AG491" t="n">
        <v>13</v>
      </c>
      <c r="AH491" t="n">
        <v>5</v>
      </c>
      <c r="AI491" t="n">
        <v>9</v>
      </c>
      <c r="AJ491" t="n">
        <v>11</v>
      </c>
      <c r="AK491" t="n">
        <v>16</v>
      </c>
      <c r="AL491" t="n">
        <v>1</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HYPERLINK("https://creighton-primo.hosted.exlibrisgroup.com/primo-explore/search?tab=default_tab&amp;search_scope=EVERYTHING&amp;vid=01CRU&amp;lang=en_US&amp;offset=0&amp;query=any,contains,991000171519702656","Catalog Record")</f>
        <v/>
      </c>
      <c r="AT491">
        <f>HYPERLINK("http://www.worldcat.org/oclc/9324567","WorldCat Record")</f>
        <v/>
      </c>
      <c r="AU491" t="inlineStr">
        <is>
          <t>836717366:eng</t>
        </is>
      </c>
      <c r="AV491" t="inlineStr">
        <is>
          <t>9324567</t>
        </is>
      </c>
      <c r="AW491" t="inlineStr">
        <is>
          <t>991000171519702656</t>
        </is>
      </c>
      <c r="AX491" t="inlineStr">
        <is>
          <t>991000171519702656</t>
        </is>
      </c>
      <c r="AY491" t="inlineStr">
        <is>
          <t>2257266810002656</t>
        </is>
      </c>
      <c r="AZ491" t="inlineStr">
        <is>
          <t>BOOK</t>
        </is>
      </c>
      <c r="BB491" t="inlineStr">
        <is>
          <t>9780819131539</t>
        </is>
      </c>
      <c r="BC491" t="inlineStr">
        <is>
          <t>32285000686203</t>
        </is>
      </c>
      <c r="BD491" t="inlineStr">
        <is>
          <t>893249147</t>
        </is>
      </c>
    </row>
    <row r="492">
      <c r="A492" t="inlineStr">
        <is>
          <t>No</t>
        </is>
      </c>
      <c r="B492" t="inlineStr">
        <is>
          <t>BT25 .H4513 1989</t>
        </is>
      </c>
      <c r="C492" t="inlineStr">
        <is>
          <t>0                      BT 0025000H  4513        1989</t>
        </is>
      </c>
      <c r="D492" t="inlineStr">
        <is>
          <t>Adventus Domini : eschatological thought in 4th-century apses and catecheses / by Geir Hellemo ; [translated by Elinor Ruth Waaler].</t>
        </is>
      </c>
      <c r="F492" t="inlineStr">
        <is>
          <t>No</t>
        </is>
      </c>
      <c r="G492" t="inlineStr">
        <is>
          <t>1</t>
        </is>
      </c>
      <c r="H492" t="inlineStr">
        <is>
          <t>No</t>
        </is>
      </c>
      <c r="I492" t="inlineStr">
        <is>
          <t>No</t>
        </is>
      </c>
      <c r="J492" t="inlineStr">
        <is>
          <t>0</t>
        </is>
      </c>
      <c r="K492" t="inlineStr">
        <is>
          <t>Hellemo, Geir, 1950-</t>
        </is>
      </c>
      <c r="L492" t="inlineStr">
        <is>
          <t>Leiden ; New York : E.J. Brill, 1989.</t>
        </is>
      </c>
      <c r="M492" t="inlineStr">
        <is>
          <t>1989</t>
        </is>
      </c>
      <c r="O492" t="inlineStr">
        <is>
          <t>eng</t>
        </is>
      </c>
      <c r="P492" t="inlineStr">
        <is>
          <t xml:space="preserve">ne </t>
        </is>
      </c>
      <c r="Q492" t="inlineStr">
        <is>
          <t>Supplements to Vigiliae Christianae, 0920-623X ; v. 5</t>
        </is>
      </c>
      <c r="R492" t="inlineStr">
        <is>
          <t xml:space="preserve">BT </t>
        </is>
      </c>
      <c r="S492" t="n">
        <v>1</v>
      </c>
      <c r="T492" t="n">
        <v>1</v>
      </c>
      <c r="U492" t="inlineStr">
        <is>
          <t>1992-03-30</t>
        </is>
      </c>
      <c r="V492" t="inlineStr">
        <is>
          <t>1992-03-30</t>
        </is>
      </c>
      <c r="W492" t="inlineStr">
        <is>
          <t>1989-10-19</t>
        </is>
      </c>
      <c r="X492" t="inlineStr">
        <is>
          <t>1989-10-19</t>
        </is>
      </c>
      <c r="Y492" t="n">
        <v>202</v>
      </c>
      <c r="Z492" t="n">
        <v>141</v>
      </c>
      <c r="AA492" t="n">
        <v>158</v>
      </c>
      <c r="AB492" t="n">
        <v>1</v>
      </c>
      <c r="AC492" t="n">
        <v>2</v>
      </c>
      <c r="AD492" t="n">
        <v>11</v>
      </c>
      <c r="AE492" t="n">
        <v>12</v>
      </c>
      <c r="AF492" t="n">
        <v>3</v>
      </c>
      <c r="AG492" t="n">
        <v>3</v>
      </c>
      <c r="AH492" t="n">
        <v>2</v>
      </c>
      <c r="AI492" t="n">
        <v>2</v>
      </c>
      <c r="AJ492" t="n">
        <v>9</v>
      </c>
      <c r="AK492" t="n">
        <v>9</v>
      </c>
      <c r="AL492" t="n">
        <v>0</v>
      </c>
      <c r="AM492" t="n">
        <v>1</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HYPERLINK("https://creighton-primo.hosted.exlibrisgroup.com/primo-explore/search?tab=default_tab&amp;search_scope=EVERYTHING&amp;vid=01CRU&amp;lang=en_US&amp;offset=0&amp;query=any,contains,991001326469702656","Catalog Record")</f>
        <v/>
      </c>
      <c r="AT492">
        <f>HYPERLINK("http://www.worldcat.org/oclc/18289888","WorldCat Record")</f>
        <v/>
      </c>
      <c r="AU492" t="inlineStr">
        <is>
          <t>17885288:eng</t>
        </is>
      </c>
      <c r="AV492" t="inlineStr">
        <is>
          <t>18289888</t>
        </is>
      </c>
      <c r="AW492" t="inlineStr">
        <is>
          <t>991001326469702656</t>
        </is>
      </c>
      <c r="AX492" t="inlineStr">
        <is>
          <t>991001326469702656</t>
        </is>
      </c>
      <c r="AY492" t="inlineStr">
        <is>
          <t>2259013170002656</t>
        </is>
      </c>
      <c r="AZ492" t="inlineStr">
        <is>
          <t>BOOK</t>
        </is>
      </c>
      <c r="BB492" t="inlineStr">
        <is>
          <t>9789004088368</t>
        </is>
      </c>
      <c r="BC492" t="inlineStr">
        <is>
          <t>32285000000827</t>
        </is>
      </c>
      <c r="BD492" t="inlineStr">
        <is>
          <t>893791378</t>
        </is>
      </c>
    </row>
    <row r="493">
      <c r="A493" t="inlineStr">
        <is>
          <t>No</t>
        </is>
      </c>
      <c r="B493" t="inlineStr">
        <is>
          <t>BT25 .N6</t>
        </is>
      </c>
      <c r="C493" t="inlineStr">
        <is>
          <t>0                      BT 0025000N  6</t>
        </is>
      </c>
      <c r="D493" t="inlineStr">
        <is>
          <t>God and world in early Christian theology / R. A. Norris, Jr.</t>
        </is>
      </c>
      <c r="F493" t="inlineStr">
        <is>
          <t>No</t>
        </is>
      </c>
      <c r="G493" t="inlineStr">
        <is>
          <t>1</t>
        </is>
      </c>
      <c r="H493" t="inlineStr">
        <is>
          <t>No</t>
        </is>
      </c>
      <c r="I493" t="inlineStr">
        <is>
          <t>No</t>
        </is>
      </c>
      <c r="J493" t="inlineStr">
        <is>
          <t>0</t>
        </is>
      </c>
      <c r="K493" t="inlineStr">
        <is>
          <t>Norris, Richard A., Jr. (Richard Alfred), 1930-2005.</t>
        </is>
      </c>
      <c r="L493" t="inlineStr">
        <is>
          <t>New York, Seabury Press [1965]</t>
        </is>
      </c>
      <c r="M493" t="inlineStr">
        <is>
          <t>1965</t>
        </is>
      </c>
      <c r="O493" t="inlineStr">
        <is>
          <t>eng</t>
        </is>
      </c>
      <c r="P493" t="inlineStr">
        <is>
          <t>___</t>
        </is>
      </c>
      <c r="R493" t="inlineStr">
        <is>
          <t xml:space="preserve">BT </t>
        </is>
      </c>
      <c r="S493" t="n">
        <v>5</v>
      </c>
      <c r="T493" t="n">
        <v>5</v>
      </c>
      <c r="U493" t="inlineStr">
        <is>
          <t>2009-04-21</t>
        </is>
      </c>
      <c r="V493" t="inlineStr">
        <is>
          <t>2009-04-21</t>
        </is>
      </c>
      <c r="W493" t="inlineStr">
        <is>
          <t>1991-06-14</t>
        </is>
      </c>
      <c r="X493" t="inlineStr">
        <is>
          <t>1991-06-14</t>
        </is>
      </c>
      <c r="Y493" t="n">
        <v>500</v>
      </c>
      <c r="Z493" t="n">
        <v>454</v>
      </c>
      <c r="AA493" t="n">
        <v>494</v>
      </c>
      <c r="AB493" t="n">
        <v>6</v>
      </c>
      <c r="AC493" t="n">
        <v>6</v>
      </c>
      <c r="AD493" t="n">
        <v>29</v>
      </c>
      <c r="AE493" t="n">
        <v>31</v>
      </c>
      <c r="AF493" t="n">
        <v>12</v>
      </c>
      <c r="AG493" t="n">
        <v>13</v>
      </c>
      <c r="AH493" t="n">
        <v>7</v>
      </c>
      <c r="AI493" t="n">
        <v>7</v>
      </c>
      <c r="AJ493" t="n">
        <v>14</v>
      </c>
      <c r="AK493" t="n">
        <v>15</v>
      </c>
      <c r="AL493" t="n">
        <v>4</v>
      </c>
      <c r="AM493" t="n">
        <v>4</v>
      </c>
      <c r="AN493" t="n">
        <v>0</v>
      </c>
      <c r="AO493" t="n">
        <v>0</v>
      </c>
      <c r="AP493" t="inlineStr">
        <is>
          <t>No</t>
        </is>
      </c>
      <c r="AQ493" t="inlineStr">
        <is>
          <t>Yes</t>
        </is>
      </c>
      <c r="AR493">
        <f>HYPERLINK("http://catalog.hathitrust.org/Record/001411533","HathiTrust Record")</f>
        <v/>
      </c>
      <c r="AS493">
        <f>HYPERLINK("https://creighton-primo.hosted.exlibrisgroup.com/primo-explore/search?tab=default_tab&amp;search_scope=EVERYTHING&amp;vid=01CRU&amp;lang=en_US&amp;offset=0&amp;query=any,contains,991002643299702656","Catalog Record")</f>
        <v/>
      </c>
      <c r="AT493">
        <f>HYPERLINK("http://www.worldcat.org/oclc/385048","WorldCat Record")</f>
        <v/>
      </c>
      <c r="AU493" t="inlineStr">
        <is>
          <t>49525563:eng</t>
        </is>
      </c>
      <c r="AV493" t="inlineStr">
        <is>
          <t>385048</t>
        </is>
      </c>
      <c r="AW493" t="inlineStr">
        <is>
          <t>991002643299702656</t>
        </is>
      </c>
      <c r="AX493" t="inlineStr">
        <is>
          <t>991002643299702656</t>
        </is>
      </c>
      <c r="AY493" t="inlineStr">
        <is>
          <t>2258945320002656</t>
        </is>
      </c>
      <c r="AZ493" t="inlineStr">
        <is>
          <t>BOOK</t>
        </is>
      </c>
      <c r="BC493" t="inlineStr">
        <is>
          <t>32285000686310</t>
        </is>
      </c>
      <c r="BD493" t="inlineStr">
        <is>
          <t>893317073</t>
        </is>
      </c>
    </row>
    <row r="494">
      <c r="A494" t="inlineStr">
        <is>
          <t>No</t>
        </is>
      </c>
      <c r="B494" t="inlineStr">
        <is>
          <t>BT25 .W53 v...</t>
        </is>
      </c>
      <c r="C494" t="inlineStr">
        <is>
          <t>0                      BT 0025000W  53                                                      v...</t>
        </is>
      </c>
      <c r="D494" t="inlineStr">
        <is>
          <t>A history of Christian thought / John R. Willis.</t>
        </is>
      </c>
      <c r="E494" t="inlineStr">
        <is>
          <t>V.2</t>
        </is>
      </c>
      <c r="F494" t="inlineStr">
        <is>
          <t>Yes</t>
        </is>
      </c>
      <c r="G494" t="inlineStr">
        <is>
          <t>1</t>
        </is>
      </c>
      <c r="H494" t="inlineStr">
        <is>
          <t>No</t>
        </is>
      </c>
      <c r="I494" t="inlineStr">
        <is>
          <t>No</t>
        </is>
      </c>
      <c r="J494" t="inlineStr">
        <is>
          <t>0</t>
        </is>
      </c>
      <c r="K494" t="inlineStr">
        <is>
          <t>Willis, John Randolph.</t>
        </is>
      </c>
      <c r="L494" t="inlineStr">
        <is>
          <t>Hicksville, N.Y. : Exposition Press, c1976-</t>
        </is>
      </c>
      <c r="M494" t="inlineStr">
        <is>
          <t>1976</t>
        </is>
      </c>
      <c r="N494" t="inlineStr">
        <is>
          <t>1st ed.</t>
        </is>
      </c>
      <c r="O494" t="inlineStr">
        <is>
          <t>eng</t>
        </is>
      </c>
      <c r="P494" t="inlineStr">
        <is>
          <t>nyu</t>
        </is>
      </c>
      <c r="Q494" t="inlineStr">
        <is>
          <t>An Exposition-university book</t>
        </is>
      </c>
      <c r="R494" t="inlineStr">
        <is>
          <t xml:space="preserve">BT </t>
        </is>
      </c>
      <c r="S494" t="n">
        <v>4</v>
      </c>
      <c r="T494" t="n">
        <v>10</v>
      </c>
      <c r="U494" t="inlineStr">
        <is>
          <t>2008-11-10</t>
        </is>
      </c>
      <c r="V494" t="inlineStr">
        <is>
          <t>2008-11-10</t>
        </is>
      </c>
      <c r="W494" t="inlineStr">
        <is>
          <t>1991-07-10</t>
        </is>
      </c>
      <c r="X494" t="inlineStr">
        <is>
          <t>1991-07-10</t>
        </is>
      </c>
      <c r="Y494" t="n">
        <v>64</v>
      </c>
      <c r="Z494" t="n">
        <v>52</v>
      </c>
      <c r="AA494" t="n">
        <v>53</v>
      </c>
      <c r="AB494" t="n">
        <v>1</v>
      </c>
      <c r="AC494" t="n">
        <v>1</v>
      </c>
      <c r="AD494" t="n">
        <v>12</v>
      </c>
      <c r="AE494" t="n">
        <v>12</v>
      </c>
      <c r="AF494" t="n">
        <v>4</v>
      </c>
      <c r="AG494" t="n">
        <v>4</v>
      </c>
      <c r="AH494" t="n">
        <v>2</v>
      </c>
      <c r="AI494" t="n">
        <v>2</v>
      </c>
      <c r="AJ494" t="n">
        <v>10</v>
      </c>
      <c r="AK494" t="n">
        <v>10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HYPERLINK("https://creighton-primo.hosted.exlibrisgroup.com/primo-explore/search?tab=default_tab&amp;search_scope=EVERYTHING&amp;vid=01CRU&amp;lang=en_US&amp;offset=0&amp;query=any,contains,991000577909702656","Catalog Record")</f>
        <v/>
      </c>
      <c r="AT494">
        <f>HYPERLINK("http://www.worldcat.org/oclc/11710485","WorldCat Record")</f>
        <v/>
      </c>
      <c r="AU494" t="inlineStr">
        <is>
          <t>5395298643:eng</t>
        </is>
      </c>
      <c r="AV494" t="inlineStr">
        <is>
          <t>11710485</t>
        </is>
      </c>
      <c r="AW494" t="inlineStr">
        <is>
          <t>991000577909702656</t>
        </is>
      </c>
      <c r="AX494" t="inlineStr">
        <is>
          <t>991000577909702656</t>
        </is>
      </c>
      <c r="AY494" t="inlineStr">
        <is>
          <t>2271230550002656</t>
        </is>
      </c>
      <c r="AZ494" t="inlineStr">
        <is>
          <t>BOOK</t>
        </is>
      </c>
      <c r="BB494" t="inlineStr">
        <is>
          <t>9780682499736</t>
        </is>
      </c>
      <c r="BC494" t="inlineStr">
        <is>
          <t>32285000686344</t>
        </is>
      </c>
      <c r="BD494" t="inlineStr">
        <is>
          <t>893620601</t>
        </is>
      </c>
    </row>
    <row r="495">
      <c r="A495" t="inlineStr">
        <is>
          <t>No</t>
        </is>
      </c>
      <c r="B495" t="inlineStr">
        <is>
          <t>BT25 .W53 v...</t>
        </is>
      </c>
      <c r="C495" t="inlineStr">
        <is>
          <t>0                      BT 0025000W  53                                                      v...</t>
        </is>
      </c>
      <c r="D495" t="inlineStr">
        <is>
          <t>A history of Christian thought / John R. Willis.</t>
        </is>
      </c>
      <c r="E495" t="inlineStr">
        <is>
          <t>V.1</t>
        </is>
      </c>
      <c r="F495" t="inlineStr">
        <is>
          <t>Yes</t>
        </is>
      </c>
      <c r="G495" t="inlineStr">
        <is>
          <t>1</t>
        </is>
      </c>
      <c r="H495" t="inlineStr">
        <is>
          <t>No</t>
        </is>
      </c>
      <c r="I495" t="inlineStr">
        <is>
          <t>No</t>
        </is>
      </c>
      <c r="J495" t="inlineStr">
        <is>
          <t>0</t>
        </is>
      </c>
      <c r="K495" t="inlineStr">
        <is>
          <t>Willis, John Randolph.</t>
        </is>
      </c>
      <c r="L495" t="inlineStr">
        <is>
          <t>Hicksville, N.Y. : Exposition Press, c1976-</t>
        </is>
      </c>
      <c r="M495" t="inlineStr">
        <is>
          <t>1976</t>
        </is>
      </c>
      <c r="N495" t="inlineStr">
        <is>
          <t>1st ed.</t>
        </is>
      </c>
      <c r="O495" t="inlineStr">
        <is>
          <t>eng</t>
        </is>
      </c>
      <c r="P495" t="inlineStr">
        <is>
          <t>nyu</t>
        </is>
      </c>
      <c r="Q495" t="inlineStr">
        <is>
          <t>An Exposition-university book</t>
        </is>
      </c>
      <c r="R495" t="inlineStr">
        <is>
          <t xml:space="preserve">BT </t>
        </is>
      </c>
      <c r="S495" t="n">
        <v>6</v>
      </c>
      <c r="T495" t="n">
        <v>10</v>
      </c>
      <c r="U495" t="inlineStr">
        <is>
          <t>1999-02-02</t>
        </is>
      </c>
      <c r="V495" t="inlineStr">
        <is>
          <t>2008-11-10</t>
        </is>
      </c>
      <c r="W495" t="inlineStr">
        <is>
          <t>1991-07-10</t>
        </is>
      </c>
      <c r="X495" t="inlineStr">
        <is>
          <t>1991-07-10</t>
        </is>
      </c>
      <c r="Y495" t="n">
        <v>64</v>
      </c>
      <c r="Z495" t="n">
        <v>52</v>
      </c>
      <c r="AA495" t="n">
        <v>53</v>
      </c>
      <c r="AB495" t="n">
        <v>1</v>
      </c>
      <c r="AC495" t="n">
        <v>1</v>
      </c>
      <c r="AD495" t="n">
        <v>12</v>
      </c>
      <c r="AE495" t="n">
        <v>12</v>
      </c>
      <c r="AF495" t="n">
        <v>4</v>
      </c>
      <c r="AG495" t="n">
        <v>4</v>
      </c>
      <c r="AH495" t="n">
        <v>2</v>
      </c>
      <c r="AI495" t="n">
        <v>2</v>
      </c>
      <c r="AJ495" t="n">
        <v>10</v>
      </c>
      <c r="AK495" t="n">
        <v>10</v>
      </c>
      <c r="AL495" t="n">
        <v>0</v>
      </c>
      <c r="AM495" t="n">
        <v>0</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HYPERLINK("https://creighton-primo.hosted.exlibrisgroup.com/primo-explore/search?tab=default_tab&amp;search_scope=EVERYTHING&amp;vid=01CRU&amp;lang=en_US&amp;offset=0&amp;query=any,contains,991000577909702656","Catalog Record")</f>
        <v/>
      </c>
      <c r="AT495">
        <f>HYPERLINK("http://www.worldcat.org/oclc/11710485","WorldCat Record")</f>
        <v/>
      </c>
      <c r="AU495" t="inlineStr">
        <is>
          <t>5395298643:eng</t>
        </is>
      </c>
      <c r="AV495" t="inlineStr">
        <is>
          <t>11710485</t>
        </is>
      </c>
      <c r="AW495" t="inlineStr">
        <is>
          <t>991000577909702656</t>
        </is>
      </c>
      <c r="AX495" t="inlineStr">
        <is>
          <t>991000577909702656</t>
        </is>
      </c>
      <c r="AY495" t="inlineStr">
        <is>
          <t>2271230550002656</t>
        </is>
      </c>
      <c r="AZ495" t="inlineStr">
        <is>
          <t>BOOK</t>
        </is>
      </c>
      <c r="BB495" t="inlineStr">
        <is>
          <t>9780682499736</t>
        </is>
      </c>
      <c r="BC495" t="inlineStr">
        <is>
          <t>32285000686336</t>
        </is>
      </c>
      <c r="BD495" t="inlineStr">
        <is>
          <t>893620602</t>
        </is>
      </c>
    </row>
    <row r="496">
      <c r="A496" t="inlineStr">
        <is>
          <t>No</t>
        </is>
      </c>
      <c r="B496" t="inlineStr">
        <is>
          <t>BT25 .W54</t>
        </is>
      </c>
      <c r="C496" t="inlineStr">
        <is>
          <t>0                      BT 0025000W  54</t>
        </is>
      </c>
      <c r="D496" t="inlineStr">
        <is>
          <t>The making of Christian doctrine : a study in the principles of early doctrinal development / by Maurice Wiles.</t>
        </is>
      </c>
      <c r="F496" t="inlineStr">
        <is>
          <t>No</t>
        </is>
      </c>
      <c r="G496" t="inlineStr">
        <is>
          <t>1</t>
        </is>
      </c>
      <c r="H496" t="inlineStr">
        <is>
          <t>No</t>
        </is>
      </c>
      <c r="I496" t="inlineStr">
        <is>
          <t>No</t>
        </is>
      </c>
      <c r="J496" t="inlineStr">
        <is>
          <t>0</t>
        </is>
      </c>
      <c r="K496" t="inlineStr">
        <is>
          <t>Wiles, Maurice, 1923-2005.</t>
        </is>
      </c>
      <c r="L496" t="inlineStr">
        <is>
          <t>London, Cambridge U.P., 1967.</t>
        </is>
      </c>
      <c r="M496" t="inlineStr">
        <is>
          <t>1967</t>
        </is>
      </c>
      <c r="O496" t="inlineStr">
        <is>
          <t>eng</t>
        </is>
      </c>
      <c r="P496" t="inlineStr">
        <is>
          <t>enk</t>
        </is>
      </c>
      <c r="R496" t="inlineStr">
        <is>
          <t xml:space="preserve">BT </t>
        </is>
      </c>
      <c r="S496" t="n">
        <v>1</v>
      </c>
      <c r="T496" t="n">
        <v>1</v>
      </c>
      <c r="U496" t="inlineStr">
        <is>
          <t>2008-11-10</t>
        </is>
      </c>
      <c r="V496" t="inlineStr">
        <is>
          <t>2008-11-10</t>
        </is>
      </c>
      <c r="W496" t="inlineStr">
        <is>
          <t>1991-06-14</t>
        </is>
      </c>
      <c r="X496" t="inlineStr">
        <is>
          <t>1991-06-14</t>
        </is>
      </c>
      <c r="Y496" t="n">
        <v>612</v>
      </c>
      <c r="Z496" t="n">
        <v>469</v>
      </c>
      <c r="AA496" t="n">
        <v>495</v>
      </c>
      <c r="AB496" t="n">
        <v>2</v>
      </c>
      <c r="AC496" t="n">
        <v>2</v>
      </c>
      <c r="AD496" t="n">
        <v>32</v>
      </c>
      <c r="AE496" t="n">
        <v>35</v>
      </c>
      <c r="AF496" t="n">
        <v>12</v>
      </c>
      <c r="AG496" t="n">
        <v>13</v>
      </c>
      <c r="AH496" t="n">
        <v>9</v>
      </c>
      <c r="AI496" t="n">
        <v>9</v>
      </c>
      <c r="AJ496" t="n">
        <v>19</v>
      </c>
      <c r="AK496" t="n">
        <v>21</v>
      </c>
      <c r="AL496" t="n">
        <v>1</v>
      </c>
      <c r="AM496" t="n">
        <v>1</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HYPERLINK("https://creighton-primo.hosted.exlibrisgroup.com/primo-explore/search?tab=default_tab&amp;search_scope=EVERYTHING&amp;vid=01CRU&amp;lang=en_US&amp;offset=0&amp;query=any,contains,991003926349702656","Catalog Record")</f>
        <v/>
      </c>
      <c r="AT496">
        <f>HYPERLINK("http://www.worldcat.org/oclc/1883967","WorldCat Record")</f>
        <v/>
      </c>
      <c r="AU496" t="inlineStr">
        <is>
          <t>836636200:eng</t>
        </is>
      </c>
      <c r="AV496" t="inlineStr">
        <is>
          <t>1883967</t>
        </is>
      </c>
      <c r="AW496" t="inlineStr">
        <is>
          <t>991003926349702656</t>
        </is>
      </c>
      <c r="AX496" t="inlineStr">
        <is>
          <t>991003926349702656</t>
        </is>
      </c>
      <c r="AY496" t="inlineStr">
        <is>
          <t>2254709910002656</t>
        </is>
      </c>
      <c r="AZ496" t="inlineStr">
        <is>
          <t>BOOK</t>
        </is>
      </c>
      <c r="BC496" t="inlineStr">
        <is>
          <t>32285000686351</t>
        </is>
      </c>
      <c r="BD496" t="inlineStr">
        <is>
          <t>893349392</t>
        </is>
      </c>
    </row>
    <row r="497">
      <c r="A497" t="inlineStr">
        <is>
          <t>No</t>
        </is>
      </c>
      <c r="B497" t="inlineStr">
        <is>
          <t>BT252 .H66 1997</t>
        </is>
      </c>
      <c r="C497" t="inlineStr">
        <is>
          <t>0                      BT 0252000H  66          1997</t>
        </is>
      </c>
      <c r="D497" t="inlineStr">
        <is>
          <t>The signs of a prophet : the prophetic actions of Jesus / Morna D. Hooker.</t>
        </is>
      </c>
      <c r="F497" t="inlineStr">
        <is>
          <t>No</t>
        </is>
      </c>
      <c r="G497" t="inlineStr">
        <is>
          <t>1</t>
        </is>
      </c>
      <c r="H497" t="inlineStr">
        <is>
          <t>No</t>
        </is>
      </c>
      <c r="I497" t="inlineStr">
        <is>
          <t>No</t>
        </is>
      </c>
      <c r="J497" t="inlineStr">
        <is>
          <t>0</t>
        </is>
      </c>
      <c r="K497" t="inlineStr">
        <is>
          <t>Hooker, Morna Dorothy.</t>
        </is>
      </c>
      <c r="L497" t="inlineStr">
        <is>
          <t>Harrisburg, Pa. : Trinity Press International, 1997.</t>
        </is>
      </c>
      <c r="M497" t="inlineStr">
        <is>
          <t>1997</t>
        </is>
      </c>
      <c r="N497" t="inlineStr">
        <is>
          <t>1st U.S. ed.</t>
        </is>
      </c>
      <c r="O497" t="inlineStr">
        <is>
          <t>eng</t>
        </is>
      </c>
      <c r="P497" t="inlineStr">
        <is>
          <t>pau</t>
        </is>
      </c>
      <c r="R497" t="inlineStr">
        <is>
          <t xml:space="preserve">BT </t>
        </is>
      </c>
      <c r="S497" t="n">
        <v>8</v>
      </c>
      <c r="T497" t="n">
        <v>8</v>
      </c>
      <c r="U497" t="inlineStr">
        <is>
          <t>2010-09-14</t>
        </is>
      </c>
      <c r="V497" t="inlineStr">
        <is>
          <t>2010-09-14</t>
        </is>
      </c>
      <c r="W497" t="inlineStr">
        <is>
          <t>1998-08-13</t>
        </is>
      </c>
      <c r="X497" t="inlineStr">
        <is>
          <t>1998-08-13</t>
        </is>
      </c>
      <c r="Y497" t="n">
        <v>241</v>
      </c>
      <c r="Z497" t="n">
        <v>211</v>
      </c>
      <c r="AA497" t="n">
        <v>230</v>
      </c>
      <c r="AB497" t="n">
        <v>3</v>
      </c>
      <c r="AC497" t="n">
        <v>3</v>
      </c>
      <c r="AD497" t="n">
        <v>22</v>
      </c>
      <c r="AE497" t="n">
        <v>23</v>
      </c>
      <c r="AF497" t="n">
        <v>10</v>
      </c>
      <c r="AG497" t="n">
        <v>10</v>
      </c>
      <c r="AH497" t="n">
        <v>2</v>
      </c>
      <c r="AI497" t="n">
        <v>3</v>
      </c>
      <c r="AJ497" t="n">
        <v>12</v>
      </c>
      <c r="AK497" t="n">
        <v>13</v>
      </c>
      <c r="AL497" t="n">
        <v>2</v>
      </c>
      <c r="AM497" t="n">
        <v>2</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HYPERLINK("https://creighton-primo.hosted.exlibrisgroup.com/primo-explore/search?tab=default_tab&amp;search_scope=EVERYTHING&amp;vid=01CRU&amp;lang=en_US&amp;offset=0&amp;query=any,contains,991002826949702656","Catalog Record")</f>
        <v/>
      </c>
      <c r="AT497">
        <f>HYPERLINK("http://www.worldcat.org/oclc/37220973","WorldCat Record")</f>
        <v/>
      </c>
      <c r="AU497" t="inlineStr">
        <is>
          <t>836984788:eng</t>
        </is>
      </c>
      <c r="AV497" t="inlineStr">
        <is>
          <t>37220973</t>
        </is>
      </c>
      <c r="AW497" t="inlineStr">
        <is>
          <t>991002826949702656</t>
        </is>
      </c>
      <c r="AX497" t="inlineStr">
        <is>
          <t>991002826949702656</t>
        </is>
      </c>
      <c r="AY497" t="inlineStr">
        <is>
          <t>2259477670002656</t>
        </is>
      </c>
      <c r="AZ497" t="inlineStr">
        <is>
          <t>BOOK</t>
        </is>
      </c>
      <c r="BB497" t="inlineStr">
        <is>
          <t>9781563382109</t>
        </is>
      </c>
      <c r="BC497" t="inlineStr">
        <is>
          <t>32285003453379</t>
        </is>
      </c>
      <c r="BD497" t="inlineStr">
        <is>
          <t>893899292</t>
        </is>
      </c>
    </row>
    <row r="498">
      <c r="A498" t="inlineStr">
        <is>
          <t>No</t>
        </is>
      </c>
      <c r="B498" t="inlineStr">
        <is>
          <t>BT254 .S55 1969</t>
        </is>
      </c>
      <c r="C498" t="inlineStr">
        <is>
          <t>0                      BT 0254000S  55          1969</t>
        </is>
      </c>
      <c r="D498" t="inlineStr">
        <is>
          <t>A priest forever : a study of typology and eschatology in Hebrews / Jerome Smith.</t>
        </is>
      </c>
      <c r="F498" t="inlineStr">
        <is>
          <t>No</t>
        </is>
      </c>
      <c r="G498" t="inlineStr">
        <is>
          <t>1</t>
        </is>
      </c>
      <c r="H498" t="inlineStr">
        <is>
          <t>No</t>
        </is>
      </c>
      <c r="I498" t="inlineStr">
        <is>
          <t>No</t>
        </is>
      </c>
      <c r="J498" t="inlineStr">
        <is>
          <t>0</t>
        </is>
      </c>
      <c r="K498" t="inlineStr">
        <is>
          <t>Smith, Jerome.</t>
        </is>
      </c>
      <c r="L498" t="inlineStr">
        <is>
          <t>London ; Sydney : Sheed &amp; Ward, 1969.</t>
        </is>
      </c>
      <c r="M498" t="inlineStr">
        <is>
          <t>1969</t>
        </is>
      </c>
      <c r="O498" t="inlineStr">
        <is>
          <t>eng</t>
        </is>
      </c>
      <c r="P498" t="inlineStr">
        <is>
          <t>enk</t>
        </is>
      </c>
      <c r="Q498" t="inlineStr">
        <is>
          <t>Sheed &amp; Ward stagbooks</t>
        </is>
      </c>
      <c r="R498" t="inlineStr">
        <is>
          <t xml:space="preserve">BT </t>
        </is>
      </c>
      <c r="S498" t="n">
        <v>4</v>
      </c>
      <c r="T498" t="n">
        <v>4</v>
      </c>
      <c r="U498" t="inlineStr">
        <is>
          <t>1999-10-25</t>
        </is>
      </c>
      <c r="V498" t="inlineStr">
        <is>
          <t>1999-10-25</t>
        </is>
      </c>
      <c r="W498" t="inlineStr">
        <is>
          <t>1991-08-14</t>
        </is>
      </c>
      <c r="X498" t="inlineStr">
        <is>
          <t>1991-08-14</t>
        </is>
      </c>
      <c r="Y498" t="n">
        <v>151</v>
      </c>
      <c r="Z498" t="n">
        <v>109</v>
      </c>
      <c r="AA498" t="n">
        <v>109</v>
      </c>
      <c r="AB498" t="n">
        <v>1</v>
      </c>
      <c r="AC498" t="n">
        <v>1</v>
      </c>
      <c r="AD498" t="n">
        <v>7</v>
      </c>
      <c r="AE498" t="n">
        <v>7</v>
      </c>
      <c r="AF498" t="n">
        <v>2</v>
      </c>
      <c r="AG498" t="n">
        <v>2</v>
      </c>
      <c r="AH498" t="n">
        <v>1</v>
      </c>
      <c r="AI498" t="n">
        <v>1</v>
      </c>
      <c r="AJ498" t="n">
        <v>6</v>
      </c>
      <c r="AK498" t="n">
        <v>6</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HYPERLINK("https://creighton-primo.hosted.exlibrisgroup.com/primo-explore/search?tab=default_tab&amp;search_scope=EVERYTHING&amp;vid=01CRU&amp;lang=en_US&amp;offset=0&amp;query=any,contains,991000068299702656","Catalog Record")</f>
        <v/>
      </c>
      <c r="AT498">
        <f>HYPERLINK("http://www.worldcat.org/oclc/27637","WorldCat Record")</f>
        <v/>
      </c>
      <c r="AU498" t="inlineStr">
        <is>
          <t>1169039:eng</t>
        </is>
      </c>
      <c r="AV498" t="inlineStr">
        <is>
          <t>27637</t>
        </is>
      </c>
      <c r="AW498" t="inlineStr">
        <is>
          <t>991000068299702656</t>
        </is>
      </c>
      <c r="AX498" t="inlineStr">
        <is>
          <t>991000068299702656</t>
        </is>
      </c>
      <c r="AY498" t="inlineStr">
        <is>
          <t>2262744310002656</t>
        </is>
      </c>
      <c r="AZ498" t="inlineStr">
        <is>
          <t>BOOK</t>
        </is>
      </c>
      <c r="BB498" t="inlineStr">
        <is>
          <t>9780722005576</t>
        </is>
      </c>
      <c r="BC498" t="inlineStr">
        <is>
          <t>32285000712538</t>
        </is>
      </c>
      <c r="BD498" t="inlineStr">
        <is>
          <t>893534030</t>
        </is>
      </c>
    </row>
    <row r="499">
      <c r="A499" t="inlineStr">
        <is>
          <t>No</t>
        </is>
      </c>
      <c r="B499" t="inlineStr">
        <is>
          <t>BT255 .B833 1947</t>
        </is>
      </c>
      <c r="C499" t="inlineStr">
        <is>
          <t>0                      BT 0255000B  833         1947</t>
        </is>
      </c>
      <c r="D499" t="inlineStr">
        <is>
          <t>The mediator : a study of the central doctrine of the Christian faith / [by] Emil Brunner. Translated by Olive Wyon.</t>
        </is>
      </c>
      <c r="F499" t="inlineStr">
        <is>
          <t>No</t>
        </is>
      </c>
      <c r="G499" t="inlineStr">
        <is>
          <t>1</t>
        </is>
      </c>
      <c r="H499" t="inlineStr">
        <is>
          <t>No</t>
        </is>
      </c>
      <c r="I499" t="inlineStr">
        <is>
          <t>No</t>
        </is>
      </c>
      <c r="J499" t="inlineStr">
        <is>
          <t>0</t>
        </is>
      </c>
      <c r="K499" t="inlineStr">
        <is>
          <t>Brunner, Emil, 1889-1966.</t>
        </is>
      </c>
      <c r="L499" t="inlineStr">
        <is>
          <t>Philadelphia, Westminster Press [1947]</t>
        </is>
      </c>
      <c r="M499" t="inlineStr">
        <is>
          <t>1947</t>
        </is>
      </c>
      <c r="O499" t="inlineStr">
        <is>
          <t>eng</t>
        </is>
      </c>
      <c r="P499" t="inlineStr">
        <is>
          <t>___</t>
        </is>
      </c>
      <c r="R499" t="inlineStr">
        <is>
          <t xml:space="preserve">BT </t>
        </is>
      </c>
      <c r="S499" t="n">
        <v>6</v>
      </c>
      <c r="T499" t="n">
        <v>6</v>
      </c>
      <c r="U499" t="inlineStr">
        <is>
          <t>2010-07-12</t>
        </is>
      </c>
      <c r="V499" t="inlineStr">
        <is>
          <t>2010-07-12</t>
        </is>
      </c>
      <c r="W499" t="inlineStr">
        <is>
          <t>1991-08-14</t>
        </is>
      </c>
      <c r="X499" t="inlineStr">
        <is>
          <t>1991-08-14</t>
        </is>
      </c>
      <c r="Y499" t="n">
        <v>503</v>
      </c>
      <c r="Z499" t="n">
        <v>465</v>
      </c>
      <c r="AA499" t="n">
        <v>665</v>
      </c>
      <c r="AB499" t="n">
        <v>5</v>
      </c>
      <c r="AC499" t="n">
        <v>7</v>
      </c>
      <c r="AD499" t="n">
        <v>35</v>
      </c>
      <c r="AE499" t="n">
        <v>41</v>
      </c>
      <c r="AF499" t="n">
        <v>13</v>
      </c>
      <c r="AG499" t="n">
        <v>16</v>
      </c>
      <c r="AH499" t="n">
        <v>7</v>
      </c>
      <c r="AI499" t="n">
        <v>7</v>
      </c>
      <c r="AJ499" t="n">
        <v>19</v>
      </c>
      <c r="AK499" t="n">
        <v>22</v>
      </c>
      <c r="AL499" t="n">
        <v>4</v>
      </c>
      <c r="AM499" t="n">
        <v>5</v>
      </c>
      <c r="AN499" t="n">
        <v>0</v>
      </c>
      <c r="AO499" t="n">
        <v>0</v>
      </c>
      <c r="AP499" t="inlineStr">
        <is>
          <t>No</t>
        </is>
      </c>
      <c r="AQ499" t="inlineStr">
        <is>
          <t>Yes</t>
        </is>
      </c>
      <c r="AR499">
        <f>HYPERLINK("http://catalog.hathitrust.org/Record/006606453","HathiTrust Record")</f>
        <v/>
      </c>
      <c r="AS499">
        <f>HYPERLINK("https://creighton-primo.hosted.exlibrisgroup.com/primo-explore/search?tab=default_tab&amp;search_scope=EVERYTHING&amp;vid=01CRU&amp;lang=en_US&amp;offset=0&amp;query=any,contains,991003295539702656","Catalog Record")</f>
        <v/>
      </c>
      <c r="AT499">
        <f>HYPERLINK("http://www.worldcat.org/oclc/817758","WorldCat Record")</f>
        <v/>
      </c>
      <c r="AU499" t="inlineStr">
        <is>
          <t>2908455812:eng</t>
        </is>
      </c>
      <c r="AV499" t="inlineStr">
        <is>
          <t>817758</t>
        </is>
      </c>
      <c r="AW499" t="inlineStr">
        <is>
          <t>991003295539702656</t>
        </is>
      </c>
      <c r="AX499" t="inlineStr">
        <is>
          <t>991003295539702656</t>
        </is>
      </c>
      <c r="AY499" t="inlineStr">
        <is>
          <t>2269792920002656</t>
        </is>
      </c>
      <c r="AZ499" t="inlineStr">
        <is>
          <t>BOOK</t>
        </is>
      </c>
      <c r="BC499" t="inlineStr">
        <is>
          <t>32285000712546</t>
        </is>
      </c>
      <c r="BD499" t="inlineStr">
        <is>
          <t>893721882</t>
        </is>
      </c>
    </row>
    <row r="500">
      <c r="A500" t="inlineStr">
        <is>
          <t>No</t>
        </is>
      </c>
      <c r="B500" t="inlineStr">
        <is>
          <t>BT26 .A58 1995</t>
        </is>
      </c>
      <c r="C500" t="inlineStr">
        <is>
          <t>0                      BT 0026000A  58          1995</t>
        </is>
      </c>
      <c r="D500" t="inlineStr">
        <is>
          <t>Pensée médiévale en occident : théologie, magie et autres textes des XIIe-XIIIe siècles / Marie-Thérèse d'Alverny ; edited by Charles Burnett.</t>
        </is>
      </c>
      <c r="F500" t="inlineStr">
        <is>
          <t>No</t>
        </is>
      </c>
      <c r="G500" t="inlineStr">
        <is>
          <t>1</t>
        </is>
      </c>
      <c r="H500" t="inlineStr">
        <is>
          <t>No</t>
        </is>
      </c>
      <c r="I500" t="inlineStr">
        <is>
          <t>No</t>
        </is>
      </c>
      <c r="J500" t="inlineStr">
        <is>
          <t>0</t>
        </is>
      </c>
      <c r="K500" t="inlineStr">
        <is>
          <t>Alverny, Marie-Thérèse d'.</t>
        </is>
      </c>
      <c r="L500" t="inlineStr">
        <is>
          <t>Aldershot, Hants. ; Brookfield, Vt. : Variorum, 1995.</t>
        </is>
      </c>
      <c r="M500" t="inlineStr">
        <is>
          <t>1995</t>
        </is>
      </c>
      <c r="O500" t="inlineStr">
        <is>
          <t>fre</t>
        </is>
      </c>
      <c r="P500" t="inlineStr">
        <is>
          <t>vtu</t>
        </is>
      </c>
      <c r="Q500" t="inlineStr">
        <is>
          <t>Collected studies series ; CS511</t>
        </is>
      </c>
      <c r="R500" t="inlineStr">
        <is>
          <t xml:space="preserve">BT </t>
        </is>
      </c>
      <c r="S500" t="n">
        <v>0</v>
      </c>
      <c r="T500" t="n">
        <v>0</v>
      </c>
      <c r="U500" t="inlineStr">
        <is>
          <t>2007-09-11</t>
        </is>
      </c>
      <c r="V500" t="inlineStr">
        <is>
          <t>2007-09-11</t>
        </is>
      </c>
      <c r="W500" t="inlineStr">
        <is>
          <t>2000-01-27</t>
        </is>
      </c>
      <c r="X500" t="inlineStr">
        <is>
          <t>2000-01-27</t>
        </is>
      </c>
      <c r="Y500" t="n">
        <v>91</v>
      </c>
      <c r="Z500" t="n">
        <v>63</v>
      </c>
      <c r="AA500" t="n">
        <v>63</v>
      </c>
      <c r="AB500" t="n">
        <v>1</v>
      </c>
      <c r="AC500" t="n">
        <v>1</v>
      </c>
      <c r="AD500" t="n">
        <v>6</v>
      </c>
      <c r="AE500" t="n">
        <v>6</v>
      </c>
      <c r="AF500" t="n">
        <v>0</v>
      </c>
      <c r="AG500" t="n">
        <v>0</v>
      </c>
      <c r="AH500" t="n">
        <v>2</v>
      </c>
      <c r="AI500" t="n">
        <v>2</v>
      </c>
      <c r="AJ500" t="n">
        <v>5</v>
      </c>
      <c r="AK500" t="n">
        <v>5</v>
      </c>
      <c r="AL500" t="n">
        <v>0</v>
      </c>
      <c r="AM500" t="n">
        <v>0</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HYPERLINK("https://creighton-primo.hosted.exlibrisgroup.com/primo-explore/search?tab=default_tab&amp;search_scope=EVERYTHING&amp;vid=01CRU&amp;lang=en_US&amp;offset=0&amp;query=any,contains,991002557629702656","Catalog Record")</f>
        <v/>
      </c>
      <c r="AT500">
        <f>HYPERLINK("http://www.worldcat.org/oclc/33244534","WorldCat Record")</f>
        <v/>
      </c>
      <c r="AU500" t="inlineStr">
        <is>
          <t>837005060:fre</t>
        </is>
      </c>
      <c r="AV500" t="inlineStr">
        <is>
          <t>33244534</t>
        </is>
      </c>
      <c r="AW500" t="inlineStr">
        <is>
          <t>991002557629702656</t>
        </is>
      </c>
      <c r="AX500" t="inlineStr">
        <is>
          <t>991002557629702656</t>
        </is>
      </c>
      <c r="AY500" t="inlineStr">
        <is>
          <t>2256028100002656</t>
        </is>
      </c>
      <c r="AZ500" t="inlineStr">
        <is>
          <t>BOOK</t>
        </is>
      </c>
      <c r="BB500" t="inlineStr">
        <is>
          <t>9780860785385</t>
        </is>
      </c>
      <c r="BC500" t="inlineStr">
        <is>
          <t>32285003655809</t>
        </is>
      </c>
      <c r="BD500" t="inlineStr">
        <is>
          <t>893779951</t>
        </is>
      </c>
    </row>
    <row r="501">
      <c r="A501" t="inlineStr">
        <is>
          <t>No</t>
        </is>
      </c>
      <c r="B501" t="inlineStr">
        <is>
          <t>BT26 .B45 1996</t>
        </is>
      </c>
      <c r="C501" t="inlineStr">
        <is>
          <t>0                      BT 0026000B  45          1996</t>
        </is>
      </c>
      <c r="D501" t="inlineStr">
        <is>
          <t>Many mansions : an introduction to the development and diversity of medieval theology West and East / by David N. Bell ; illustrations selected and described by Terryl N. Kinder.</t>
        </is>
      </c>
      <c r="F501" t="inlineStr">
        <is>
          <t>No</t>
        </is>
      </c>
      <c r="G501" t="inlineStr">
        <is>
          <t>1</t>
        </is>
      </c>
      <c r="H501" t="inlineStr">
        <is>
          <t>No</t>
        </is>
      </c>
      <c r="I501" t="inlineStr">
        <is>
          <t>No</t>
        </is>
      </c>
      <c r="J501" t="inlineStr">
        <is>
          <t>0</t>
        </is>
      </c>
      <c r="K501" t="inlineStr">
        <is>
          <t>Bell, David N., 1943-</t>
        </is>
      </c>
      <c r="L501" t="inlineStr">
        <is>
          <t>Kalamazoo, Mich. : Cistercian Publications, c1996.</t>
        </is>
      </c>
      <c r="M501" t="inlineStr">
        <is>
          <t>1996</t>
        </is>
      </c>
      <c r="O501" t="inlineStr">
        <is>
          <t>eng</t>
        </is>
      </c>
      <c r="P501" t="inlineStr">
        <is>
          <t>miu</t>
        </is>
      </c>
      <c r="Q501" t="inlineStr">
        <is>
          <t>Cistercian studies series ; no. 146</t>
        </is>
      </c>
      <c r="R501" t="inlineStr">
        <is>
          <t xml:space="preserve">BT </t>
        </is>
      </c>
      <c r="S501" t="n">
        <v>3</v>
      </c>
      <c r="T501" t="n">
        <v>3</v>
      </c>
      <c r="U501" t="inlineStr">
        <is>
          <t>2003-04-22</t>
        </is>
      </c>
      <c r="V501" t="inlineStr">
        <is>
          <t>2003-04-22</t>
        </is>
      </c>
      <c r="W501" t="inlineStr">
        <is>
          <t>2002-12-12</t>
        </is>
      </c>
      <c r="X501" t="inlineStr">
        <is>
          <t>2002-12-12</t>
        </is>
      </c>
      <c r="Y501" t="n">
        <v>240</v>
      </c>
      <c r="Z501" t="n">
        <v>197</v>
      </c>
      <c r="AA501" t="n">
        <v>198</v>
      </c>
      <c r="AB501" t="n">
        <v>1</v>
      </c>
      <c r="AC501" t="n">
        <v>1</v>
      </c>
      <c r="AD501" t="n">
        <v>18</v>
      </c>
      <c r="AE501" t="n">
        <v>18</v>
      </c>
      <c r="AF501" t="n">
        <v>9</v>
      </c>
      <c r="AG501" t="n">
        <v>9</v>
      </c>
      <c r="AH501" t="n">
        <v>3</v>
      </c>
      <c r="AI501" t="n">
        <v>3</v>
      </c>
      <c r="AJ501" t="n">
        <v>11</v>
      </c>
      <c r="AK501" t="n">
        <v>11</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HYPERLINK("https://creighton-primo.hosted.exlibrisgroup.com/primo-explore/search?tab=default_tab&amp;search_scope=EVERYTHING&amp;vid=01CRU&amp;lang=en_US&amp;offset=0&amp;query=any,contains,991003924209702656","Catalog Record")</f>
        <v/>
      </c>
      <c r="AT501">
        <f>HYPERLINK("http://www.worldcat.org/oclc/35047574","WorldCat Record")</f>
        <v/>
      </c>
      <c r="AU501" t="inlineStr">
        <is>
          <t>41071272:eng</t>
        </is>
      </c>
      <c r="AV501" t="inlineStr">
        <is>
          <t>35047574</t>
        </is>
      </c>
      <c r="AW501" t="inlineStr">
        <is>
          <t>991003924209702656</t>
        </is>
      </c>
      <c r="AX501" t="inlineStr">
        <is>
          <t>991003924209702656</t>
        </is>
      </c>
      <c r="AY501" t="inlineStr">
        <is>
          <t>2270268350002656</t>
        </is>
      </c>
      <c r="AZ501" t="inlineStr">
        <is>
          <t>BOOK</t>
        </is>
      </c>
      <c r="BB501" t="inlineStr">
        <is>
          <t>9780879073466</t>
        </is>
      </c>
      <c r="BC501" t="inlineStr">
        <is>
          <t>32285004690946</t>
        </is>
      </c>
      <c r="BD501" t="inlineStr">
        <is>
          <t>893525430</t>
        </is>
      </c>
    </row>
    <row r="502">
      <c r="A502" t="inlineStr">
        <is>
          <t>No</t>
        </is>
      </c>
      <c r="B502" t="inlineStr">
        <is>
          <t>BT260 .M3 1958</t>
        </is>
      </c>
      <c r="C502" t="inlineStr">
        <is>
          <t>0                      BT 0260000M  3           1958</t>
        </is>
      </c>
      <c r="D502" t="inlineStr">
        <is>
          <t>Ministry and priesthood : Christ's and ours, two lectures / by T.W. Manson.</t>
        </is>
      </c>
      <c r="F502" t="inlineStr">
        <is>
          <t>No</t>
        </is>
      </c>
      <c r="G502" t="inlineStr">
        <is>
          <t>1</t>
        </is>
      </c>
      <c r="H502" t="inlineStr">
        <is>
          <t>No</t>
        </is>
      </c>
      <c r="I502" t="inlineStr">
        <is>
          <t>No</t>
        </is>
      </c>
      <c r="J502" t="inlineStr">
        <is>
          <t>0</t>
        </is>
      </c>
      <c r="K502" t="inlineStr">
        <is>
          <t>Manson, T. W. (Thomas Walter), 1893-1958.</t>
        </is>
      </c>
      <c r="L502" t="inlineStr">
        <is>
          <t>Richmond, John Knox Press [1958?]</t>
        </is>
      </c>
      <c r="M502" t="inlineStr">
        <is>
          <t>1958</t>
        </is>
      </c>
      <c r="O502" t="inlineStr">
        <is>
          <t>eng</t>
        </is>
      </c>
      <c r="P502" t="inlineStr">
        <is>
          <t>vau</t>
        </is>
      </c>
      <c r="R502" t="inlineStr">
        <is>
          <t xml:space="preserve">BT </t>
        </is>
      </c>
      <c r="S502" t="n">
        <v>0</v>
      </c>
      <c r="T502" t="n">
        <v>0</v>
      </c>
      <c r="U502" t="inlineStr">
        <is>
          <t>2005-04-01</t>
        </is>
      </c>
      <c r="V502" t="inlineStr">
        <is>
          <t>2005-04-01</t>
        </is>
      </c>
      <c r="W502" t="inlineStr">
        <is>
          <t>1991-08-14</t>
        </is>
      </c>
      <c r="X502" t="inlineStr">
        <is>
          <t>1991-08-14</t>
        </is>
      </c>
      <c r="Y502" t="n">
        <v>142</v>
      </c>
      <c r="Z502" t="n">
        <v>132</v>
      </c>
      <c r="AA502" t="n">
        <v>191</v>
      </c>
      <c r="AB502" t="n">
        <v>2</v>
      </c>
      <c r="AC502" t="n">
        <v>2</v>
      </c>
      <c r="AD502" t="n">
        <v>8</v>
      </c>
      <c r="AE502" t="n">
        <v>11</v>
      </c>
      <c r="AF502" t="n">
        <v>3</v>
      </c>
      <c r="AG502" t="n">
        <v>5</v>
      </c>
      <c r="AH502" t="n">
        <v>1</v>
      </c>
      <c r="AI502" t="n">
        <v>1</v>
      </c>
      <c r="AJ502" t="n">
        <v>3</v>
      </c>
      <c r="AK502" t="n">
        <v>5</v>
      </c>
      <c r="AL502" t="n">
        <v>1</v>
      </c>
      <c r="AM502" t="n">
        <v>1</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HYPERLINK("https://creighton-primo.hosted.exlibrisgroup.com/primo-explore/search?tab=default_tab&amp;search_scope=EVERYTHING&amp;vid=01CRU&amp;lang=en_US&amp;offset=0&amp;query=any,contains,991004194779702656","Catalog Record")</f>
        <v/>
      </c>
      <c r="AT502">
        <f>HYPERLINK("http://www.worldcat.org/oclc/2642638","WorldCat Record")</f>
        <v/>
      </c>
      <c r="AU502" t="inlineStr">
        <is>
          <t>432856611:eng</t>
        </is>
      </c>
      <c r="AV502" t="inlineStr">
        <is>
          <t>2642638</t>
        </is>
      </c>
      <c r="AW502" t="inlineStr">
        <is>
          <t>991004194779702656</t>
        </is>
      </c>
      <c r="AX502" t="inlineStr">
        <is>
          <t>991004194779702656</t>
        </is>
      </c>
      <c r="AY502" t="inlineStr">
        <is>
          <t>2255884050002656</t>
        </is>
      </c>
      <c r="AZ502" t="inlineStr">
        <is>
          <t>BOOK</t>
        </is>
      </c>
      <c r="BC502" t="inlineStr">
        <is>
          <t>32285000712561</t>
        </is>
      </c>
      <c r="BD502" t="inlineStr">
        <is>
          <t>893353276</t>
        </is>
      </c>
    </row>
    <row r="503">
      <c r="A503" t="inlineStr">
        <is>
          <t>No</t>
        </is>
      </c>
      <c r="B503" t="inlineStr">
        <is>
          <t>BT262 .M6</t>
        </is>
      </c>
      <c r="C503" t="inlineStr">
        <is>
          <t>0                      BT 0262000M  6</t>
        </is>
      </c>
      <c r="D503" t="inlineStr">
        <is>
          <t>The Cross in the New Testament / by Leon Morris.</t>
        </is>
      </c>
      <c r="F503" t="inlineStr">
        <is>
          <t>No</t>
        </is>
      </c>
      <c r="G503" t="inlineStr">
        <is>
          <t>1</t>
        </is>
      </c>
      <c r="H503" t="inlineStr">
        <is>
          <t>No</t>
        </is>
      </c>
      <c r="I503" t="inlineStr">
        <is>
          <t>No</t>
        </is>
      </c>
      <c r="J503" t="inlineStr">
        <is>
          <t>0</t>
        </is>
      </c>
      <c r="K503" t="inlineStr">
        <is>
          <t>Morris, Leon, 1914-2006.</t>
        </is>
      </c>
      <c r="L503" t="inlineStr">
        <is>
          <t>Grand Rapids, W. B. Eerdmans Pub. Co. [1965]</t>
        </is>
      </c>
      <c r="M503" t="inlineStr">
        <is>
          <t>1965</t>
        </is>
      </c>
      <c r="O503" t="inlineStr">
        <is>
          <t>eng</t>
        </is>
      </c>
      <c r="P503" t="inlineStr">
        <is>
          <t>miu</t>
        </is>
      </c>
      <c r="R503" t="inlineStr">
        <is>
          <t xml:space="preserve">BT </t>
        </is>
      </c>
      <c r="S503" t="n">
        <v>4</v>
      </c>
      <c r="T503" t="n">
        <v>4</v>
      </c>
      <c r="U503" t="inlineStr">
        <is>
          <t>1996-09-14</t>
        </is>
      </c>
      <c r="V503" t="inlineStr">
        <is>
          <t>1996-09-14</t>
        </is>
      </c>
      <c r="W503" t="inlineStr">
        <is>
          <t>1991-08-14</t>
        </is>
      </c>
      <c r="X503" t="inlineStr">
        <is>
          <t>1991-08-14</t>
        </is>
      </c>
      <c r="Y503" t="n">
        <v>402</v>
      </c>
      <c r="Z503" t="n">
        <v>351</v>
      </c>
      <c r="AA503" t="n">
        <v>386</v>
      </c>
      <c r="AB503" t="n">
        <v>4</v>
      </c>
      <c r="AC503" t="n">
        <v>4</v>
      </c>
      <c r="AD503" t="n">
        <v>19</v>
      </c>
      <c r="AE503" t="n">
        <v>23</v>
      </c>
      <c r="AF503" t="n">
        <v>7</v>
      </c>
      <c r="AG503" t="n">
        <v>9</v>
      </c>
      <c r="AH503" t="n">
        <v>4</v>
      </c>
      <c r="AI503" t="n">
        <v>4</v>
      </c>
      <c r="AJ503" t="n">
        <v>9</v>
      </c>
      <c r="AK503" t="n">
        <v>12</v>
      </c>
      <c r="AL503" t="n">
        <v>2</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HYPERLINK("https://creighton-primo.hosted.exlibrisgroup.com/primo-explore/search?tab=default_tab&amp;search_scope=EVERYTHING&amp;vid=01CRU&amp;lang=en_US&amp;offset=0&amp;query=any,contains,991002641669702656","Catalog Record")</f>
        <v/>
      </c>
      <c r="AT503">
        <f>HYPERLINK("http://www.worldcat.org/oclc/384566","WorldCat Record")</f>
        <v/>
      </c>
      <c r="AU503" t="inlineStr">
        <is>
          <t>144610144:eng</t>
        </is>
      </c>
      <c r="AV503" t="inlineStr">
        <is>
          <t>384566</t>
        </is>
      </c>
      <c r="AW503" t="inlineStr">
        <is>
          <t>991002641669702656</t>
        </is>
      </c>
      <c r="AX503" t="inlineStr">
        <is>
          <t>991002641669702656</t>
        </is>
      </c>
      <c r="AY503" t="inlineStr">
        <is>
          <t>2256165780002656</t>
        </is>
      </c>
      <c r="AZ503" t="inlineStr">
        <is>
          <t>BOOK</t>
        </is>
      </c>
      <c r="BC503" t="inlineStr">
        <is>
          <t>32285000712587</t>
        </is>
      </c>
      <c r="BD503" t="inlineStr">
        <is>
          <t>893434105</t>
        </is>
      </c>
    </row>
    <row r="504">
      <c r="A504" t="inlineStr">
        <is>
          <t>No</t>
        </is>
      </c>
      <c r="B504" t="inlineStr">
        <is>
          <t>BT263 .H6 1963</t>
        </is>
      </c>
      <c r="C504" t="inlineStr">
        <is>
          <t>0                      BT 0263000H  6           1963</t>
        </is>
      </c>
      <c r="D504" t="inlineStr">
        <is>
          <t>Christ's redemptive sacrifice / by William F. Hogan.</t>
        </is>
      </c>
      <c r="F504" t="inlineStr">
        <is>
          <t>No</t>
        </is>
      </c>
      <c r="G504" t="inlineStr">
        <is>
          <t>1</t>
        </is>
      </c>
      <c r="H504" t="inlineStr">
        <is>
          <t>No</t>
        </is>
      </c>
      <c r="I504" t="inlineStr">
        <is>
          <t>No</t>
        </is>
      </c>
      <c r="J504" t="inlineStr">
        <is>
          <t>0</t>
        </is>
      </c>
      <c r="K504" t="inlineStr">
        <is>
          <t>Hogan, William Francis, 1930-</t>
        </is>
      </c>
      <c r="L504" t="inlineStr">
        <is>
          <t>Englewood Cliffs, N. J. : Prentice-Hall, [1963]</t>
        </is>
      </c>
      <c r="M504" t="inlineStr">
        <is>
          <t>1963</t>
        </is>
      </c>
      <c r="O504" t="inlineStr">
        <is>
          <t>eng</t>
        </is>
      </c>
      <c r="P504" t="inlineStr">
        <is>
          <t>___</t>
        </is>
      </c>
      <c r="Q504" t="inlineStr">
        <is>
          <t>Foundations of Catholic theology series</t>
        </is>
      </c>
      <c r="R504" t="inlineStr">
        <is>
          <t xml:space="preserve">BT </t>
        </is>
      </c>
      <c r="S504" t="n">
        <v>4</v>
      </c>
      <c r="T504" t="n">
        <v>4</v>
      </c>
      <c r="U504" t="inlineStr">
        <is>
          <t>2009-03-25</t>
        </is>
      </c>
      <c r="V504" t="inlineStr">
        <is>
          <t>2009-03-25</t>
        </is>
      </c>
      <c r="W504" t="inlineStr">
        <is>
          <t>1991-08-14</t>
        </is>
      </c>
      <c r="X504" t="inlineStr">
        <is>
          <t>1991-08-14</t>
        </is>
      </c>
      <c r="Y504" t="n">
        <v>308</v>
      </c>
      <c r="Z504" t="n">
        <v>260</v>
      </c>
      <c r="AA504" t="n">
        <v>269</v>
      </c>
      <c r="AB504" t="n">
        <v>5</v>
      </c>
      <c r="AC504" t="n">
        <v>5</v>
      </c>
      <c r="AD504" t="n">
        <v>32</v>
      </c>
      <c r="AE504" t="n">
        <v>32</v>
      </c>
      <c r="AF504" t="n">
        <v>10</v>
      </c>
      <c r="AG504" t="n">
        <v>10</v>
      </c>
      <c r="AH504" t="n">
        <v>8</v>
      </c>
      <c r="AI504" t="n">
        <v>8</v>
      </c>
      <c r="AJ504" t="n">
        <v>24</v>
      </c>
      <c r="AK504" t="n">
        <v>24</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HYPERLINK("https://creighton-primo.hosted.exlibrisgroup.com/primo-explore/search?tab=default_tab&amp;search_scope=EVERYTHING&amp;vid=01CRU&amp;lang=en_US&amp;offset=0&amp;query=any,contains,991002602629702656","Catalog Record")</f>
        <v/>
      </c>
      <c r="AT504">
        <f>HYPERLINK("http://www.worldcat.org/oclc/377280","WorldCat Record")</f>
        <v/>
      </c>
      <c r="AU504" t="inlineStr">
        <is>
          <t>1472742:eng</t>
        </is>
      </c>
      <c r="AV504" t="inlineStr">
        <is>
          <t>377280</t>
        </is>
      </c>
      <c r="AW504" t="inlineStr">
        <is>
          <t>991002602629702656</t>
        </is>
      </c>
      <c r="AX504" t="inlineStr">
        <is>
          <t>991002602629702656</t>
        </is>
      </c>
      <c r="AY504" t="inlineStr">
        <is>
          <t>2260824610002656</t>
        </is>
      </c>
      <c r="AZ504" t="inlineStr">
        <is>
          <t>BOOK</t>
        </is>
      </c>
      <c r="BC504" t="inlineStr">
        <is>
          <t>32285000712603</t>
        </is>
      </c>
      <c r="BD504" t="inlineStr">
        <is>
          <t>893510961</t>
        </is>
      </c>
    </row>
    <row r="505">
      <c r="A505" t="inlineStr">
        <is>
          <t>No</t>
        </is>
      </c>
      <c r="B505" t="inlineStr">
        <is>
          <t>BT265 .C187 1996</t>
        </is>
      </c>
      <c r="C505" t="inlineStr">
        <is>
          <t>0                      BT 0265000C  187         1996</t>
        </is>
      </c>
      <c r="D505" t="inlineStr">
        <is>
          <t>The nature of the Atonement / J. McLeod Campbell ; with a new introduction by James B. Torrance.</t>
        </is>
      </c>
      <c r="F505" t="inlineStr">
        <is>
          <t>No</t>
        </is>
      </c>
      <c r="G505" t="inlineStr">
        <is>
          <t>1</t>
        </is>
      </c>
      <c r="H505" t="inlineStr">
        <is>
          <t>No</t>
        </is>
      </c>
      <c r="I505" t="inlineStr">
        <is>
          <t>No</t>
        </is>
      </c>
      <c r="J505" t="inlineStr">
        <is>
          <t>0</t>
        </is>
      </c>
      <c r="K505" t="inlineStr">
        <is>
          <t>Campbell, John McLeod, 1800-1872.</t>
        </is>
      </c>
      <c r="L505" t="inlineStr">
        <is>
          <t>Edinburgh : Handsel Press ; Grand Rapids, Mich. : Eerdmans, 1996.</t>
        </is>
      </c>
      <c r="M505" t="inlineStr">
        <is>
          <t>1996</t>
        </is>
      </c>
      <c r="O505" t="inlineStr">
        <is>
          <t>eng</t>
        </is>
      </c>
      <c r="P505" t="inlineStr">
        <is>
          <t>stk</t>
        </is>
      </c>
      <c r="R505" t="inlineStr">
        <is>
          <t xml:space="preserve">BT </t>
        </is>
      </c>
      <c r="S505" t="n">
        <v>6</v>
      </c>
      <c r="T505" t="n">
        <v>6</v>
      </c>
      <c r="U505" t="inlineStr">
        <is>
          <t>2009-11-29</t>
        </is>
      </c>
      <c r="V505" t="inlineStr">
        <is>
          <t>2009-11-29</t>
        </is>
      </c>
      <c r="W505" t="inlineStr">
        <is>
          <t>1997-03-18</t>
        </is>
      </c>
      <c r="X505" t="inlineStr">
        <is>
          <t>1997-03-18</t>
        </is>
      </c>
      <c r="Y505" t="n">
        <v>127</v>
      </c>
      <c r="Z505" t="n">
        <v>107</v>
      </c>
      <c r="AA505" t="n">
        <v>129</v>
      </c>
      <c r="AB505" t="n">
        <v>1</v>
      </c>
      <c r="AC505" t="n">
        <v>2</v>
      </c>
      <c r="AD505" t="n">
        <v>6</v>
      </c>
      <c r="AE505" t="n">
        <v>8</v>
      </c>
      <c r="AF505" t="n">
        <v>3</v>
      </c>
      <c r="AG505" t="n">
        <v>4</v>
      </c>
      <c r="AH505" t="n">
        <v>0</v>
      </c>
      <c r="AI505" t="n">
        <v>0</v>
      </c>
      <c r="AJ505" t="n">
        <v>4</v>
      </c>
      <c r="AK505" t="n">
        <v>5</v>
      </c>
      <c r="AL505" t="n">
        <v>0</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HYPERLINK("https://creighton-primo.hosted.exlibrisgroup.com/primo-explore/search?tab=default_tab&amp;search_scope=EVERYTHING&amp;vid=01CRU&amp;lang=en_US&amp;offset=0&amp;query=any,contains,991002633509702656","Catalog Record")</f>
        <v/>
      </c>
      <c r="AT505">
        <f>HYPERLINK("http://www.worldcat.org/oclc/34515007","WorldCat Record")</f>
        <v/>
      </c>
      <c r="AU505" t="inlineStr">
        <is>
          <t>4918563298:eng</t>
        </is>
      </c>
      <c r="AV505" t="inlineStr">
        <is>
          <t>34515007</t>
        </is>
      </c>
      <c r="AW505" t="inlineStr">
        <is>
          <t>991002633509702656</t>
        </is>
      </c>
      <c r="AX505" t="inlineStr">
        <is>
          <t>991002633509702656</t>
        </is>
      </c>
      <c r="AY505" t="inlineStr">
        <is>
          <t>2272122700002656</t>
        </is>
      </c>
      <c r="AZ505" t="inlineStr">
        <is>
          <t>BOOK</t>
        </is>
      </c>
      <c r="BB505" t="inlineStr">
        <is>
          <t>9780802842398</t>
        </is>
      </c>
      <c r="BC505" t="inlineStr">
        <is>
          <t>32285002443942</t>
        </is>
      </c>
      <c r="BD505" t="inlineStr">
        <is>
          <t>893903994</t>
        </is>
      </c>
    </row>
    <row r="506">
      <c r="A506" t="inlineStr">
        <is>
          <t>No</t>
        </is>
      </c>
      <c r="B506" t="inlineStr">
        <is>
          <t>BT265 .O94</t>
        </is>
      </c>
      <c r="C506" t="inlineStr">
        <is>
          <t>0                      BT 0265000O  94</t>
        </is>
      </c>
      <c r="D506" t="inlineStr">
        <is>
          <t>The Catholic doctrine of the atonement : an historical review, with an introduction on the principle of theological developments / by Henry Nutcombe Oxenham.</t>
        </is>
      </c>
      <c r="F506" t="inlineStr">
        <is>
          <t>No</t>
        </is>
      </c>
      <c r="G506" t="inlineStr">
        <is>
          <t>1</t>
        </is>
      </c>
      <c r="H506" t="inlineStr">
        <is>
          <t>No</t>
        </is>
      </c>
      <c r="I506" t="inlineStr">
        <is>
          <t>No</t>
        </is>
      </c>
      <c r="J506" t="inlineStr">
        <is>
          <t>0</t>
        </is>
      </c>
      <c r="K506" t="inlineStr">
        <is>
          <t>Oxenham, Henry Nutcombe, 1829-1888.</t>
        </is>
      </c>
      <c r="L506" t="inlineStr">
        <is>
          <t>London : W. H. Allen, 1895.</t>
        </is>
      </c>
      <c r="M506" t="inlineStr">
        <is>
          <t>1895</t>
        </is>
      </c>
      <c r="N506" t="inlineStr">
        <is>
          <t>4th and rev. ed.</t>
        </is>
      </c>
      <c r="O506" t="inlineStr">
        <is>
          <t>eng</t>
        </is>
      </c>
      <c r="P506" t="inlineStr">
        <is>
          <t>enk</t>
        </is>
      </c>
      <c r="R506" t="inlineStr">
        <is>
          <t xml:space="preserve">BT </t>
        </is>
      </c>
      <c r="S506" t="n">
        <v>4</v>
      </c>
      <c r="T506" t="n">
        <v>4</v>
      </c>
      <c r="U506" t="inlineStr">
        <is>
          <t>1996-12-11</t>
        </is>
      </c>
      <c r="V506" t="inlineStr">
        <is>
          <t>1996-12-11</t>
        </is>
      </c>
      <c r="W506" t="inlineStr">
        <is>
          <t>1991-08-14</t>
        </is>
      </c>
      <c r="X506" t="inlineStr">
        <is>
          <t>1991-08-14</t>
        </is>
      </c>
      <c r="Y506" t="n">
        <v>15</v>
      </c>
      <c r="Z506" t="n">
        <v>11</v>
      </c>
      <c r="AA506" t="n">
        <v>105</v>
      </c>
      <c r="AB506" t="n">
        <v>1</v>
      </c>
      <c r="AC506" t="n">
        <v>3</v>
      </c>
      <c r="AD506" t="n">
        <v>3</v>
      </c>
      <c r="AE506" t="n">
        <v>10</v>
      </c>
      <c r="AF506" t="n">
        <v>0</v>
      </c>
      <c r="AG506" t="n">
        <v>1</v>
      </c>
      <c r="AH506" t="n">
        <v>0</v>
      </c>
      <c r="AI506" t="n">
        <v>2</v>
      </c>
      <c r="AJ506" t="n">
        <v>3</v>
      </c>
      <c r="AK506" t="n">
        <v>5</v>
      </c>
      <c r="AL506" t="n">
        <v>0</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HYPERLINK("https://creighton-primo.hosted.exlibrisgroup.com/primo-explore/search?tab=default_tab&amp;search_scope=EVERYTHING&amp;vid=01CRU&amp;lang=en_US&amp;offset=0&amp;query=any,contains,991004752269702656","Catalog Record")</f>
        <v/>
      </c>
      <c r="AT506">
        <f>HYPERLINK("http://www.worldcat.org/oclc/4941529","WorldCat Record")</f>
        <v/>
      </c>
      <c r="AU506" t="inlineStr">
        <is>
          <t>3944291572:eng</t>
        </is>
      </c>
      <c r="AV506" t="inlineStr">
        <is>
          <t>4941529</t>
        </is>
      </c>
      <c r="AW506" t="inlineStr">
        <is>
          <t>991004752269702656</t>
        </is>
      </c>
      <c r="AX506" t="inlineStr">
        <is>
          <t>991004752269702656</t>
        </is>
      </c>
      <c r="AY506" t="inlineStr">
        <is>
          <t>2269606410002656</t>
        </is>
      </c>
      <c r="AZ506" t="inlineStr">
        <is>
          <t>BOOK</t>
        </is>
      </c>
      <c r="BC506" t="inlineStr">
        <is>
          <t>32285000712652</t>
        </is>
      </c>
      <c r="BD506" t="inlineStr">
        <is>
          <t>893263418</t>
        </is>
      </c>
    </row>
    <row r="507">
      <c r="A507" t="inlineStr">
        <is>
          <t>No</t>
        </is>
      </c>
      <c r="B507" t="inlineStr">
        <is>
          <t>BT265 .P55 1921</t>
        </is>
      </c>
      <c r="C507" t="inlineStr">
        <is>
          <t>0                      BT 0265000P  55          1921</t>
        </is>
      </c>
      <c r="D507" t="inlineStr">
        <is>
          <t>The ideal of reparation / by Raoul Plus. Translated by Madame Cecilia.</t>
        </is>
      </c>
      <c r="F507" t="inlineStr">
        <is>
          <t>No</t>
        </is>
      </c>
      <c r="G507" t="inlineStr">
        <is>
          <t>1</t>
        </is>
      </c>
      <c r="H507" t="inlineStr">
        <is>
          <t>No</t>
        </is>
      </c>
      <c r="I507" t="inlineStr">
        <is>
          <t>No</t>
        </is>
      </c>
      <c r="J507" t="inlineStr">
        <is>
          <t>0</t>
        </is>
      </c>
      <c r="K507" t="inlineStr">
        <is>
          <t>Plus, Raoul, 1882-1958.</t>
        </is>
      </c>
      <c r="L507" t="inlineStr">
        <is>
          <t>London : Burns Oates &amp; Washbourne, c1921, 1926 printing.</t>
        </is>
      </c>
      <c r="M507" t="inlineStr">
        <is>
          <t>1921</t>
        </is>
      </c>
      <c r="O507" t="inlineStr">
        <is>
          <t>eng</t>
        </is>
      </c>
      <c r="P507" t="inlineStr">
        <is>
          <t>enk</t>
        </is>
      </c>
      <c r="R507" t="inlineStr">
        <is>
          <t xml:space="preserve">BT </t>
        </is>
      </c>
      <c r="S507" t="n">
        <v>9</v>
      </c>
      <c r="T507" t="n">
        <v>9</v>
      </c>
      <c r="U507" t="inlineStr">
        <is>
          <t>2003-10-10</t>
        </is>
      </c>
      <c r="V507" t="inlineStr">
        <is>
          <t>2003-10-10</t>
        </is>
      </c>
      <c r="W507" t="inlineStr">
        <is>
          <t>1991-08-14</t>
        </is>
      </c>
      <c r="X507" t="inlineStr">
        <is>
          <t>1991-08-14</t>
        </is>
      </c>
      <c r="Y507" t="n">
        <v>35</v>
      </c>
      <c r="Z507" t="n">
        <v>31</v>
      </c>
      <c r="AA507" t="n">
        <v>57</v>
      </c>
      <c r="AB507" t="n">
        <v>2</v>
      </c>
      <c r="AC507" t="n">
        <v>2</v>
      </c>
      <c r="AD507" t="n">
        <v>13</v>
      </c>
      <c r="AE507" t="n">
        <v>17</v>
      </c>
      <c r="AF507" t="n">
        <v>3</v>
      </c>
      <c r="AG507" t="n">
        <v>4</v>
      </c>
      <c r="AH507" t="n">
        <v>3</v>
      </c>
      <c r="AI507" t="n">
        <v>5</v>
      </c>
      <c r="AJ507" t="n">
        <v>10</v>
      </c>
      <c r="AK507" t="n">
        <v>13</v>
      </c>
      <c r="AL507" t="n">
        <v>0</v>
      </c>
      <c r="AM507" t="n">
        <v>0</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HYPERLINK("https://creighton-primo.hosted.exlibrisgroup.com/primo-explore/search?tab=default_tab&amp;search_scope=EVERYTHING&amp;vid=01CRU&amp;lang=en_US&amp;offset=0&amp;query=any,contains,991005371319702656","Catalog Record")</f>
        <v/>
      </c>
      <c r="AT507">
        <f>HYPERLINK("http://www.worldcat.org/oclc/3574350","WorldCat Record")</f>
        <v/>
      </c>
      <c r="AU507" t="inlineStr">
        <is>
          <t>356015993:eng</t>
        </is>
      </c>
      <c r="AV507" t="inlineStr">
        <is>
          <t>3574350</t>
        </is>
      </c>
      <c r="AW507" t="inlineStr">
        <is>
          <t>991005371319702656</t>
        </is>
      </c>
      <c r="AX507" t="inlineStr">
        <is>
          <t>991005371319702656</t>
        </is>
      </c>
      <c r="AY507" t="inlineStr">
        <is>
          <t>2268502840002656</t>
        </is>
      </c>
      <c r="AZ507" t="inlineStr">
        <is>
          <t>BOOK</t>
        </is>
      </c>
      <c r="BC507" t="inlineStr">
        <is>
          <t>32285000712660</t>
        </is>
      </c>
      <c r="BD507" t="inlineStr">
        <is>
          <t>893628727</t>
        </is>
      </c>
    </row>
    <row r="508">
      <c r="A508" t="inlineStr">
        <is>
          <t>No</t>
        </is>
      </c>
      <c r="B508" t="inlineStr">
        <is>
          <t>BT265 .T25</t>
        </is>
      </c>
      <c r="C508" t="inlineStr">
        <is>
          <t>0                      BT 0265000T  25</t>
        </is>
      </c>
      <c r="D508" t="inlineStr">
        <is>
          <t>The cross of Christ; eight public lectures / by Vincent Taylor.</t>
        </is>
      </c>
      <c r="F508" t="inlineStr">
        <is>
          <t>No</t>
        </is>
      </c>
      <c r="G508" t="inlineStr">
        <is>
          <t>1</t>
        </is>
      </c>
      <c r="H508" t="inlineStr">
        <is>
          <t>No</t>
        </is>
      </c>
      <c r="I508" t="inlineStr">
        <is>
          <t>No</t>
        </is>
      </c>
      <c r="J508" t="inlineStr">
        <is>
          <t>0</t>
        </is>
      </c>
      <c r="K508" t="inlineStr">
        <is>
          <t>Taylor, Vincent, 1887-1968.</t>
        </is>
      </c>
      <c r="L508" t="inlineStr">
        <is>
          <t>London, Macmillan; New York, St. Martin's Press, 1956.</t>
        </is>
      </c>
      <c r="M508" t="inlineStr">
        <is>
          <t>1956</t>
        </is>
      </c>
      <c r="O508" t="inlineStr">
        <is>
          <t>eng</t>
        </is>
      </c>
      <c r="P508" t="inlineStr">
        <is>
          <t>enk</t>
        </is>
      </c>
      <c r="R508" t="inlineStr">
        <is>
          <t xml:space="preserve">BT </t>
        </is>
      </c>
      <c r="S508" t="n">
        <v>3</v>
      </c>
      <c r="T508" t="n">
        <v>3</v>
      </c>
      <c r="U508" t="inlineStr">
        <is>
          <t>1996-03-13</t>
        </is>
      </c>
      <c r="V508" t="inlineStr">
        <is>
          <t>1996-03-13</t>
        </is>
      </c>
      <c r="W508" t="inlineStr">
        <is>
          <t>1991-08-14</t>
        </is>
      </c>
      <c r="X508" t="inlineStr">
        <is>
          <t>1991-08-14</t>
        </is>
      </c>
      <c r="Y508" t="n">
        <v>199</v>
      </c>
      <c r="Z508" t="n">
        <v>153</v>
      </c>
      <c r="AA508" t="n">
        <v>213</v>
      </c>
      <c r="AB508" t="n">
        <v>1</v>
      </c>
      <c r="AC508" t="n">
        <v>1</v>
      </c>
      <c r="AD508" t="n">
        <v>9</v>
      </c>
      <c r="AE508" t="n">
        <v>15</v>
      </c>
      <c r="AF508" t="n">
        <v>5</v>
      </c>
      <c r="AG508" t="n">
        <v>6</v>
      </c>
      <c r="AH508" t="n">
        <v>2</v>
      </c>
      <c r="AI508" t="n">
        <v>3</v>
      </c>
      <c r="AJ508" t="n">
        <v>6</v>
      </c>
      <c r="AK508" t="n">
        <v>11</v>
      </c>
      <c r="AL508" t="n">
        <v>0</v>
      </c>
      <c r="AM508" t="n">
        <v>0</v>
      </c>
      <c r="AN508" t="n">
        <v>0</v>
      </c>
      <c r="AO508" t="n">
        <v>0</v>
      </c>
      <c r="AP508" t="inlineStr">
        <is>
          <t>No</t>
        </is>
      </c>
      <c r="AQ508" t="inlineStr">
        <is>
          <t>Yes</t>
        </is>
      </c>
      <c r="AR508">
        <f>HYPERLINK("http://catalog.hathitrust.org/Record/006762094","HathiTrust Record")</f>
        <v/>
      </c>
      <c r="AS508">
        <f>HYPERLINK("https://creighton-primo.hosted.exlibrisgroup.com/primo-explore/search?tab=default_tab&amp;search_scope=EVERYTHING&amp;vid=01CRU&amp;lang=en_US&amp;offset=0&amp;query=any,contains,991000504979702656","Catalog Record")</f>
        <v/>
      </c>
      <c r="AT508">
        <f>HYPERLINK("http://www.worldcat.org/oclc/11209196","WorldCat Record")</f>
        <v/>
      </c>
      <c r="AU508" t="inlineStr">
        <is>
          <t>3943320879:eng</t>
        </is>
      </c>
      <c r="AV508" t="inlineStr">
        <is>
          <t>11209196</t>
        </is>
      </c>
      <c r="AW508" t="inlineStr">
        <is>
          <t>991000504979702656</t>
        </is>
      </c>
      <c r="AX508" t="inlineStr">
        <is>
          <t>991000504979702656</t>
        </is>
      </c>
      <c r="AY508" t="inlineStr">
        <is>
          <t>2266633700002656</t>
        </is>
      </c>
      <c r="AZ508" t="inlineStr">
        <is>
          <t>BOOK</t>
        </is>
      </c>
      <c r="BC508" t="inlineStr">
        <is>
          <t>32285000712678</t>
        </is>
      </c>
      <c r="BD508" t="inlineStr">
        <is>
          <t>893771689</t>
        </is>
      </c>
    </row>
    <row r="509">
      <c r="A509" t="inlineStr">
        <is>
          <t>No</t>
        </is>
      </c>
      <c r="B509" t="inlineStr">
        <is>
          <t>BT265.2 .D5</t>
        </is>
      </c>
      <c r="C509" t="inlineStr">
        <is>
          <t>0                      BT 0265200D  5</t>
        </is>
      </c>
      <c r="D509" t="inlineStr">
        <is>
          <t>The Christian understanding of atonement / by F. W. Dillistone.</t>
        </is>
      </c>
      <c r="F509" t="inlineStr">
        <is>
          <t>No</t>
        </is>
      </c>
      <c r="G509" t="inlineStr">
        <is>
          <t>1</t>
        </is>
      </c>
      <c r="H509" t="inlineStr">
        <is>
          <t>No</t>
        </is>
      </c>
      <c r="I509" t="inlineStr">
        <is>
          <t>No</t>
        </is>
      </c>
      <c r="J509" t="inlineStr">
        <is>
          <t>0</t>
        </is>
      </c>
      <c r="K509" t="inlineStr">
        <is>
          <t>Dillistone, F. W. (Frederick William), 1903-1993.</t>
        </is>
      </c>
      <c r="L509" t="inlineStr">
        <is>
          <t>Philadelphia, Westminster Press [1968]</t>
        </is>
      </c>
      <c r="M509" t="inlineStr">
        <is>
          <t>1968</t>
        </is>
      </c>
      <c r="O509" t="inlineStr">
        <is>
          <t>eng</t>
        </is>
      </c>
      <c r="P509" t="inlineStr">
        <is>
          <t>pau</t>
        </is>
      </c>
      <c r="R509" t="inlineStr">
        <is>
          <t xml:space="preserve">BT </t>
        </is>
      </c>
      <c r="S509" t="n">
        <v>8</v>
      </c>
      <c r="T509" t="n">
        <v>8</v>
      </c>
      <c r="U509" t="inlineStr">
        <is>
          <t>1996-12-11</t>
        </is>
      </c>
      <c r="V509" t="inlineStr">
        <is>
          <t>1996-12-11</t>
        </is>
      </c>
      <c r="W509" t="inlineStr">
        <is>
          <t>1991-08-14</t>
        </is>
      </c>
      <c r="X509" t="inlineStr">
        <is>
          <t>1991-08-14</t>
        </is>
      </c>
      <c r="Y509" t="n">
        <v>340</v>
      </c>
      <c r="Z509" t="n">
        <v>306</v>
      </c>
      <c r="AA509" t="n">
        <v>361</v>
      </c>
      <c r="AB509" t="n">
        <v>2</v>
      </c>
      <c r="AC509" t="n">
        <v>2</v>
      </c>
      <c r="AD509" t="n">
        <v>26</v>
      </c>
      <c r="AE509" t="n">
        <v>28</v>
      </c>
      <c r="AF509" t="n">
        <v>9</v>
      </c>
      <c r="AG509" t="n">
        <v>11</v>
      </c>
      <c r="AH509" t="n">
        <v>6</v>
      </c>
      <c r="AI509" t="n">
        <v>6</v>
      </c>
      <c r="AJ509" t="n">
        <v>16</v>
      </c>
      <c r="AK509" t="n">
        <v>18</v>
      </c>
      <c r="AL509" t="n">
        <v>1</v>
      </c>
      <c r="AM509" t="n">
        <v>1</v>
      </c>
      <c r="AN509" t="n">
        <v>0</v>
      </c>
      <c r="AO509" t="n">
        <v>0</v>
      </c>
      <c r="AP509" t="inlineStr">
        <is>
          <t>No</t>
        </is>
      </c>
      <c r="AQ509" t="inlineStr">
        <is>
          <t>Yes</t>
        </is>
      </c>
      <c r="AR509">
        <f>HYPERLINK("http://catalog.hathitrust.org/Record/001412146","HathiTrust Record")</f>
        <v/>
      </c>
      <c r="AS509">
        <f>HYPERLINK("https://creighton-primo.hosted.exlibrisgroup.com/primo-explore/search?tab=default_tab&amp;search_scope=EVERYTHING&amp;vid=01CRU&amp;lang=en_US&amp;offset=0&amp;query=any,contains,991002778129702656","Catalog Record")</f>
        <v/>
      </c>
      <c r="AT509">
        <f>HYPERLINK("http://www.worldcat.org/oclc/439404","WorldCat Record")</f>
        <v/>
      </c>
      <c r="AU509" t="inlineStr">
        <is>
          <t>59392670:eng</t>
        </is>
      </c>
      <c r="AV509" t="inlineStr">
        <is>
          <t>439404</t>
        </is>
      </c>
      <c r="AW509" t="inlineStr">
        <is>
          <t>991002778129702656</t>
        </is>
      </c>
      <c r="AX509" t="inlineStr">
        <is>
          <t>991002778129702656</t>
        </is>
      </c>
      <c r="AY509" t="inlineStr">
        <is>
          <t>2266587390002656</t>
        </is>
      </c>
      <c r="AZ509" t="inlineStr">
        <is>
          <t>BOOK</t>
        </is>
      </c>
      <c r="BC509" t="inlineStr">
        <is>
          <t>32285000712686</t>
        </is>
      </c>
      <c r="BD509" t="inlineStr">
        <is>
          <t>893899215</t>
        </is>
      </c>
    </row>
    <row r="510">
      <c r="A510" t="inlineStr">
        <is>
          <t>No</t>
        </is>
      </c>
      <c r="B510" t="inlineStr">
        <is>
          <t>BT265.2 .T87 1952</t>
        </is>
      </c>
      <c r="C510" t="inlineStr">
        <is>
          <t>0                      BT 0265200T  87          1952</t>
        </is>
      </c>
      <c r="D510" t="inlineStr">
        <is>
          <t>The patristic doctrine of redemption : a study of the development of doctrine during the first five centuries.</t>
        </is>
      </c>
      <c r="F510" t="inlineStr">
        <is>
          <t>No</t>
        </is>
      </c>
      <c r="G510" t="inlineStr">
        <is>
          <t>1</t>
        </is>
      </c>
      <c r="H510" t="inlineStr">
        <is>
          <t>No</t>
        </is>
      </c>
      <c r="I510" t="inlineStr">
        <is>
          <t>No</t>
        </is>
      </c>
      <c r="J510" t="inlineStr">
        <is>
          <t>0</t>
        </is>
      </c>
      <c r="K510" t="inlineStr">
        <is>
          <t>Turner, H. E. W. (Henry Ernest William), 1907-1995.</t>
        </is>
      </c>
      <c r="L510" t="inlineStr">
        <is>
          <t>London : Mowbray, 1952.</t>
        </is>
      </c>
      <c r="M510" t="inlineStr">
        <is>
          <t>1952</t>
        </is>
      </c>
      <c r="O510" t="inlineStr">
        <is>
          <t>eng</t>
        </is>
      </c>
      <c r="P510" t="inlineStr">
        <is>
          <t>enk</t>
        </is>
      </c>
      <c r="R510" t="inlineStr">
        <is>
          <t xml:space="preserve">BT </t>
        </is>
      </c>
      <c r="S510" t="n">
        <v>7</v>
      </c>
      <c r="T510" t="n">
        <v>7</v>
      </c>
      <c r="U510" t="inlineStr">
        <is>
          <t>1999-09-09</t>
        </is>
      </c>
      <c r="V510" t="inlineStr">
        <is>
          <t>1999-09-09</t>
        </is>
      </c>
      <c r="W510" t="inlineStr">
        <is>
          <t>1991-08-14</t>
        </is>
      </c>
      <c r="X510" t="inlineStr">
        <is>
          <t>1991-08-14</t>
        </is>
      </c>
      <c r="Y510" t="n">
        <v>263</v>
      </c>
      <c r="Z510" t="n">
        <v>188</v>
      </c>
      <c r="AA510" t="n">
        <v>210</v>
      </c>
      <c r="AB510" t="n">
        <v>3</v>
      </c>
      <c r="AC510" t="n">
        <v>3</v>
      </c>
      <c r="AD510" t="n">
        <v>19</v>
      </c>
      <c r="AE510" t="n">
        <v>19</v>
      </c>
      <c r="AF510" t="n">
        <v>6</v>
      </c>
      <c r="AG510" t="n">
        <v>6</v>
      </c>
      <c r="AH510" t="n">
        <v>3</v>
      </c>
      <c r="AI510" t="n">
        <v>3</v>
      </c>
      <c r="AJ510" t="n">
        <v>13</v>
      </c>
      <c r="AK510" t="n">
        <v>13</v>
      </c>
      <c r="AL510" t="n">
        <v>1</v>
      </c>
      <c r="AM510" t="n">
        <v>1</v>
      </c>
      <c r="AN510" t="n">
        <v>0</v>
      </c>
      <c r="AO510" t="n">
        <v>0</v>
      </c>
      <c r="AP510" t="inlineStr">
        <is>
          <t>No</t>
        </is>
      </c>
      <c r="AQ510" t="inlineStr">
        <is>
          <t>Yes</t>
        </is>
      </c>
      <c r="AR510">
        <f>HYPERLINK("http://catalog.hathitrust.org/Record/006762588","HathiTrust Record")</f>
        <v/>
      </c>
      <c r="AS510">
        <f>HYPERLINK("https://creighton-primo.hosted.exlibrisgroup.com/primo-explore/search?tab=default_tab&amp;search_scope=EVERYTHING&amp;vid=01CRU&amp;lang=en_US&amp;offset=0&amp;query=any,contains,991004012319702656","Catalog Record")</f>
        <v/>
      </c>
      <c r="AT510">
        <f>HYPERLINK("http://www.worldcat.org/oclc/2094017","WorldCat Record")</f>
        <v/>
      </c>
      <c r="AU510" t="inlineStr">
        <is>
          <t>377323297:eng</t>
        </is>
      </c>
      <c r="AV510" t="inlineStr">
        <is>
          <t>2094017</t>
        </is>
      </c>
      <c r="AW510" t="inlineStr">
        <is>
          <t>991004012319702656</t>
        </is>
      </c>
      <c r="AX510" t="inlineStr">
        <is>
          <t>991004012319702656</t>
        </is>
      </c>
      <c r="AY510" t="inlineStr">
        <is>
          <t>2268107800002656</t>
        </is>
      </c>
      <c r="AZ510" t="inlineStr">
        <is>
          <t>BOOK</t>
        </is>
      </c>
      <c r="BC510" t="inlineStr">
        <is>
          <t>32285000712702</t>
        </is>
      </c>
      <c r="BD510" t="inlineStr">
        <is>
          <t>893605530</t>
        </is>
      </c>
    </row>
    <row r="511">
      <c r="A511" t="inlineStr">
        <is>
          <t>No</t>
        </is>
      </c>
      <c r="B511" t="inlineStr">
        <is>
          <t>BT2665 .L66 1909</t>
        </is>
      </c>
      <c r="C511" t="inlineStr">
        <is>
          <t>0                      BT 2665000L  66          1909</t>
        </is>
      </c>
      <c r="D511" t="inlineStr">
        <is>
          <t>The eucharistic triduum : an aid to priests in preaching frequent and daily communion according to the decrees of Pius X / Translated from the French of père Jules Lintelo, S.J., by F.M. de Zulueta, S.J.</t>
        </is>
      </c>
      <c r="F511" t="inlineStr">
        <is>
          <t>No</t>
        </is>
      </c>
      <c r="G511" t="inlineStr">
        <is>
          <t>1</t>
        </is>
      </c>
      <c r="H511" t="inlineStr">
        <is>
          <t>No</t>
        </is>
      </c>
      <c r="I511" t="inlineStr">
        <is>
          <t>No</t>
        </is>
      </c>
      <c r="J511" t="inlineStr">
        <is>
          <t>0</t>
        </is>
      </c>
      <c r="K511" t="inlineStr">
        <is>
          <t>Lintelo, Jules, -1919.</t>
        </is>
      </c>
      <c r="L511" t="inlineStr">
        <is>
          <t>London : R. &amp; T. Washbourne, ltd. ; New York [etc.] : Benziger Bros., 1909.</t>
        </is>
      </c>
      <c r="M511" t="inlineStr">
        <is>
          <t>1909</t>
        </is>
      </c>
      <c r="O511" t="inlineStr">
        <is>
          <t>eng</t>
        </is>
      </c>
      <c r="P511" t="inlineStr">
        <is>
          <t xml:space="preserve">xx </t>
        </is>
      </c>
      <c r="R511" t="inlineStr">
        <is>
          <t xml:space="preserve">BT </t>
        </is>
      </c>
      <c r="S511" t="n">
        <v>2</v>
      </c>
      <c r="T511" t="n">
        <v>2</v>
      </c>
      <c r="U511" t="inlineStr">
        <is>
          <t>1993-09-27</t>
        </is>
      </c>
      <c r="V511" t="inlineStr">
        <is>
          <t>1993-09-27</t>
        </is>
      </c>
      <c r="W511" t="inlineStr">
        <is>
          <t>1991-11-07</t>
        </is>
      </c>
      <c r="X511" t="inlineStr">
        <is>
          <t>1991-11-07</t>
        </is>
      </c>
      <c r="Y511" t="n">
        <v>24</v>
      </c>
      <c r="Z511" t="n">
        <v>21</v>
      </c>
      <c r="AA511" t="n">
        <v>40</v>
      </c>
      <c r="AB511" t="n">
        <v>1</v>
      </c>
      <c r="AC511" t="n">
        <v>1</v>
      </c>
      <c r="AD511" t="n">
        <v>4</v>
      </c>
      <c r="AE511" t="n">
        <v>9</v>
      </c>
      <c r="AF511" t="n">
        <v>0</v>
      </c>
      <c r="AG511" t="n">
        <v>1</v>
      </c>
      <c r="AH511" t="n">
        <v>3</v>
      </c>
      <c r="AI511" t="n">
        <v>4</v>
      </c>
      <c r="AJ511" t="n">
        <v>2</v>
      </c>
      <c r="AK511" t="n">
        <v>7</v>
      </c>
      <c r="AL511" t="n">
        <v>0</v>
      </c>
      <c r="AM511" t="n">
        <v>0</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HYPERLINK("https://creighton-primo.hosted.exlibrisgroup.com/primo-explore/search?tab=default_tab&amp;search_scope=EVERYTHING&amp;vid=01CRU&amp;lang=en_US&amp;offset=0&amp;query=any,contains,991004524179702656","Catalog Record")</f>
        <v/>
      </c>
      <c r="AT511">
        <f>HYPERLINK("http://www.worldcat.org/oclc/3835910","WorldCat Record")</f>
        <v/>
      </c>
      <c r="AU511" t="inlineStr">
        <is>
          <t>13104227:eng</t>
        </is>
      </c>
      <c r="AV511" t="inlineStr">
        <is>
          <t>3835910</t>
        </is>
      </c>
      <c r="AW511" t="inlineStr">
        <is>
          <t>991004524179702656</t>
        </is>
      </c>
      <c r="AX511" t="inlineStr">
        <is>
          <t>991004524179702656</t>
        </is>
      </c>
      <c r="AY511" t="inlineStr">
        <is>
          <t>2256906000002656</t>
        </is>
      </c>
      <c r="AZ511" t="inlineStr">
        <is>
          <t>BOOK</t>
        </is>
      </c>
      <c r="BC511" t="inlineStr">
        <is>
          <t>32285000809664</t>
        </is>
      </c>
      <c r="BD511" t="inlineStr">
        <is>
          <t>893325471</t>
        </is>
      </c>
    </row>
    <row r="512">
      <c r="A512" t="inlineStr">
        <is>
          <t>No</t>
        </is>
      </c>
      <c r="B512" t="inlineStr">
        <is>
          <t>BT27 .G46 1988</t>
        </is>
      </c>
      <c r="C512" t="inlineStr">
        <is>
          <t>0                      BT 0027000G  46          1988</t>
        </is>
      </c>
      <c r="D512" t="inlineStr">
        <is>
          <t>Theology of the reformers / Timothy George.</t>
        </is>
      </c>
      <c r="F512" t="inlineStr">
        <is>
          <t>No</t>
        </is>
      </c>
      <c r="G512" t="inlineStr">
        <is>
          <t>1</t>
        </is>
      </c>
      <c r="H512" t="inlineStr">
        <is>
          <t>No</t>
        </is>
      </c>
      <c r="I512" t="inlineStr">
        <is>
          <t>No</t>
        </is>
      </c>
      <c r="J512" t="inlineStr">
        <is>
          <t>0</t>
        </is>
      </c>
      <c r="K512" t="inlineStr">
        <is>
          <t>George, Timothy.</t>
        </is>
      </c>
      <c r="L512" t="inlineStr">
        <is>
          <t>Nashville, Tenn. : Broadman Press, c1988.</t>
        </is>
      </c>
      <c r="M512" t="inlineStr">
        <is>
          <t>1988</t>
        </is>
      </c>
      <c r="O512" t="inlineStr">
        <is>
          <t>eng</t>
        </is>
      </c>
      <c r="P512" t="inlineStr">
        <is>
          <t>tnu</t>
        </is>
      </c>
      <c r="R512" t="inlineStr">
        <is>
          <t xml:space="preserve">BT </t>
        </is>
      </c>
      <c r="S512" t="n">
        <v>8</v>
      </c>
      <c r="T512" t="n">
        <v>8</v>
      </c>
      <c r="U512" t="inlineStr">
        <is>
          <t>2005-11-11</t>
        </is>
      </c>
      <c r="V512" t="inlineStr">
        <is>
          <t>2005-11-11</t>
        </is>
      </c>
      <c r="W512" t="inlineStr">
        <is>
          <t>1991-06-14</t>
        </is>
      </c>
      <c r="X512" t="inlineStr">
        <is>
          <t>1991-06-14</t>
        </is>
      </c>
      <c r="Y512" t="n">
        <v>705</v>
      </c>
      <c r="Z512" t="n">
        <v>588</v>
      </c>
      <c r="AA512" t="n">
        <v>632</v>
      </c>
      <c r="AB512" t="n">
        <v>7</v>
      </c>
      <c r="AC512" t="n">
        <v>8</v>
      </c>
      <c r="AD512" t="n">
        <v>30</v>
      </c>
      <c r="AE512" t="n">
        <v>32</v>
      </c>
      <c r="AF512" t="n">
        <v>12</v>
      </c>
      <c r="AG512" t="n">
        <v>13</v>
      </c>
      <c r="AH512" t="n">
        <v>5</v>
      </c>
      <c r="AI512" t="n">
        <v>6</v>
      </c>
      <c r="AJ512" t="n">
        <v>18</v>
      </c>
      <c r="AK512" t="n">
        <v>18</v>
      </c>
      <c r="AL512" t="n">
        <v>4</v>
      </c>
      <c r="AM512" t="n">
        <v>5</v>
      </c>
      <c r="AN512" t="n">
        <v>0</v>
      </c>
      <c r="AO512" t="n">
        <v>0</v>
      </c>
      <c r="AP512" t="inlineStr">
        <is>
          <t>No</t>
        </is>
      </c>
      <c r="AQ512" t="inlineStr">
        <is>
          <t>Yes</t>
        </is>
      </c>
      <c r="AR512">
        <f>HYPERLINK("http://catalog.hathitrust.org/Record/001842143","HathiTrust Record")</f>
        <v/>
      </c>
      <c r="AS512">
        <f>HYPERLINK("https://creighton-primo.hosted.exlibrisgroup.com/primo-explore/search?tab=default_tab&amp;search_scope=EVERYTHING&amp;vid=01CRU&amp;lang=en_US&amp;offset=0&amp;query=any,contains,991001175029702656","Catalog Record")</f>
        <v/>
      </c>
      <c r="AT512">
        <f>HYPERLINK("http://www.worldcat.org/oclc/16986058","WorldCat Record")</f>
        <v/>
      </c>
      <c r="AU512" t="inlineStr">
        <is>
          <t>10552167:eng</t>
        </is>
      </c>
      <c r="AV512" t="inlineStr">
        <is>
          <t>16986058</t>
        </is>
      </c>
      <c r="AW512" t="inlineStr">
        <is>
          <t>991001175029702656</t>
        </is>
      </c>
      <c r="AX512" t="inlineStr">
        <is>
          <t>991001175029702656</t>
        </is>
      </c>
      <c r="AY512" t="inlineStr">
        <is>
          <t>2272300140002656</t>
        </is>
      </c>
      <c r="AZ512" t="inlineStr">
        <is>
          <t>BOOK</t>
        </is>
      </c>
      <c r="BB512" t="inlineStr">
        <is>
          <t>9780805465730</t>
        </is>
      </c>
      <c r="BC512" t="inlineStr">
        <is>
          <t>32285000686419</t>
        </is>
      </c>
      <c r="BD512" t="inlineStr">
        <is>
          <t>893709053</t>
        </is>
      </c>
    </row>
    <row r="513">
      <c r="A513" t="inlineStr">
        <is>
          <t>No</t>
        </is>
      </c>
      <c r="B513" t="inlineStr">
        <is>
          <t>BT27 .H8</t>
        </is>
      </c>
      <c r="C513" t="inlineStr">
        <is>
          <t>0                      BT 0027000H  8</t>
        </is>
      </c>
      <c r="D513" t="inlineStr">
        <is>
          <t>Theology of the English reformers / Philip Edgcumbe Hughes.</t>
        </is>
      </c>
      <c r="F513" t="inlineStr">
        <is>
          <t>No</t>
        </is>
      </c>
      <c r="G513" t="inlineStr">
        <is>
          <t>1</t>
        </is>
      </c>
      <c r="H513" t="inlineStr">
        <is>
          <t>No</t>
        </is>
      </c>
      <c r="I513" t="inlineStr">
        <is>
          <t>No</t>
        </is>
      </c>
      <c r="J513" t="inlineStr">
        <is>
          <t>0</t>
        </is>
      </c>
      <c r="K513" t="inlineStr">
        <is>
          <t>Hughes, Philip Edgcumbe.</t>
        </is>
      </c>
      <c r="L513" t="inlineStr">
        <is>
          <t>Grand Rapids, Eerdmans [1966, c1965]</t>
        </is>
      </c>
      <c r="M513" t="inlineStr">
        <is>
          <t>1966</t>
        </is>
      </c>
      <c r="O513" t="inlineStr">
        <is>
          <t>eng</t>
        </is>
      </c>
      <c r="P513" t="inlineStr">
        <is>
          <t>miu</t>
        </is>
      </c>
      <c r="R513" t="inlineStr">
        <is>
          <t xml:space="preserve">BT </t>
        </is>
      </c>
      <c r="S513" t="n">
        <v>3</v>
      </c>
      <c r="T513" t="n">
        <v>3</v>
      </c>
      <c r="U513" t="inlineStr">
        <is>
          <t>2002-12-03</t>
        </is>
      </c>
      <c r="V513" t="inlineStr">
        <is>
          <t>2002-12-03</t>
        </is>
      </c>
      <c r="W513" t="inlineStr">
        <is>
          <t>1991-06-14</t>
        </is>
      </c>
      <c r="X513" t="inlineStr">
        <is>
          <t>1991-06-14</t>
        </is>
      </c>
      <c r="Y513" t="n">
        <v>284</v>
      </c>
      <c r="Z513" t="n">
        <v>263</v>
      </c>
      <c r="AA513" t="n">
        <v>447</v>
      </c>
      <c r="AB513" t="n">
        <v>2</v>
      </c>
      <c r="AC513" t="n">
        <v>3</v>
      </c>
      <c r="AD513" t="n">
        <v>16</v>
      </c>
      <c r="AE513" t="n">
        <v>23</v>
      </c>
      <c r="AF513" t="n">
        <v>7</v>
      </c>
      <c r="AG513" t="n">
        <v>8</v>
      </c>
      <c r="AH513" t="n">
        <v>4</v>
      </c>
      <c r="AI513" t="n">
        <v>5</v>
      </c>
      <c r="AJ513" t="n">
        <v>8</v>
      </c>
      <c r="AK513" t="n">
        <v>14</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HYPERLINK("https://creighton-primo.hosted.exlibrisgroup.com/primo-explore/search?tab=default_tab&amp;search_scope=EVERYTHING&amp;vid=01CRU&amp;lang=en_US&amp;offset=0&amp;query=any,contains,991003119619702656","Catalog Record")</f>
        <v/>
      </c>
      <c r="AT513">
        <f>HYPERLINK("http://www.worldcat.org/oclc/665320","WorldCat Record")</f>
        <v/>
      </c>
      <c r="AU513" t="inlineStr">
        <is>
          <t>1671516:eng</t>
        </is>
      </c>
      <c r="AV513" t="inlineStr">
        <is>
          <t>665320</t>
        </is>
      </c>
      <c r="AW513" t="inlineStr">
        <is>
          <t>991003119619702656</t>
        </is>
      </c>
      <c r="AX513" t="inlineStr">
        <is>
          <t>991003119619702656</t>
        </is>
      </c>
      <c r="AY513" t="inlineStr">
        <is>
          <t>2272659220002656</t>
        </is>
      </c>
      <c r="AZ513" t="inlineStr">
        <is>
          <t>BOOK</t>
        </is>
      </c>
      <c r="BC513" t="inlineStr">
        <is>
          <t>32285000686427</t>
        </is>
      </c>
      <c r="BD513" t="inlineStr">
        <is>
          <t>893233836</t>
        </is>
      </c>
    </row>
    <row r="514">
      <c r="A514" t="inlineStr">
        <is>
          <t>No</t>
        </is>
      </c>
      <c r="B514" t="inlineStr">
        <is>
          <t>BT27 .O48 1981</t>
        </is>
      </c>
      <c r="C514" t="inlineStr">
        <is>
          <t>0                      BT 0027000O  48          1981</t>
        </is>
      </c>
      <c r="D514" t="inlineStr">
        <is>
          <t>Rome and the Renaissance : studies in culture and religion / John W. O'Malley.</t>
        </is>
      </c>
      <c r="F514" t="inlineStr">
        <is>
          <t>No</t>
        </is>
      </c>
      <c r="G514" t="inlineStr">
        <is>
          <t>1</t>
        </is>
      </c>
      <c r="H514" t="inlineStr">
        <is>
          <t>No</t>
        </is>
      </c>
      <c r="I514" t="inlineStr">
        <is>
          <t>No</t>
        </is>
      </c>
      <c r="J514" t="inlineStr">
        <is>
          <t>0</t>
        </is>
      </c>
      <c r="K514" t="inlineStr">
        <is>
          <t>O'Malley, John W.</t>
        </is>
      </c>
      <c r="L514" t="inlineStr">
        <is>
          <t>London : Variorum Reprints, 1981.</t>
        </is>
      </c>
      <c r="M514" t="inlineStr">
        <is>
          <t>1981</t>
        </is>
      </c>
      <c r="O514" t="inlineStr">
        <is>
          <t>eng</t>
        </is>
      </c>
      <c r="P514" t="inlineStr">
        <is>
          <t>enk</t>
        </is>
      </c>
      <c r="Q514" t="inlineStr">
        <is>
          <t>Collected studies series ; CS127</t>
        </is>
      </c>
      <c r="R514" t="inlineStr">
        <is>
          <t xml:space="preserve">BT </t>
        </is>
      </c>
      <c r="S514" t="n">
        <v>7</v>
      </c>
      <c r="T514" t="n">
        <v>7</v>
      </c>
      <c r="U514" t="inlineStr">
        <is>
          <t>1999-04-16</t>
        </is>
      </c>
      <c r="V514" t="inlineStr">
        <is>
          <t>1999-04-16</t>
        </is>
      </c>
      <c r="W514" t="inlineStr">
        <is>
          <t>1990-03-13</t>
        </is>
      </c>
      <c r="X514" t="inlineStr">
        <is>
          <t>1990-03-13</t>
        </is>
      </c>
      <c r="Y514" t="n">
        <v>267</v>
      </c>
      <c r="Z514" t="n">
        <v>157</v>
      </c>
      <c r="AA514" t="n">
        <v>159</v>
      </c>
      <c r="AB514" t="n">
        <v>2</v>
      </c>
      <c r="AC514" t="n">
        <v>2</v>
      </c>
      <c r="AD514" t="n">
        <v>18</v>
      </c>
      <c r="AE514" t="n">
        <v>18</v>
      </c>
      <c r="AF514" t="n">
        <v>3</v>
      </c>
      <c r="AG514" t="n">
        <v>3</v>
      </c>
      <c r="AH514" t="n">
        <v>6</v>
      </c>
      <c r="AI514" t="n">
        <v>6</v>
      </c>
      <c r="AJ514" t="n">
        <v>14</v>
      </c>
      <c r="AK514" t="n">
        <v>14</v>
      </c>
      <c r="AL514" t="n">
        <v>1</v>
      </c>
      <c r="AM514" t="n">
        <v>1</v>
      </c>
      <c r="AN514" t="n">
        <v>0</v>
      </c>
      <c r="AO514" t="n">
        <v>0</v>
      </c>
      <c r="AP514" t="inlineStr">
        <is>
          <t>No</t>
        </is>
      </c>
      <c r="AQ514" t="inlineStr">
        <is>
          <t>Yes</t>
        </is>
      </c>
      <c r="AR514">
        <f>HYPERLINK("http://catalog.hathitrust.org/Record/000152670","HathiTrust Record")</f>
        <v/>
      </c>
      <c r="AS514">
        <f>HYPERLINK("https://creighton-primo.hosted.exlibrisgroup.com/primo-explore/search?tab=default_tab&amp;search_scope=EVERYTHING&amp;vid=01CRU&amp;lang=en_US&amp;offset=0&amp;query=any,contains,991005164719702656","Catalog Record")</f>
        <v/>
      </c>
      <c r="AT514">
        <f>HYPERLINK("http://www.worldcat.org/oclc/7313437","WorldCat Record")</f>
        <v/>
      </c>
      <c r="AU514" t="inlineStr">
        <is>
          <t>479446074:eng</t>
        </is>
      </c>
      <c r="AV514" t="inlineStr">
        <is>
          <t>7313437</t>
        </is>
      </c>
      <c r="AW514" t="inlineStr">
        <is>
          <t>991005164719702656</t>
        </is>
      </c>
      <c r="AX514" t="inlineStr">
        <is>
          <t>991005164719702656</t>
        </is>
      </c>
      <c r="AY514" t="inlineStr">
        <is>
          <t>2257025800002656</t>
        </is>
      </c>
      <c r="AZ514" t="inlineStr">
        <is>
          <t>BOOK</t>
        </is>
      </c>
      <c r="BB514" t="inlineStr">
        <is>
          <t>9780860780731</t>
        </is>
      </c>
      <c r="BC514" t="inlineStr">
        <is>
          <t>32285000079599</t>
        </is>
      </c>
      <c r="BD514" t="inlineStr">
        <is>
          <t>893254569</t>
        </is>
      </c>
    </row>
    <row r="515">
      <c r="A515" t="inlineStr">
        <is>
          <t>No</t>
        </is>
      </c>
      <c r="B515" t="inlineStr">
        <is>
          <t>BT27 .P4 1963</t>
        </is>
      </c>
      <c r="C515" t="inlineStr">
        <is>
          <t>0                      BT 0027000P  4           1963</t>
        </is>
      </c>
      <c r="D515" t="inlineStr">
        <is>
          <t>From Luther to Kierkegaard; a study in the history of theology / by Jaroslav Pelikan.</t>
        </is>
      </c>
      <c r="F515" t="inlineStr">
        <is>
          <t>No</t>
        </is>
      </c>
      <c r="G515" t="inlineStr">
        <is>
          <t>1</t>
        </is>
      </c>
      <c r="H515" t="inlineStr">
        <is>
          <t>No</t>
        </is>
      </c>
      <c r="I515" t="inlineStr">
        <is>
          <t>No</t>
        </is>
      </c>
      <c r="J515" t="inlineStr">
        <is>
          <t>0</t>
        </is>
      </c>
      <c r="K515" t="inlineStr">
        <is>
          <t>Pelikan, Jaroslav, 1923-2006.</t>
        </is>
      </c>
      <c r="L515" t="inlineStr">
        <is>
          <t>St. Louis, Concordia Pub. House [1963, c1950]</t>
        </is>
      </c>
      <c r="M515" t="inlineStr">
        <is>
          <t>1963</t>
        </is>
      </c>
      <c r="N515" t="inlineStr">
        <is>
          <t>[2d ed.]</t>
        </is>
      </c>
      <c r="O515" t="inlineStr">
        <is>
          <t>eng</t>
        </is>
      </c>
      <c r="P515" t="inlineStr">
        <is>
          <t>___</t>
        </is>
      </c>
      <c r="R515" t="inlineStr">
        <is>
          <t xml:space="preserve">BT </t>
        </is>
      </c>
      <c r="S515" t="n">
        <v>1</v>
      </c>
      <c r="T515" t="n">
        <v>1</v>
      </c>
      <c r="U515" t="inlineStr">
        <is>
          <t>1993-01-24</t>
        </is>
      </c>
      <c r="V515" t="inlineStr">
        <is>
          <t>1993-01-24</t>
        </is>
      </c>
      <c r="W515" t="inlineStr">
        <is>
          <t>1991-06-14</t>
        </is>
      </c>
      <c r="X515" t="inlineStr">
        <is>
          <t>1991-06-14</t>
        </is>
      </c>
      <c r="Y515" t="n">
        <v>291</v>
      </c>
      <c r="Z515" t="n">
        <v>260</v>
      </c>
      <c r="AA515" t="n">
        <v>401</v>
      </c>
      <c r="AB515" t="n">
        <v>6</v>
      </c>
      <c r="AC515" t="n">
        <v>7</v>
      </c>
      <c r="AD515" t="n">
        <v>24</v>
      </c>
      <c r="AE515" t="n">
        <v>30</v>
      </c>
      <c r="AF515" t="n">
        <v>7</v>
      </c>
      <c r="AG515" t="n">
        <v>11</v>
      </c>
      <c r="AH515" t="n">
        <v>6</v>
      </c>
      <c r="AI515" t="n">
        <v>6</v>
      </c>
      <c r="AJ515" t="n">
        <v>13</v>
      </c>
      <c r="AK515" t="n">
        <v>15</v>
      </c>
      <c r="AL515" t="n">
        <v>4</v>
      </c>
      <c r="AM515" t="n">
        <v>5</v>
      </c>
      <c r="AN515" t="n">
        <v>0</v>
      </c>
      <c r="AO515" t="n">
        <v>0</v>
      </c>
      <c r="AP515" t="inlineStr">
        <is>
          <t>No</t>
        </is>
      </c>
      <c r="AQ515" t="inlineStr">
        <is>
          <t>Yes</t>
        </is>
      </c>
      <c r="AR515">
        <f>HYPERLINK("http://catalog.hathitrust.org/Record/001411546","HathiTrust Record")</f>
        <v/>
      </c>
      <c r="AS515">
        <f>HYPERLINK("https://creighton-primo.hosted.exlibrisgroup.com/primo-explore/search?tab=default_tab&amp;search_scope=EVERYTHING&amp;vid=01CRU&amp;lang=en_US&amp;offset=0&amp;query=any,contains,991003441259702656","Catalog Record")</f>
        <v/>
      </c>
      <c r="AT515">
        <f>HYPERLINK("http://www.worldcat.org/oclc/977750","WorldCat Record")</f>
        <v/>
      </c>
      <c r="AU515" t="inlineStr">
        <is>
          <t>298913261:eng</t>
        </is>
      </c>
      <c r="AV515" t="inlineStr">
        <is>
          <t>977750</t>
        </is>
      </c>
      <c r="AW515" t="inlineStr">
        <is>
          <t>991003441259702656</t>
        </is>
      </c>
      <c r="AX515" t="inlineStr">
        <is>
          <t>991003441259702656</t>
        </is>
      </c>
      <c r="AY515" t="inlineStr">
        <is>
          <t>2260951280002656</t>
        </is>
      </c>
      <c r="AZ515" t="inlineStr">
        <is>
          <t>BOOK</t>
        </is>
      </c>
      <c r="BC515" t="inlineStr">
        <is>
          <t>32285000686435</t>
        </is>
      </c>
      <c r="BD515" t="inlineStr">
        <is>
          <t>893330302</t>
        </is>
      </c>
    </row>
    <row r="516">
      <c r="A516" t="inlineStr">
        <is>
          <t>No</t>
        </is>
      </c>
      <c r="B516" t="inlineStr">
        <is>
          <t>BT27 .R36</t>
        </is>
      </c>
      <c r="C516" t="inlineStr">
        <is>
          <t>0                      BT 0027000R  36</t>
        </is>
      </c>
      <c r="D516" t="inlineStr">
        <is>
          <t>Religious thought in the Reformation / Bernard M.G. Reardon.</t>
        </is>
      </c>
      <c r="F516" t="inlineStr">
        <is>
          <t>No</t>
        </is>
      </c>
      <c r="G516" t="inlineStr">
        <is>
          <t>1</t>
        </is>
      </c>
      <c r="H516" t="inlineStr">
        <is>
          <t>No</t>
        </is>
      </c>
      <c r="I516" t="inlineStr">
        <is>
          <t>No</t>
        </is>
      </c>
      <c r="J516" t="inlineStr">
        <is>
          <t>0</t>
        </is>
      </c>
      <c r="K516" t="inlineStr">
        <is>
          <t>Reardon, Bernard M. G.</t>
        </is>
      </c>
      <c r="L516" t="inlineStr">
        <is>
          <t>London ; New York : Longman, 1981.</t>
        </is>
      </c>
      <c r="M516" t="inlineStr">
        <is>
          <t>1981</t>
        </is>
      </c>
      <c r="O516" t="inlineStr">
        <is>
          <t>eng</t>
        </is>
      </c>
      <c r="P516" t="inlineStr">
        <is>
          <t>enk</t>
        </is>
      </c>
      <c r="R516" t="inlineStr">
        <is>
          <t xml:space="preserve">BT </t>
        </is>
      </c>
      <c r="S516" t="n">
        <v>7</v>
      </c>
      <c r="T516" t="n">
        <v>7</v>
      </c>
      <c r="U516" t="inlineStr">
        <is>
          <t>2005-04-12</t>
        </is>
      </c>
      <c r="V516" t="inlineStr">
        <is>
          <t>2005-04-12</t>
        </is>
      </c>
      <c r="W516" t="inlineStr">
        <is>
          <t>1991-06-14</t>
        </is>
      </c>
      <c r="X516" t="inlineStr">
        <is>
          <t>1991-06-14</t>
        </is>
      </c>
      <c r="Y516" t="n">
        <v>791</v>
      </c>
      <c r="Z516" t="n">
        <v>581</v>
      </c>
      <c r="AA516" t="n">
        <v>663</v>
      </c>
      <c r="AB516" t="n">
        <v>4</v>
      </c>
      <c r="AC516" t="n">
        <v>5</v>
      </c>
      <c r="AD516" t="n">
        <v>30</v>
      </c>
      <c r="AE516" t="n">
        <v>35</v>
      </c>
      <c r="AF516" t="n">
        <v>14</v>
      </c>
      <c r="AG516" t="n">
        <v>15</v>
      </c>
      <c r="AH516" t="n">
        <v>5</v>
      </c>
      <c r="AI516" t="n">
        <v>6</v>
      </c>
      <c r="AJ516" t="n">
        <v>16</v>
      </c>
      <c r="AK516" t="n">
        <v>19</v>
      </c>
      <c r="AL516" t="n">
        <v>3</v>
      </c>
      <c r="AM516" t="n">
        <v>4</v>
      </c>
      <c r="AN516" t="n">
        <v>0</v>
      </c>
      <c r="AO516" t="n">
        <v>0</v>
      </c>
      <c r="AP516" t="inlineStr">
        <is>
          <t>No</t>
        </is>
      </c>
      <c r="AQ516" t="inlineStr">
        <is>
          <t>Yes</t>
        </is>
      </c>
      <c r="AR516">
        <f>HYPERLINK("http://catalog.hathitrust.org/Record/000225786","HathiTrust Record")</f>
        <v/>
      </c>
      <c r="AS516">
        <f>HYPERLINK("https://creighton-primo.hosted.exlibrisgroup.com/primo-explore/search?tab=default_tab&amp;search_scope=EVERYTHING&amp;vid=01CRU&amp;lang=en_US&amp;offset=0&amp;query=any,contains,991005043459702656","Catalog Record")</f>
        <v/>
      </c>
      <c r="AT516">
        <f>HYPERLINK("http://www.worldcat.org/oclc/6813675","WorldCat Record")</f>
        <v/>
      </c>
      <c r="AU516" t="inlineStr">
        <is>
          <t>4917985525:eng</t>
        </is>
      </c>
      <c r="AV516" t="inlineStr">
        <is>
          <t>6813675</t>
        </is>
      </c>
      <c r="AW516" t="inlineStr">
        <is>
          <t>991005043459702656</t>
        </is>
      </c>
      <c r="AX516" t="inlineStr">
        <is>
          <t>991005043459702656</t>
        </is>
      </c>
      <c r="AY516" t="inlineStr">
        <is>
          <t>2268448290002656</t>
        </is>
      </c>
      <c r="AZ516" t="inlineStr">
        <is>
          <t>BOOK</t>
        </is>
      </c>
      <c r="BB516" t="inlineStr">
        <is>
          <t>9780582490307</t>
        </is>
      </c>
      <c r="BC516" t="inlineStr">
        <is>
          <t>32285000686443</t>
        </is>
      </c>
      <c r="BD516" t="inlineStr">
        <is>
          <t>893418300</t>
        </is>
      </c>
    </row>
    <row r="517">
      <c r="A517" t="inlineStr">
        <is>
          <t>No</t>
        </is>
      </c>
      <c r="B517" t="inlineStr">
        <is>
          <t>BT27 .S35</t>
        </is>
      </c>
      <c r="C517" t="inlineStr">
        <is>
          <t>0                      BT 0027000S  35</t>
        </is>
      </c>
      <c r="D517" t="inlineStr">
        <is>
          <t>Historical Protestantism; an historical introduction to Protestant theology / [by] William A. Scott.</t>
        </is>
      </c>
      <c r="F517" t="inlineStr">
        <is>
          <t>No</t>
        </is>
      </c>
      <c r="G517" t="inlineStr">
        <is>
          <t>1</t>
        </is>
      </c>
      <c r="H517" t="inlineStr">
        <is>
          <t>No</t>
        </is>
      </c>
      <c r="I517" t="inlineStr">
        <is>
          <t>No</t>
        </is>
      </c>
      <c r="J517" t="inlineStr">
        <is>
          <t>0</t>
        </is>
      </c>
      <c r="K517" t="inlineStr">
        <is>
          <t>Scott, William A., 1920-</t>
        </is>
      </c>
      <c r="L517" t="inlineStr">
        <is>
          <t>Englewood Cliffs, N.J., Prentice-Hall [1970, c1971]</t>
        </is>
      </c>
      <c r="M517" t="inlineStr">
        <is>
          <t>1970</t>
        </is>
      </c>
      <c r="O517" t="inlineStr">
        <is>
          <t>eng</t>
        </is>
      </c>
      <c r="P517" t="inlineStr">
        <is>
          <t>nju</t>
        </is>
      </c>
      <c r="R517" t="inlineStr">
        <is>
          <t xml:space="preserve">BT </t>
        </is>
      </c>
      <c r="S517" t="n">
        <v>1</v>
      </c>
      <c r="T517" t="n">
        <v>1</v>
      </c>
      <c r="U517" t="inlineStr">
        <is>
          <t>1993-01-24</t>
        </is>
      </c>
      <c r="V517" t="inlineStr">
        <is>
          <t>1993-01-24</t>
        </is>
      </c>
      <c r="W517" t="inlineStr">
        <is>
          <t>1991-06-14</t>
        </is>
      </c>
      <c r="X517" t="inlineStr">
        <is>
          <t>1991-06-14</t>
        </is>
      </c>
      <c r="Y517" t="n">
        <v>458</v>
      </c>
      <c r="Z517" t="n">
        <v>400</v>
      </c>
      <c r="AA517" t="n">
        <v>455</v>
      </c>
      <c r="AB517" t="n">
        <v>3</v>
      </c>
      <c r="AC517" t="n">
        <v>4</v>
      </c>
      <c r="AD517" t="n">
        <v>28</v>
      </c>
      <c r="AE517" t="n">
        <v>32</v>
      </c>
      <c r="AF517" t="n">
        <v>10</v>
      </c>
      <c r="AG517" t="n">
        <v>12</v>
      </c>
      <c r="AH517" t="n">
        <v>7</v>
      </c>
      <c r="AI517" t="n">
        <v>7</v>
      </c>
      <c r="AJ517" t="n">
        <v>19</v>
      </c>
      <c r="AK517" t="n">
        <v>21</v>
      </c>
      <c r="AL517" t="n">
        <v>1</v>
      </c>
      <c r="AM517" t="n">
        <v>2</v>
      </c>
      <c r="AN517" t="n">
        <v>0</v>
      </c>
      <c r="AO517" t="n">
        <v>0</v>
      </c>
      <c r="AP517" t="inlineStr">
        <is>
          <t>No</t>
        </is>
      </c>
      <c r="AQ517" t="inlineStr">
        <is>
          <t>Yes</t>
        </is>
      </c>
      <c r="AR517">
        <f>HYPERLINK("http://catalog.hathitrust.org/Record/001411548","HathiTrust Record")</f>
        <v/>
      </c>
      <c r="AS517">
        <f>HYPERLINK("https://creighton-primo.hosted.exlibrisgroup.com/primo-explore/search?tab=default_tab&amp;search_scope=EVERYTHING&amp;vid=01CRU&amp;lang=en_US&amp;offset=0&amp;query=any,contains,991000623889702656","Catalog Record")</f>
        <v/>
      </c>
      <c r="AT517">
        <f>HYPERLINK("http://www.worldcat.org/oclc/103365","WorldCat Record")</f>
        <v/>
      </c>
      <c r="AU517" t="inlineStr">
        <is>
          <t>422169994:eng</t>
        </is>
      </c>
      <c r="AV517" t="inlineStr">
        <is>
          <t>103365</t>
        </is>
      </c>
      <c r="AW517" t="inlineStr">
        <is>
          <t>991000623889702656</t>
        </is>
      </c>
      <c r="AX517" t="inlineStr">
        <is>
          <t>991000623889702656</t>
        </is>
      </c>
      <c r="AY517" t="inlineStr">
        <is>
          <t>2260098360002656</t>
        </is>
      </c>
      <c r="AZ517" t="inlineStr">
        <is>
          <t>BOOK</t>
        </is>
      </c>
      <c r="BB517" t="inlineStr">
        <is>
          <t>9780133892055</t>
        </is>
      </c>
      <c r="BC517" t="inlineStr">
        <is>
          <t>32285000686450</t>
        </is>
      </c>
      <c r="BD517" t="inlineStr">
        <is>
          <t>893702280</t>
        </is>
      </c>
    </row>
    <row r="518">
      <c r="A518" t="inlineStr">
        <is>
          <t>No</t>
        </is>
      </c>
      <c r="B518" t="inlineStr">
        <is>
          <t>BT28 .B273 1960</t>
        </is>
      </c>
      <c r="C518" t="inlineStr">
        <is>
          <t>0                      BT 0028000B  273         1960</t>
        </is>
      </c>
      <c r="D518" t="inlineStr">
        <is>
          <t>The humanity of God / Karl Barth.</t>
        </is>
      </c>
      <c r="F518" t="inlineStr">
        <is>
          <t>No</t>
        </is>
      </c>
      <c r="G518" t="inlineStr">
        <is>
          <t>1</t>
        </is>
      </c>
      <c r="H518" t="inlineStr">
        <is>
          <t>No</t>
        </is>
      </c>
      <c r="I518" t="inlineStr">
        <is>
          <t>No</t>
        </is>
      </c>
      <c r="J518" t="inlineStr">
        <is>
          <t>0</t>
        </is>
      </c>
      <c r="K518" t="inlineStr">
        <is>
          <t>Barth, Karl, 1886-1968.</t>
        </is>
      </c>
      <c r="L518" t="inlineStr">
        <is>
          <t>Richmond : John Knox Press, [1960]</t>
        </is>
      </c>
      <c r="M518" t="inlineStr">
        <is>
          <t>1960</t>
        </is>
      </c>
      <c r="O518" t="inlineStr">
        <is>
          <t>eng</t>
        </is>
      </c>
      <c r="P518" t="inlineStr">
        <is>
          <t>inu</t>
        </is>
      </c>
      <c r="R518" t="inlineStr">
        <is>
          <t xml:space="preserve">BT </t>
        </is>
      </c>
      <c r="S518" t="n">
        <v>4</v>
      </c>
      <c r="T518" t="n">
        <v>4</v>
      </c>
      <c r="U518" t="inlineStr">
        <is>
          <t>2010-10-06</t>
        </is>
      </c>
      <c r="V518" t="inlineStr">
        <is>
          <t>2010-10-06</t>
        </is>
      </c>
      <c r="W518" t="inlineStr">
        <is>
          <t>1991-06-14</t>
        </is>
      </c>
      <c r="X518" t="inlineStr">
        <is>
          <t>1991-06-14</t>
        </is>
      </c>
      <c r="Y518" t="n">
        <v>834</v>
      </c>
      <c r="Z518" t="n">
        <v>750</v>
      </c>
      <c r="AA518" t="n">
        <v>973</v>
      </c>
      <c r="AB518" t="n">
        <v>7</v>
      </c>
      <c r="AC518" t="n">
        <v>9</v>
      </c>
      <c r="AD518" t="n">
        <v>38</v>
      </c>
      <c r="AE518" t="n">
        <v>50</v>
      </c>
      <c r="AF518" t="n">
        <v>17</v>
      </c>
      <c r="AG518" t="n">
        <v>22</v>
      </c>
      <c r="AH518" t="n">
        <v>9</v>
      </c>
      <c r="AI518" t="n">
        <v>9</v>
      </c>
      <c r="AJ518" t="n">
        <v>19</v>
      </c>
      <c r="AK518" t="n">
        <v>25</v>
      </c>
      <c r="AL518" t="n">
        <v>4</v>
      </c>
      <c r="AM518" t="n">
        <v>6</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HYPERLINK("https://creighton-primo.hosted.exlibrisgroup.com/primo-explore/search?tab=default_tab&amp;search_scope=EVERYTHING&amp;vid=01CRU&amp;lang=en_US&amp;offset=0&amp;query=any,contains,991004190459702656","Catalog Record")</f>
        <v/>
      </c>
      <c r="AT518">
        <f>HYPERLINK("http://www.worldcat.org/oclc/2631505","WorldCat Record")</f>
        <v/>
      </c>
      <c r="AU518" t="inlineStr">
        <is>
          <t>457644:eng</t>
        </is>
      </c>
      <c r="AV518" t="inlineStr">
        <is>
          <t>2631505</t>
        </is>
      </c>
      <c r="AW518" t="inlineStr">
        <is>
          <t>991004190459702656</t>
        </is>
      </c>
      <c r="AX518" t="inlineStr">
        <is>
          <t>991004190459702656</t>
        </is>
      </c>
      <c r="AY518" t="inlineStr">
        <is>
          <t>2256803450002656</t>
        </is>
      </c>
      <c r="AZ518" t="inlineStr">
        <is>
          <t>BOOK</t>
        </is>
      </c>
      <c r="BB518" t="inlineStr">
        <is>
          <t>9780804206129</t>
        </is>
      </c>
      <c r="BC518" t="inlineStr">
        <is>
          <t>32285005599138</t>
        </is>
      </c>
      <c r="BD518" t="inlineStr">
        <is>
          <t>893331299</t>
        </is>
      </c>
    </row>
    <row r="519">
      <c r="A519" t="inlineStr">
        <is>
          <t>No</t>
        </is>
      </c>
      <c r="B519" t="inlineStr">
        <is>
          <t>BT28 .C5</t>
        </is>
      </c>
      <c r="C519" t="inlineStr">
        <is>
          <t>0                      BT 0028000C  5</t>
        </is>
      </c>
      <c r="D519" t="inlineStr">
        <is>
          <t>Consensus in theology? : a dialogue with Hans Küng and Edward Schillebeeckx / by Hans Küng, Edward Schillebeeckx ... [et al.] ; edited by Leonard Swidler.</t>
        </is>
      </c>
      <c r="F519" t="inlineStr">
        <is>
          <t>No</t>
        </is>
      </c>
      <c r="G519" t="inlineStr">
        <is>
          <t>1</t>
        </is>
      </c>
      <c r="H519" t="inlineStr">
        <is>
          <t>No</t>
        </is>
      </c>
      <c r="I519" t="inlineStr">
        <is>
          <t>No</t>
        </is>
      </c>
      <c r="J519" t="inlineStr">
        <is>
          <t>0</t>
        </is>
      </c>
      <c r="L519" t="inlineStr">
        <is>
          <t>Philadelphia : Westminster Press, c1980.</t>
        </is>
      </c>
      <c r="M519" t="inlineStr">
        <is>
          <t>1980</t>
        </is>
      </c>
      <c r="N519" t="inlineStr">
        <is>
          <t>1st ed.</t>
        </is>
      </c>
      <c r="O519" t="inlineStr">
        <is>
          <t>eng</t>
        </is>
      </c>
      <c r="P519" t="inlineStr">
        <is>
          <t>pau</t>
        </is>
      </c>
      <c r="R519" t="inlineStr">
        <is>
          <t xml:space="preserve">BT </t>
        </is>
      </c>
      <c r="S519" t="n">
        <v>3</v>
      </c>
      <c r="T519" t="n">
        <v>3</v>
      </c>
      <c r="U519" t="inlineStr">
        <is>
          <t>1994-08-31</t>
        </is>
      </c>
      <c r="V519" t="inlineStr">
        <is>
          <t>1994-08-31</t>
        </is>
      </c>
      <c r="W519" t="inlineStr">
        <is>
          <t>1991-06-14</t>
        </is>
      </c>
      <c r="X519" t="inlineStr">
        <is>
          <t>1991-06-14</t>
        </is>
      </c>
      <c r="Y519" t="n">
        <v>637</v>
      </c>
      <c r="Z519" t="n">
        <v>536</v>
      </c>
      <c r="AA519" t="n">
        <v>547</v>
      </c>
      <c r="AB519" t="n">
        <v>6</v>
      </c>
      <c r="AC519" t="n">
        <v>6</v>
      </c>
      <c r="AD519" t="n">
        <v>41</v>
      </c>
      <c r="AE519" t="n">
        <v>41</v>
      </c>
      <c r="AF519" t="n">
        <v>16</v>
      </c>
      <c r="AG519" t="n">
        <v>16</v>
      </c>
      <c r="AH519" t="n">
        <v>9</v>
      </c>
      <c r="AI519" t="n">
        <v>9</v>
      </c>
      <c r="AJ519" t="n">
        <v>24</v>
      </c>
      <c r="AK519" t="n">
        <v>24</v>
      </c>
      <c r="AL519" t="n">
        <v>4</v>
      </c>
      <c r="AM519" t="n">
        <v>4</v>
      </c>
      <c r="AN519" t="n">
        <v>0</v>
      </c>
      <c r="AO519" t="n">
        <v>0</v>
      </c>
      <c r="AP519" t="inlineStr">
        <is>
          <t>No</t>
        </is>
      </c>
      <c r="AQ519" t="inlineStr">
        <is>
          <t>Yes</t>
        </is>
      </c>
      <c r="AR519">
        <f>HYPERLINK("http://catalog.hathitrust.org/Record/000226530","HathiTrust Record")</f>
        <v/>
      </c>
      <c r="AS519">
        <f>HYPERLINK("https://creighton-primo.hosted.exlibrisgroup.com/primo-explore/search?tab=default_tab&amp;search_scope=EVERYTHING&amp;vid=01CRU&amp;lang=en_US&amp;offset=0&amp;query=any,contains,991004983629702656","Catalog Record")</f>
        <v/>
      </c>
      <c r="AT519">
        <f>HYPERLINK("http://www.worldcat.org/oclc/6443195","WorldCat Record")</f>
        <v/>
      </c>
      <c r="AU519" t="inlineStr">
        <is>
          <t>22555882:eng</t>
        </is>
      </c>
      <c r="AV519" t="inlineStr">
        <is>
          <t>6443195</t>
        </is>
      </c>
      <c r="AW519" t="inlineStr">
        <is>
          <t>991004983629702656</t>
        </is>
      </c>
      <c r="AX519" t="inlineStr">
        <is>
          <t>991004983629702656</t>
        </is>
      </c>
      <c r="AY519" t="inlineStr">
        <is>
          <t>2257509660002656</t>
        </is>
      </c>
      <c r="AZ519" t="inlineStr">
        <is>
          <t>BOOK</t>
        </is>
      </c>
      <c r="BB519" t="inlineStr">
        <is>
          <t>9780664243227</t>
        </is>
      </c>
      <c r="BC519" t="inlineStr">
        <is>
          <t>32285000686518</t>
        </is>
      </c>
      <c r="BD519" t="inlineStr">
        <is>
          <t>893688440</t>
        </is>
      </c>
    </row>
    <row r="520">
      <c r="A520" t="inlineStr">
        <is>
          <t>No</t>
        </is>
      </c>
      <c r="B520" t="inlineStr">
        <is>
          <t>BT28 .C58</t>
        </is>
      </c>
      <c r="C520" t="inlineStr">
        <is>
          <t>0                      BT 0028000C  58</t>
        </is>
      </c>
      <c r="D520" t="inlineStr">
        <is>
          <t>Radical Christianity and its sources / by John Charles Cooper.</t>
        </is>
      </c>
      <c r="F520" t="inlineStr">
        <is>
          <t>No</t>
        </is>
      </c>
      <c r="G520" t="inlineStr">
        <is>
          <t>1</t>
        </is>
      </c>
      <c r="H520" t="inlineStr">
        <is>
          <t>No</t>
        </is>
      </c>
      <c r="I520" t="inlineStr">
        <is>
          <t>No</t>
        </is>
      </c>
      <c r="J520" t="inlineStr">
        <is>
          <t>0</t>
        </is>
      </c>
      <c r="K520" t="inlineStr">
        <is>
          <t>Cooper, John Charles.</t>
        </is>
      </c>
      <c r="L520" t="inlineStr">
        <is>
          <t>Philadelphia, Westminster Press [1968]</t>
        </is>
      </c>
      <c r="M520" t="inlineStr">
        <is>
          <t>1968</t>
        </is>
      </c>
      <c r="O520" t="inlineStr">
        <is>
          <t>eng</t>
        </is>
      </c>
      <c r="P520" t="inlineStr">
        <is>
          <t>pau</t>
        </is>
      </c>
      <c r="R520" t="inlineStr">
        <is>
          <t xml:space="preserve">BT </t>
        </is>
      </c>
      <c r="S520" t="n">
        <v>1</v>
      </c>
      <c r="T520" t="n">
        <v>1</v>
      </c>
      <c r="U520" t="inlineStr">
        <is>
          <t>1993-01-26</t>
        </is>
      </c>
      <c r="V520" t="inlineStr">
        <is>
          <t>1993-01-26</t>
        </is>
      </c>
      <c r="W520" t="inlineStr">
        <is>
          <t>1991-06-14</t>
        </is>
      </c>
      <c r="X520" t="inlineStr">
        <is>
          <t>1991-06-14</t>
        </is>
      </c>
      <c r="Y520" t="n">
        <v>542</v>
      </c>
      <c r="Z520" t="n">
        <v>509</v>
      </c>
      <c r="AA520" t="n">
        <v>513</v>
      </c>
      <c r="AB520" t="n">
        <v>4</v>
      </c>
      <c r="AC520" t="n">
        <v>4</v>
      </c>
      <c r="AD520" t="n">
        <v>27</v>
      </c>
      <c r="AE520" t="n">
        <v>27</v>
      </c>
      <c r="AF520" t="n">
        <v>12</v>
      </c>
      <c r="AG520" t="n">
        <v>12</v>
      </c>
      <c r="AH520" t="n">
        <v>2</v>
      </c>
      <c r="AI520" t="n">
        <v>2</v>
      </c>
      <c r="AJ520" t="n">
        <v>14</v>
      </c>
      <c r="AK520" t="n">
        <v>14</v>
      </c>
      <c r="AL520" t="n">
        <v>3</v>
      </c>
      <c r="AM520" t="n">
        <v>3</v>
      </c>
      <c r="AN520" t="n">
        <v>0</v>
      </c>
      <c r="AO520" t="n">
        <v>0</v>
      </c>
      <c r="AP520" t="inlineStr">
        <is>
          <t>No</t>
        </is>
      </c>
      <c r="AQ520" t="inlineStr">
        <is>
          <t>Yes</t>
        </is>
      </c>
      <c r="AR520">
        <f>HYPERLINK("http://catalog.hathitrust.org/Record/001411554","HathiTrust Record")</f>
        <v/>
      </c>
      <c r="AS520">
        <f>HYPERLINK("https://creighton-primo.hosted.exlibrisgroup.com/primo-explore/search?tab=default_tab&amp;search_scope=EVERYTHING&amp;vid=01CRU&amp;lang=en_US&amp;offset=0&amp;query=any,contains,991001943229702656","Catalog Record")</f>
        <v/>
      </c>
      <c r="AT520">
        <f>HYPERLINK("http://www.worldcat.org/oclc/250814","WorldCat Record")</f>
        <v/>
      </c>
      <c r="AU520" t="inlineStr">
        <is>
          <t>1337824:eng</t>
        </is>
      </c>
      <c r="AV520" t="inlineStr">
        <is>
          <t>250814</t>
        </is>
      </c>
      <c r="AW520" t="inlineStr">
        <is>
          <t>991001943229702656</t>
        </is>
      </c>
      <c r="AX520" t="inlineStr">
        <is>
          <t>991001943229702656</t>
        </is>
      </c>
      <c r="AY520" t="inlineStr">
        <is>
          <t>2266987340002656</t>
        </is>
      </c>
      <c r="AZ520" t="inlineStr">
        <is>
          <t>BOOK</t>
        </is>
      </c>
      <c r="BC520" t="inlineStr">
        <is>
          <t>32285000686534</t>
        </is>
      </c>
      <c r="BD520" t="inlineStr">
        <is>
          <t>893804048</t>
        </is>
      </c>
    </row>
    <row r="521">
      <c r="A521" t="inlineStr">
        <is>
          <t>No</t>
        </is>
      </c>
      <c r="B521" t="inlineStr">
        <is>
          <t>BT28 .C66 1998</t>
        </is>
      </c>
      <c r="C521" t="inlineStr">
        <is>
          <t>0                      BT 0028000C  66          1998</t>
        </is>
      </c>
      <c r="D521" t="inlineStr">
        <is>
          <t>Continuity and plurality in Catholic theology : essays in honor of Gerald A. McCool, S.J. / edited by Anthony J. Cernera.</t>
        </is>
      </c>
      <c r="F521" t="inlineStr">
        <is>
          <t>No</t>
        </is>
      </c>
      <c r="G521" t="inlineStr">
        <is>
          <t>1</t>
        </is>
      </c>
      <c r="H521" t="inlineStr">
        <is>
          <t>No</t>
        </is>
      </c>
      <c r="I521" t="inlineStr">
        <is>
          <t>No</t>
        </is>
      </c>
      <c r="J521" t="inlineStr">
        <is>
          <t>0</t>
        </is>
      </c>
      <c r="L521" t="inlineStr">
        <is>
          <t>Fairfield, CT : Sacred Heart University Press, c1998.</t>
        </is>
      </c>
      <c r="M521" t="inlineStr">
        <is>
          <t>1998</t>
        </is>
      </c>
      <c r="O521" t="inlineStr">
        <is>
          <t>eng</t>
        </is>
      </c>
      <c r="P521" t="inlineStr">
        <is>
          <t>ctu</t>
        </is>
      </c>
      <c r="R521" t="inlineStr">
        <is>
          <t xml:space="preserve">BT </t>
        </is>
      </c>
      <c r="S521" t="n">
        <v>2</v>
      </c>
      <c r="T521" t="n">
        <v>2</v>
      </c>
      <c r="U521" t="inlineStr">
        <is>
          <t>2004-11-30</t>
        </is>
      </c>
      <c r="V521" t="inlineStr">
        <is>
          <t>2004-11-30</t>
        </is>
      </c>
      <c r="W521" t="inlineStr">
        <is>
          <t>1999-05-11</t>
        </is>
      </c>
      <c r="X521" t="inlineStr">
        <is>
          <t>1999-05-11</t>
        </is>
      </c>
      <c r="Y521" t="n">
        <v>46</v>
      </c>
      <c r="Z521" t="n">
        <v>42</v>
      </c>
      <c r="AA521" t="n">
        <v>53</v>
      </c>
      <c r="AB521" t="n">
        <v>1</v>
      </c>
      <c r="AC521" t="n">
        <v>1</v>
      </c>
      <c r="AD521" t="n">
        <v>12</v>
      </c>
      <c r="AE521" t="n">
        <v>14</v>
      </c>
      <c r="AF521" t="n">
        <v>4</v>
      </c>
      <c r="AG521" t="n">
        <v>5</v>
      </c>
      <c r="AH521" t="n">
        <v>3</v>
      </c>
      <c r="AI521" t="n">
        <v>3</v>
      </c>
      <c r="AJ521" t="n">
        <v>8</v>
      </c>
      <c r="AK521" t="n">
        <v>10</v>
      </c>
      <c r="AL521" t="n">
        <v>0</v>
      </c>
      <c r="AM521" t="n">
        <v>0</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HYPERLINK("https://creighton-primo.hosted.exlibrisgroup.com/primo-explore/search?tab=default_tab&amp;search_scope=EVERYTHING&amp;vid=01CRU&amp;lang=en_US&amp;offset=0&amp;query=any,contains,991002992889702656","Catalog Record")</f>
        <v/>
      </c>
      <c r="AT521">
        <f>HYPERLINK("http://www.worldcat.org/oclc/40428585","WorldCat Record")</f>
        <v/>
      </c>
      <c r="AU521" t="inlineStr">
        <is>
          <t>25707140:eng</t>
        </is>
      </c>
      <c r="AV521" t="inlineStr">
        <is>
          <t>40428585</t>
        </is>
      </c>
      <c r="AW521" t="inlineStr">
        <is>
          <t>991002992889702656</t>
        </is>
      </c>
      <c r="AX521" t="inlineStr">
        <is>
          <t>991002992889702656</t>
        </is>
      </c>
      <c r="AY521" t="inlineStr">
        <is>
          <t>2262226540002656</t>
        </is>
      </c>
      <c r="AZ521" t="inlineStr">
        <is>
          <t>BOOK</t>
        </is>
      </c>
      <c r="BB521" t="inlineStr">
        <is>
          <t>9781888112016</t>
        </is>
      </c>
      <c r="BC521" t="inlineStr">
        <is>
          <t>32285003570511</t>
        </is>
      </c>
      <c r="BD521" t="inlineStr">
        <is>
          <t>893698551</t>
        </is>
      </c>
    </row>
    <row r="522">
      <c r="A522" t="inlineStr">
        <is>
          <t>No</t>
        </is>
      </c>
      <c r="B522" t="inlineStr">
        <is>
          <t>BT28 .D38 1982</t>
        </is>
      </c>
      <c r="C522" t="inlineStr">
        <is>
          <t>0                      BT 0028000D  38          1982</t>
        </is>
      </c>
      <c r="D522" t="inlineStr">
        <is>
          <t>Deconstruction and theology / Thomas J.J. Altizer ... [et al.]</t>
        </is>
      </c>
      <c r="F522" t="inlineStr">
        <is>
          <t>No</t>
        </is>
      </c>
      <c r="G522" t="inlineStr">
        <is>
          <t>1</t>
        </is>
      </c>
      <c r="H522" t="inlineStr">
        <is>
          <t>No</t>
        </is>
      </c>
      <c r="I522" t="inlineStr">
        <is>
          <t>No</t>
        </is>
      </c>
      <c r="J522" t="inlineStr">
        <is>
          <t>0</t>
        </is>
      </c>
      <c r="L522" t="inlineStr">
        <is>
          <t>New York : Crossroad, 1982.</t>
        </is>
      </c>
      <c r="M522" t="inlineStr">
        <is>
          <t>1982</t>
        </is>
      </c>
      <c r="O522" t="inlineStr">
        <is>
          <t>eng</t>
        </is>
      </c>
      <c r="P522" t="inlineStr">
        <is>
          <t>nyu</t>
        </is>
      </c>
      <c r="R522" t="inlineStr">
        <is>
          <t xml:space="preserve">BT </t>
        </is>
      </c>
      <c r="S522" t="n">
        <v>2</v>
      </c>
      <c r="T522" t="n">
        <v>2</v>
      </c>
      <c r="U522" t="inlineStr">
        <is>
          <t>2000-03-27</t>
        </is>
      </c>
      <c r="V522" t="inlineStr">
        <is>
          <t>2000-03-27</t>
        </is>
      </c>
      <c r="W522" t="inlineStr">
        <is>
          <t>1991-12-04</t>
        </is>
      </c>
      <c r="X522" t="inlineStr">
        <is>
          <t>1991-12-04</t>
        </is>
      </c>
      <c r="Y522" t="n">
        <v>497</v>
      </c>
      <c r="Z522" t="n">
        <v>418</v>
      </c>
      <c r="AA522" t="n">
        <v>433</v>
      </c>
      <c r="AB522" t="n">
        <v>5</v>
      </c>
      <c r="AC522" t="n">
        <v>5</v>
      </c>
      <c r="AD522" t="n">
        <v>29</v>
      </c>
      <c r="AE522" t="n">
        <v>30</v>
      </c>
      <c r="AF522" t="n">
        <v>11</v>
      </c>
      <c r="AG522" t="n">
        <v>12</v>
      </c>
      <c r="AH522" t="n">
        <v>4</v>
      </c>
      <c r="AI522" t="n">
        <v>4</v>
      </c>
      <c r="AJ522" t="n">
        <v>19</v>
      </c>
      <c r="AK522" t="n">
        <v>19</v>
      </c>
      <c r="AL522" t="n">
        <v>4</v>
      </c>
      <c r="AM522" t="n">
        <v>4</v>
      </c>
      <c r="AN522" t="n">
        <v>0</v>
      </c>
      <c r="AO522" t="n">
        <v>0</v>
      </c>
      <c r="AP522" t="inlineStr">
        <is>
          <t>No</t>
        </is>
      </c>
      <c r="AQ522" t="inlineStr">
        <is>
          <t>Yes</t>
        </is>
      </c>
      <c r="AR522">
        <f>HYPERLINK("http://catalog.hathitrust.org/Record/005138610","HathiTrust Record")</f>
        <v/>
      </c>
      <c r="AS522">
        <f>HYPERLINK("https://creighton-primo.hosted.exlibrisgroup.com/primo-explore/search?tab=default_tab&amp;search_scope=EVERYTHING&amp;vid=01CRU&amp;lang=en_US&amp;offset=0&amp;query=any,contains,991005213499702656","Catalog Record")</f>
        <v/>
      </c>
      <c r="AT522">
        <f>HYPERLINK("http://www.worldcat.org/oclc/8171200","WorldCat Record")</f>
        <v/>
      </c>
      <c r="AU522" t="inlineStr">
        <is>
          <t>491084:eng</t>
        </is>
      </c>
      <c r="AV522" t="inlineStr">
        <is>
          <t>8171200</t>
        </is>
      </c>
      <c r="AW522" t="inlineStr">
        <is>
          <t>991005213499702656</t>
        </is>
      </c>
      <c r="AX522" t="inlineStr">
        <is>
          <t>991005213499702656</t>
        </is>
      </c>
      <c r="AY522" t="inlineStr">
        <is>
          <t>2257151570002656</t>
        </is>
      </c>
      <c r="AZ522" t="inlineStr">
        <is>
          <t>BOOK</t>
        </is>
      </c>
      <c r="BB522" t="inlineStr">
        <is>
          <t>9780824504120</t>
        </is>
      </c>
      <c r="BC522" t="inlineStr">
        <is>
          <t>32285000846179</t>
        </is>
      </c>
      <c r="BD522" t="inlineStr">
        <is>
          <t>893437344</t>
        </is>
      </c>
    </row>
    <row r="523">
      <c r="A523" t="inlineStr">
        <is>
          <t>No</t>
        </is>
      </c>
      <c r="B523" t="inlineStr">
        <is>
          <t>BT28 .D67 1997</t>
        </is>
      </c>
      <c r="C523" t="inlineStr">
        <is>
          <t>0                      BT 0028000D  67          1997</t>
        </is>
      </c>
      <c r="D523" t="inlineStr">
        <is>
          <t>The Word as true myth : interpreting modern theology / Gary Dorrien.</t>
        </is>
      </c>
      <c r="F523" t="inlineStr">
        <is>
          <t>No</t>
        </is>
      </c>
      <c r="G523" t="inlineStr">
        <is>
          <t>1</t>
        </is>
      </c>
      <c r="H523" t="inlineStr">
        <is>
          <t>No</t>
        </is>
      </c>
      <c r="I523" t="inlineStr">
        <is>
          <t>No</t>
        </is>
      </c>
      <c r="J523" t="inlineStr">
        <is>
          <t>0</t>
        </is>
      </c>
      <c r="K523" t="inlineStr">
        <is>
          <t>Dorrien, Gary J.</t>
        </is>
      </c>
      <c r="L523" t="inlineStr">
        <is>
          <t>Louisville, Ky. : Westminster John Knox Press, c1997.</t>
        </is>
      </c>
      <c r="M523" t="inlineStr">
        <is>
          <t>1997</t>
        </is>
      </c>
      <c r="N523" t="inlineStr">
        <is>
          <t>1st ed.</t>
        </is>
      </c>
      <c r="O523" t="inlineStr">
        <is>
          <t>eng</t>
        </is>
      </c>
      <c r="P523" t="inlineStr">
        <is>
          <t>kyu</t>
        </is>
      </c>
      <c r="R523" t="inlineStr">
        <is>
          <t xml:space="preserve">BT </t>
        </is>
      </c>
      <c r="S523" t="n">
        <v>1</v>
      </c>
      <c r="T523" t="n">
        <v>1</v>
      </c>
      <c r="U523" t="inlineStr">
        <is>
          <t>1999-01-21</t>
        </is>
      </c>
      <c r="V523" t="inlineStr">
        <is>
          <t>1999-01-21</t>
        </is>
      </c>
      <c r="W523" t="inlineStr">
        <is>
          <t>1998-12-01</t>
        </is>
      </c>
      <c r="X523" t="inlineStr">
        <is>
          <t>1998-12-01</t>
        </is>
      </c>
      <c r="Y523" t="n">
        <v>254</v>
      </c>
      <c r="Z523" t="n">
        <v>218</v>
      </c>
      <c r="AA523" t="n">
        <v>541</v>
      </c>
      <c r="AB523" t="n">
        <v>4</v>
      </c>
      <c r="AC523" t="n">
        <v>4</v>
      </c>
      <c r="AD523" t="n">
        <v>21</v>
      </c>
      <c r="AE523" t="n">
        <v>26</v>
      </c>
      <c r="AF523" t="n">
        <v>5</v>
      </c>
      <c r="AG523" t="n">
        <v>10</v>
      </c>
      <c r="AH523" t="n">
        <v>6</v>
      </c>
      <c r="AI523" t="n">
        <v>7</v>
      </c>
      <c r="AJ523" t="n">
        <v>12</v>
      </c>
      <c r="AK523" t="n">
        <v>13</v>
      </c>
      <c r="AL523" t="n">
        <v>3</v>
      </c>
      <c r="AM523" t="n">
        <v>3</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HYPERLINK("https://creighton-primo.hosted.exlibrisgroup.com/primo-explore/search?tab=default_tab&amp;search_scope=EVERYTHING&amp;vid=01CRU&amp;lang=en_US&amp;offset=0&amp;query=any,contains,991002805139702656","Catalog Record")</f>
        <v/>
      </c>
      <c r="AT523">
        <f>HYPERLINK("http://www.worldcat.org/oclc/36847751","WorldCat Record")</f>
        <v/>
      </c>
      <c r="AU523" t="inlineStr">
        <is>
          <t>799758883:eng</t>
        </is>
      </c>
      <c r="AV523" t="inlineStr">
        <is>
          <t>36847751</t>
        </is>
      </c>
      <c r="AW523" t="inlineStr">
        <is>
          <t>991002805139702656</t>
        </is>
      </c>
      <c r="AX523" t="inlineStr">
        <is>
          <t>991002805139702656</t>
        </is>
      </c>
      <c r="AY523" t="inlineStr">
        <is>
          <t>2259061650002656</t>
        </is>
      </c>
      <c r="AZ523" t="inlineStr">
        <is>
          <t>BOOK</t>
        </is>
      </c>
      <c r="BB523" t="inlineStr">
        <is>
          <t>9780664257453</t>
        </is>
      </c>
      <c r="BC523" t="inlineStr">
        <is>
          <t>32285003492401</t>
        </is>
      </c>
      <c r="BD523" t="inlineStr">
        <is>
          <t>893704539</t>
        </is>
      </c>
    </row>
    <row r="524">
      <c r="A524" t="inlineStr">
        <is>
          <t>No</t>
        </is>
      </c>
      <c r="B524" t="inlineStr">
        <is>
          <t>BT28 .F85</t>
        </is>
      </c>
      <c r="C524" t="inlineStr">
        <is>
          <t>0                      BT 0028000F  85</t>
        </is>
      </c>
      <c r="D524" t="inlineStr">
        <is>
          <t>Language, hermeneutic, and word of God : the problem of language in the New Testament and contemporary theology / [by] Robert W. Funk.</t>
        </is>
      </c>
      <c r="F524" t="inlineStr">
        <is>
          <t>No</t>
        </is>
      </c>
      <c r="G524" t="inlineStr">
        <is>
          <t>1</t>
        </is>
      </c>
      <c r="H524" t="inlineStr">
        <is>
          <t>No</t>
        </is>
      </c>
      <c r="I524" t="inlineStr">
        <is>
          <t>No</t>
        </is>
      </c>
      <c r="J524" t="inlineStr">
        <is>
          <t>0</t>
        </is>
      </c>
      <c r="K524" t="inlineStr">
        <is>
          <t>Funk, Robert W. (Robert Walter), 1926-2005.</t>
        </is>
      </c>
      <c r="L524" t="inlineStr">
        <is>
          <t>New York, Harper &amp; Row [1966]</t>
        </is>
      </c>
      <c r="M524" t="inlineStr">
        <is>
          <t>1966</t>
        </is>
      </c>
      <c r="N524" t="inlineStr">
        <is>
          <t>[1st ed.]</t>
        </is>
      </c>
      <c r="O524" t="inlineStr">
        <is>
          <t>eng</t>
        </is>
      </c>
      <c r="P524" t="inlineStr">
        <is>
          <t>nyu</t>
        </is>
      </c>
      <c r="R524" t="inlineStr">
        <is>
          <t xml:space="preserve">BT </t>
        </is>
      </c>
      <c r="S524" t="n">
        <v>6</v>
      </c>
      <c r="T524" t="n">
        <v>6</v>
      </c>
      <c r="U524" t="inlineStr">
        <is>
          <t>1993-12-13</t>
        </is>
      </c>
      <c r="V524" t="inlineStr">
        <is>
          <t>1993-12-13</t>
        </is>
      </c>
      <c r="W524" t="inlineStr">
        <is>
          <t>1991-06-14</t>
        </is>
      </c>
      <c r="X524" t="inlineStr">
        <is>
          <t>1991-06-14</t>
        </is>
      </c>
      <c r="Y524" t="n">
        <v>639</v>
      </c>
      <c r="Z524" t="n">
        <v>528</v>
      </c>
      <c r="AA524" t="n">
        <v>536</v>
      </c>
      <c r="AB524" t="n">
        <v>7</v>
      </c>
      <c r="AC524" t="n">
        <v>7</v>
      </c>
      <c r="AD524" t="n">
        <v>36</v>
      </c>
      <c r="AE524" t="n">
        <v>36</v>
      </c>
      <c r="AF524" t="n">
        <v>14</v>
      </c>
      <c r="AG524" t="n">
        <v>14</v>
      </c>
      <c r="AH524" t="n">
        <v>8</v>
      </c>
      <c r="AI524" t="n">
        <v>8</v>
      </c>
      <c r="AJ524" t="n">
        <v>22</v>
      </c>
      <c r="AK524" t="n">
        <v>22</v>
      </c>
      <c r="AL524" t="n">
        <v>4</v>
      </c>
      <c r="AM524" t="n">
        <v>4</v>
      </c>
      <c r="AN524" t="n">
        <v>0</v>
      </c>
      <c r="AO524" t="n">
        <v>0</v>
      </c>
      <c r="AP524" t="inlineStr">
        <is>
          <t>No</t>
        </is>
      </c>
      <c r="AQ524" t="inlineStr">
        <is>
          <t>Yes</t>
        </is>
      </c>
      <c r="AR524">
        <f>HYPERLINK("http://catalog.hathitrust.org/Record/001411557","HathiTrust Record")</f>
        <v/>
      </c>
      <c r="AS524">
        <f>HYPERLINK("https://creighton-primo.hosted.exlibrisgroup.com/primo-explore/search?tab=default_tab&amp;search_scope=EVERYTHING&amp;vid=01CRU&amp;lang=en_US&amp;offset=0&amp;query=any,contains,991002641019702656","Catalog Record")</f>
        <v/>
      </c>
      <c r="AT524">
        <f>HYPERLINK("http://www.worldcat.org/oclc/384346","WorldCat Record")</f>
        <v/>
      </c>
      <c r="AU524" t="inlineStr">
        <is>
          <t>819951561:eng</t>
        </is>
      </c>
      <c r="AV524" t="inlineStr">
        <is>
          <t>384346</t>
        </is>
      </c>
      <c r="AW524" t="inlineStr">
        <is>
          <t>991002641019702656</t>
        </is>
      </c>
      <c r="AX524" t="inlineStr">
        <is>
          <t>991002641019702656</t>
        </is>
      </c>
      <c r="AY524" t="inlineStr">
        <is>
          <t>2256290800002656</t>
        </is>
      </c>
      <c r="AZ524" t="inlineStr">
        <is>
          <t>BOOK</t>
        </is>
      </c>
      <c r="BC524" t="inlineStr">
        <is>
          <t>32285000686617</t>
        </is>
      </c>
      <c r="BD524" t="inlineStr">
        <is>
          <t>893886522</t>
        </is>
      </c>
    </row>
    <row r="525">
      <c r="A525" t="inlineStr">
        <is>
          <t>No</t>
        </is>
      </c>
      <c r="B525" t="inlineStr">
        <is>
          <t>BT28 .G3613</t>
        </is>
      </c>
      <c r="C525" t="inlineStr">
        <is>
          <t>0                      BT 0028000G  3613</t>
        </is>
      </c>
      <c r="D525" t="inlineStr">
        <is>
          <t>A new age in theology / by Claude Geffré ; translated by Robert Shillenn, with Francis McDonagh and Theodore L. Westow.</t>
        </is>
      </c>
      <c r="F525" t="inlineStr">
        <is>
          <t>No</t>
        </is>
      </c>
      <c r="G525" t="inlineStr">
        <is>
          <t>1</t>
        </is>
      </c>
      <c r="H525" t="inlineStr">
        <is>
          <t>No</t>
        </is>
      </c>
      <c r="I525" t="inlineStr">
        <is>
          <t>No</t>
        </is>
      </c>
      <c r="J525" t="inlineStr">
        <is>
          <t>0</t>
        </is>
      </c>
      <c r="K525" t="inlineStr">
        <is>
          <t>Geffré, Claude.</t>
        </is>
      </c>
      <c r="L525" t="inlineStr">
        <is>
          <t>New York : Paulist Press, [1974]</t>
        </is>
      </c>
      <c r="M525" t="inlineStr">
        <is>
          <t>1974</t>
        </is>
      </c>
      <c r="O525" t="inlineStr">
        <is>
          <t>eng</t>
        </is>
      </c>
      <c r="P525" t="inlineStr">
        <is>
          <t>nyu</t>
        </is>
      </c>
      <c r="R525" t="inlineStr">
        <is>
          <t xml:space="preserve">BT </t>
        </is>
      </c>
      <c r="S525" t="n">
        <v>3</v>
      </c>
      <c r="T525" t="n">
        <v>3</v>
      </c>
      <c r="U525" t="inlineStr">
        <is>
          <t>1994-09-15</t>
        </is>
      </c>
      <c r="V525" t="inlineStr">
        <is>
          <t>1994-09-15</t>
        </is>
      </c>
      <c r="W525" t="inlineStr">
        <is>
          <t>1990-03-20</t>
        </is>
      </c>
      <c r="X525" t="inlineStr">
        <is>
          <t>1990-03-20</t>
        </is>
      </c>
      <c r="Y525" t="n">
        <v>317</v>
      </c>
      <c r="Z525" t="n">
        <v>273</v>
      </c>
      <c r="AA525" t="n">
        <v>280</v>
      </c>
      <c r="AB525" t="n">
        <v>3</v>
      </c>
      <c r="AC525" t="n">
        <v>3</v>
      </c>
      <c r="AD525" t="n">
        <v>29</v>
      </c>
      <c r="AE525" t="n">
        <v>29</v>
      </c>
      <c r="AF525" t="n">
        <v>12</v>
      </c>
      <c r="AG525" t="n">
        <v>12</v>
      </c>
      <c r="AH525" t="n">
        <v>5</v>
      </c>
      <c r="AI525" t="n">
        <v>5</v>
      </c>
      <c r="AJ525" t="n">
        <v>21</v>
      </c>
      <c r="AK525" t="n">
        <v>21</v>
      </c>
      <c r="AL525" t="n">
        <v>2</v>
      </c>
      <c r="AM525" t="n">
        <v>2</v>
      </c>
      <c r="AN525" t="n">
        <v>0</v>
      </c>
      <c r="AO525" t="n">
        <v>0</v>
      </c>
      <c r="AP525" t="inlineStr">
        <is>
          <t>No</t>
        </is>
      </c>
      <c r="AQ525" t="inlineStr">
        <is>
          <t>Yes</t>
        </is>
      </c>
      <c r="AR525">
        <f>HYPERLINK("http://catalog.hathitrust.org/Record/006762690","HathiTrust Record")</f>
        <v/>
      </c>
      <c r="AS525">
        <f>HYPERLINK("https://creighton-primo.hosted.exlibrisgroup.com/primo-explore/search?tab=default_tab&amp;search_scope=EVERYTHING&amp;vid=01CRU&amp;lang=en_US&amp;offset=0&amp;query=any,contains,991003552849702656","Catalog Record")</f>
        <v/>
      </c>
      <c r="AT525">
        <f>HYPERLINK("http://www.worldcat.org/oclc/1120939","WorldCat Record")</f>
        <v/>
      </c>
      <c r="AU525" t="inlineStr">
        <is>
          <t>350137358:eng</t>
        </is>
      </c>
      <c r="AV525" t="inlineStr">
        <is>
          <t>1120939</t>
        </is>
      </c>
      <c r="AW525" t="inlineStr">
        <is>
          <t>991003552849702656</t>
        </is>
      </c>
      <c r="AX525" t="inlineStr">
        <is>
          <t>991003552849702656</t>
        </is>
      </c>
      <c r="AY525" t="inlineStr">
        <is>
          <t>2268796670002656</t>
        </is>
      </c>
      <c r="AZ525" t="inlineStr">
        <is>
          <t>BOOK</t>
        </is>
      </c>
      <c r="BB525" t="inlineStr">
        <is>
          <t>9780809118441</t>
        </is>
      </c>
      <c r="BC525" t="inlineStr">
        <is>
          <t>32285000086990</t>
        </is>
      </c>
      <c r="BD525" t="inlineStr">
        <is>
          <t>893592618</t>
        </is>
      </c>
    </row>
    <row r="526">
      <c r="A526" t="inlineStr">
        <is>
          <t>No</t>
        </is>
      </c>
      <c r="B526" t="inlineStr">
        <is>
          <t>BT28 .G746 1992</t>
        </is>
      </c>
      <c r="C526" t="inlineStr">
        <is>
          <t>0                      BT 0028000G  746         1992</t>
        </is>
      </c>
      <c r="D526" t="inlineStr">
        <is>
          <t>20th Century theology : God &amp; the world in a transitional age / Stanley J. Grenz &amp; Roger E. Olson.</t>
        </is>
      </c>
      <c r="F526" t="inlineStr">
        <is>
          <t>No</t>
        </is>
      </c>
      <c r="G526" t="inlineStr">
        <is>
          <t>1</t>
        </is>
      </c>
      <c r="H526" t="inlineStr">
        <is>
          <t>No</t>
        </is>
      </c>
      <c r="I526" t="inlineStr">
        <is>
          <t>No</t>
        </is>
      </c>
      <c r="J526" t="inlineStr">
        <is>
          <t>0</t>
        </is>
      </c>
      <c r="K526" t="inlineStr">
        <is>
          <t>Grenz, Stanley J. (Stanley James), 1950-2005.</t>
        </is>
      </c>
      <c r="L526" t="inlineStr">
        <is>
          <t>Downers Grove, Ill. : InterVarsity Press, c1992.</t>
        </is>
      </c>
      <c r="M526" t="inlineStr">
        <is>
          <t>1992</t>
        </is>
      </c>
      <c r="O526" t="inlineStr">
        <is>
          <t>eng</t>
        </is>
      </c>
      <c r="P526" t="inlineStr">
        <is>
          <t>ilu</t>
        </is>
      </c>
      <c r="R526" t="inlineStr">
        <is>
          <t xml:space="preserve">BT </t>
        </is>
      </c>
      <c r="S526" t="n">
        <v>7</v>
      </c>
      <c r="T526" t="n">
        <v>7</v>
      </c>
      <c r="U526" t="inlineStr">
        <is>
          <t>2004-10-27</t>
        </is>
      </c>
      <c r="V526" t="inlineStr">
        <is>
          <t>2004-10-27</t>
        </is>
      </c>
      <c r="W526" t="inlineStr">
        <is>
          <t>1993-02-17</t>
        </is>
      </c>
      <c r="X526" t="inlineStr">
        <is>
          <t>1993-02-17</t>
        </is>
      </c>
      <c r="Y526" t="n">
        <v>539</v>
      </c>
      <c r="Z526" t="n">
        <v>462</v>
      </c>
      <c r="AA526" t="n">
        <v>512</v>
      </c>
      <c r="AB526" t="n">
        <v>4</v>
      </c>
      <c r="AC526" t="n">
        <v>7</v>
      </c>
      <c r="AD526" t="n">
        <v>27</v>
      </c>
      <c r="AE526" t="n">
        <v>32</v>
      </c>
      <c r="AF526" t="n">
        <v>12</v>
      </c>
      <c r="AG526" t="n">
        <v>14</v>
      </c>
      <c r="AH526" t="n">
        <v>5</v>
      </c>
      <c r="AI526" t="n">
        <v>6</v>
      </c>
      <c r="AJ526" t="n">
        <v>15</v>
      </c>
      <c r="AK526" t="n">
        <v>15</v>
      </c>
      <c r="AL526" t="n">
        <v>2</v>
      </c>
      <c r="AM526" t="n">
        <v>5</v>
      </c>
      <c r="AN526" t="n">
        <v>0</v>
      </c>
      <c r="AO526" t="n">
        <v>0</v>
      </c>
      <c r="AP526" t="inlineStr">
        <is>
          <t>No</t>
        </is>
      </c>
      <c r="AQ526" t="inlineStr">
        <is>
          <t>Yes</t>
        </is>
      </c>
      <c r="AR526">
        <f>HYPERLINK("http://catalog.hathitrust.org/Record/002593297","HathiTrust Record")</f>
        <v/>
      </c>
      <c r="AS526">
        <f>HYPERLINK("https://creighton-primo.hosted.exlibrisgroup.com/primo-explore/search?tab=default_tab&amp;search_scope=EVERYTHING&amp;vid=01CRU&amp;lang=en_US&amp;offset=0&amp;query=any,contains,991001998559702656","Catalog Record")</f>
        <v/>
      </c>
      <c r="AT526">
        <f>HYPERLINK("http://www.worldcat.org/oclc/25409433","WorldCat Record")</f>
        <v/>
      </c>
      <c r="AU526" t="inlineStr">
        <is>
          <t>801197480:eng</t>
        </is>
      </c>
      <c r="AV526" t="inlineStr">
        <is>
          <t>25409433</t>
        </is>
      </c>
      <c r="AW526" t="inlineStr">
        <is>
          <t>991001998559702656</t>
        </is>
      </c>
      <c r="AX526" t="inlineStr">
        <is>
          <t>991001998559702656</t>
        </is>
      </c>
      <c r="AY526" t="inlineStr">
        <is>
          <t>2266749690002656</t>
        </is>
      </c>
      <c r="AZ526" t="inlineStr">
        <is>
          <t>BOOK</t>
        </is>
      </c>
      <c r="BB526" t="inlineStr">
        <is>
          <t>9780830817610</t>
        </is>
      </c>
      <c r="BC526" t="inlineStr">
        <is>
          <t>32285001534717</t>
        </is>
      </c>
      <c r="BD526" t="inlineStr">
        <is>
          <t>893615570</t>
        </is>
      </c>
    </row>
    <row r="527">
      <c r="A527" t="inlineStr">
        <is>
          <t>No</t>
        </is>
      </c>
      <c r="B527" t="inlineStr">
        <is>
          <t>BT28 .G86 1993</t>
        </is>
      </c>
      <c r="C527" t="inlineStr">
        <is>
          <t>0                      BT 0028000G  86          1993</t>
        </is>
      </c>
      <c r="D527" t="inlineStr">
        <is>
          <t>The One, the Three, and the many : God, creation, and the culture of modernity / Colin E. Gunton.</t>
        </is>
      </c>
      <c r="F527" t="inlineStr">
        <is>
          <t>No</t>
        </is>
      </c>
      <c r="G527" t="inlineStr">
        <is>
          <t>1</t>
        </is>
      </c>
      <c r="H527" t="inlineStr">
        <is>
          <t>No</t>
        </is>
      </c>
      <c r="I527" t="inlineStr">
        <is>
          <t>No</t>
        </is>
      </c>
      <c r="J527" t="inlineStr">
        <is>
          <t>0</t>
        </is>
      </c>
      <c r="K527" t="inlineStr">
        <is>
          <t>Gunton, Colin E.</t>
        </is>
      </c>
      <c r="L527" t="inlineStr">
        <is>
          <t>Cambridge ; New York, NY, USA : Cambridge University Press, 1993.</t>
        </is>
      </c>
      <c r="M527" t="inlineStr">
        <is>
          <t>1993</t>
        </is>
      </c>
      <c r="O527" t="inlineStr">
        <is>
          <t>eng</t>
        </is>
      </c>
      <c r="P527" t="inlineStr">
        <is>
          <t>enk</t>
        </is>
      </c>
      <c r="Q527" t="inlineStr">
        <is>
          <t>Bampton lectures ; 1992</t>
        </is>
      </c>
      <c r="R527" t="inlineStr">
        <is>
          <t xml:space="preserve">BT </t>
        </is>
      </c>
      <c r="S527" t="n">
        <v>6</v>
      </c>
      <c r="T527" t="n">
        <v>6</v>
      </c>
      <c r="U527" t="inlineStr">
        <is>
          <t>2010-04-08</t>
        </is>
      </c>
      <c r="V527" t="inlineStr">
        <is>
          <t>2010-04-08</t>
        </is>
      </c>
      <c r="W527" t="inlineStr">
        <is>
          <t>1994-04-05</t>
        </is>
      </c>
      <c r="X527" t="inlineStr">
        <is>
          <t>1994-04-05</t>
        </is>
      </c>
      <c r="Y527" t="n">
        <v>475</v>
      </c>
      <c r="Z527" t="n">
        <v>335</v>
      </c>
      <c r="AA527" t="n">
        <v>348</v>
      </c>
      <c r="AB527" t="n">
        <v>3</v>
      </c>
      <c r="AC527" t="n">
        <v>3</v>
      </c>
      <c r="AD527" t="n">
        <v>28</v>
      </c>
      <c r="AE527" t="n">
        <v>28</v>
      </c>
      <c r="AF527" t="n">
        <v>10</v>
      </c>
      <c r="AG527" t="n">
        <v>10</v>
      </c>
      <c r="AH527" t="n">
        <v>7</v>
      </c>
      <c r="AI527" t="n">
        <v>7</v>
      </c>
      <c r="AJ527" t="n">
        <v>17</v>
      </c>
      <c r="AK527" t="n">
        <v>17</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HYPERLINK("https://creighton-primo.hosted.exlibrisgroup.com/primo-explore/search?tab=default_tab&amp;search_scope=EVERYTHING&amp;vid=01CRU&amp;lang=en_US&amp;offset=0&amp;query=any,contains,991002079729702656","Catalog Record")</f>
        <v/>
      </c>
      <c r="AT527">
        <f>HYPERLINK("http://www.worldcat.org/oclc/26672811","WorldCat Record")</f>
        <v/>
      </c>
      <c r="AU527" t="inlineStr">
        <is>
          <t>807035690:eng</t>
        </is>
      </c>
      <c r="AV527" t="inlineStr">
        <is>
          <t>26672811</t>
        </is>
      </c>
      <c r="AW527" t="inlineStr">
        <is>
          <t>991002079729702656</t>
        </is>
      </c>
      <c r="AX527" t="inlineStr">
        <is>
          <t>991002079729702656</t>
        </is>
      </c>
      <c r="AY527" t="inlineStr">
        <is>
          <t>2268663810002656</t>
        </is>
      </c>
      <c r="AZ527" t="inlineStr">
        <is>
          <t>BOOK</t>
        </is>
      </c>
      <c r="BB527" t="inlineStr">
        <is>
          <t>9780521420303</t>
        </is>
      </c>
      <c r="BC527" t="inlineStr">
        <is>
          <t>32285001858785</t>
        </is>
      </c>
      <c r="BD527" t="inlineStr">
        <is>
          <t>893433458</t>
        </is>
      </c>
    </row>
    <row r="528">
      <c r="A528" t="inlineStr">
        <is>
          <t>No</t>
        </is>
      </c>
      <c r="B528" t="inlineStr">
        <is>
          <t>BT28 .H333 1997</t>
        </is>
      </c>
      <c r="C528" t="inlineStr">
        <is>
          <t>0                      BT 0028000H  333         1997</t>
        </is>
      </c>
      <c r="D528" t="inlineStr">
        <is>
          <t>Wilderness wanderings : probing twentieth-century theology and philosophy / Stanley M. Hauerwas.</t>
        </is>
      </c>
      <c r="F528" t="inlineStr">
        <is>
          <t>No</t>
        </is>
      </c>
      <c r="G528" t="inlineStr">
        <is>
          <t>1</t>
        </is>
      </c>
      <c r="H528" t="inlineStr">
        <is>
          <t>No</t>
        </is>
      </c>
      <c r="I528" t="inlineStr">
        <is>
          <t>No</t>
        </is>
      </c>
      <c r="J528" t="inlineStr">
        <is>
          <t>0</t>
        </is>
      </c>
      <c r="K528" t="inlineStr">
        <is>
          <t>Hauerwas, Stanley, 1940-</t>
        </is>
      </c>
      <c r="L528" t="inlineStr">
        <is>
          <t>Boulder, Colo. : WestviewPress, 1997.</t>
        </is>
      </c>
      <c r="M528" t="inlineStr">
        <is>
          <t>1997</t>
        </is>
      </c>
      <c r="O528" t="inlineStr">
        <is>
          <t>eng</t>
        </is>
      </c>
      <c r="P528" t="inlineStr">
        <is>
          <t>cou</t>
        </is>
      </c>
      <c r="Q528" t="inlineStr">
        <is>
          <t>Radical traditions</t>
        </is>
      </c>
      <c r="R528" t="inlineStr">
        <is>
          <t xml:space="preserve">BT </t>
        </is>
      </c>
      <c r="S528" t="n">
        <v>2</v>
      </c>
      <c r="T528" t="n">
        <v>2</v>
      </c>
      <c r="U528" t="inlineStr">
        <is>
          <t>2001-10-11</t>
        </is>
      </c>
      <c r="V528" t="inlineStr">
        <is>
          <t>2001-10-11</t>
        </is>
      </c>
      <c r="W528" t="inlineStr">
        <is>
          <t>1998-02-26</t>
        </is>
      </c>
      <c r="X528" t="inlineStr">
        <is>
          <t>1998-02-26</t>
        </is>
      </c>
      <c r="Y528" t="n">
        <v>384</v>
      </c>
      <c r="Z528" t="n">
        <v>322</v>
      </c>
      <c r="AA528" t="n">
        <v>352</v>
      </c>
      <c r="AB528" t="n">
        <v>2</v>
      </c>
      <c r="AC528" t="n">
        <v>2</v>
      </c>
      <c r="AD528" t="n">
        <v>23</v>
      </c>
      <c r="AE528" t="n">
        <v>23</v>
      </c>
      <c r="AF528" t="n">
        <v>11</v>
      </c>
      <c r="AG528" t="n">
        <v>11</v>
      </c>
      <c r="AH528" t="n">
        <v>7</v>
      </c>
      <c r="AI528" t="n">
        <v>7</v>
      </c>
      <c r="AJ528" t="n">
        <v>13</v>
      </c>
      <c r="AK528" t="n">
        <v>13</v>
      </c>
      <c r="AL528" t="n">
        <v>1</v>
      </c>
      <c r="AM528" t="n">
        <v>1</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HYPERLINK("https://creighton-primo.hosted.exlibrisgroup.com/primo-explore/search?tab=default_tab&amp;search_scope=EVERYTHING&amp;vid=01CRU&amp;lang=en_US&amp;offset=0&amp;query=any,contains,991002792299702656","Catalog Record")</f>
        <v/>
      </c>
      <c r="AT528">
        <f>HYPERLINK("http://www.worldcat.org/oclc/36663067","WorldCat Record")</f>
        <v/>
      </c>
      <c r="AU528" t="inlineStr">
        <is>
          <t>619467:eng</t>
        </is>
      </c>
      <c r="AV528" t="inlineStr">
        <is>
          <t>36663067</t>
        </is>
      </c>
      <c r="AW528" t="inlineStr">
        <is>
          <t>991002792299702656</t>
        </is>
      </c>
      <c r="AX528" t="inlineStr">
        <is>
          <t>991002792299702656</t>
        </is>
      </c>
      <c r="AY528" t="inlineStr">
        <is>
          <t>2260552660002656</t>
        </is>
      </c>
      <c r="AZ528" t="inlineStr">
        <is>
          <t>BOOK</t>
        </is>
      </c>
      <c r="BB528" t="inlineStr">
        <is>
          <t>9780813333496</t>
        </is>
      </c>
      <c r="BC528" t="inlineStr">
        <is>
          <t>32285003355715</t>
        </is>
      </c>
      <c r="BD528" t="inlineStr">
        <is>
          <t>893799027</t>
        </is>
      </c>
    </row>
    <row r="529">
      <c r="A529" t="inlineStr">
        <is>
          <t>No</t>
        </is>
      </c>
      <c r="B529" t="inlineStr">
        <is>
          <t>BT28 .H34 1969</t>
        </is>
      </c>
      <c r="C529" t="inlineStr">
        <is>
          <t>0                      BT 0028000H  34          1969</t>
        </is>
      </c>
      <c r="D529" t="inlineStr">
        <is>
          <t>The historian and the believer; the morality of historical knowledge and Christian belief / Van Austin Harvey.</t>
        </is>
      </c>
      <c r="F529" t="inlineStr">
        <is>
          <t>No</t>
        </is>
      </c>
      <c r="G529" t="inlineStr">
        <is>
          <t>1</t>
        </is>
      </c>
      <c r="H529" t="inlineStr">
        <is>
          <t>No</t>
        </is>
      </c>
      <c r="I529" t="inlineStr">
        <is>
          <t>No</t>
        </is>
      </c>
      <c r="J529" t="inlineStr">
        <is>
          <t>0</t>
        </is>
      </c>
      <c r="K529" t="inlineStr">
        <is>
          <t>Harvey, Van A. (Van Austin)</t>
        </is>
      </c>
      <c r="L529" t="inlineStr">
        <is>
          <t>New York, Macmillan c1966, 1972 printing.</t>
        </is>
      </c>
      <c r="M529" t="inlineStr">
        <is>
          <t>1966</t>
        </is>
      </c>
      <c r="O529" t="inlineStr">
        <is>
          <t>eng</t>
        </is>
      </c>
      <c r="P529" t="inlineStr">
        <is>
          <t>nyu</t>
        </is>
      </c>
      <c r="R529" t="inlineStr">
        <is>
          <t xml:space="preserve">BT </t>
        </is>
      </c>
      <c r="S529" t="n">
        <v>5</v>
      </c>
      <c r="T529" t="n">
        <v>5</v>
      </c>
      <c r="U529" t="inlineStr">
        <is>
          <t>2008-09-23</t>
        </is>
      </c>
      <c r="V529" t="inlineStr">
        <is>
          <t>2008-09-23</t>
        </is>
      </c>
      <c r="W529" t="inlineStr">
        <is>
          <t>1991-06-14</t>
        </is>
      </c>
      <c r="X529" t="inlineStr">
        <is>
          <t>1991-06-14</t>
        </is>
      </c>
      <c r="Y529" t="n">
        <v>677</v>
      </c>
      <c r="Z529" t="n">
        <v>608</v>
      </c>
      <c r="AA529" t="n">
        <v>820</v>
      </c>
      <c r="AB529" t="n">
        <v>6</v>
      </c>
      <c r="AC529" t="n">
        <v>7</v>
      </c>
      <c r="AD529" t="n">
        <v>27</v>
      </c>
      <c r="AE529" t="n">
        <v>44</v>
      </c>
      <c r="AF529" t="n">
        <v>14</v>
      </c>
      <c r="AG529" t="n">
        <v>20</v>
      </c>
      <c r="AH529" t="n">
        <v>3</v>
      </c>
      <c r="AI529" t="n">
        <v>7</v>
      </c>
      <c r="AJ529" t="n">
        <v>13</v>
      </c>
      <c r="AK529" t="n">
        <v>25</v>
      </c>
      <c r="AL529" t="n">
        <v>4</v>
      </c>
      <c r="AM529" t="n">
        <v>5</v>
      </c>
      <c r="AN529" t="n">
        <v>0</v>
      </c>
      <c r="AO529" t="n">
        <v>0</v>
      </c>
      <c r="AP529" t="inlineStr">
        <is>
          <t>No</t>
        </is>
      </c>
      <c r="AQ529" t="inlineStr">
        <is>
          <t>Yes</t>
        </is>
      </c>
      <c r="AR529">
        <f>HYPERLINK("http://catalog.hathitrust.org/Record/006762688","HathiTrust Record")</f>
        <v/>
      </c>
      <c r="AS529">
        <f>HYPERLINK("https://creighton-primo.hosted.exlibrisgroup.com/primo-explore/search?tab=default_tab&amp;search_scope=EVERYTHING&amp;vid=01CRU&amp;lang=en_US&amp;offset=0&amp;query=any,contains,991002640989702656","Catalog Record")</f>
        <v/>
      </c>
      <c r="AT529">
        <f>HYPERLINK("http://www.worldcat.org/oclc/384343","WorldCat Record")</f>
        <v/>
      </c>
      <c r="AU529" t="inlineStr">
        <is>
          <t>513748:eng</t>
        </is>
      </c>
      <c r="AV529" t="inlineStr">
        <is>
          <t>384343</t>
        </is>
      </c>
      <c r="AW529" t="inlineStr">
        <is>
          <t>991002640989702656</t>
        </is>
      </c>
      <c r="AX529" t="inlineStr">
        <is>
          <t>991002640989702656</t>
        </is>
      </c>
      <c r="AY529" t="inlineStr">
        <is>
          <t>2256290410002656</t>
        </is>
      </c>
      <c r="AZ529" t="inlineStr">
        <is>
          <t>BOOK</t>
        </is>
      </c>
      <c r="BC529" t="inlineStr">
        <is>
          <t>32285000686633</t>
        </is>
      </c>
      <c r="BD529" t="inlineStr">
        <is>
          <t>893530276</t>
        </is>
      </c>
    </row>
    <row r="530">
      <c r="A530" t="inlineStr">
        <is>
          <t>No</t>
        </is>
      </c>
      <c r="B530" t="inlineStr">
        <is>
          <t>BT28 .I56 1995</t>
        </is>
      </c>
      <c r="C530" t="inlineStr">
        <is>
          <t>0                      BT 0028000I  56          1995</t>
        </is>
      </c>
      <c r="D530" t="inlineStr">
        <is>
          <t>Postmodern theory and biblical theology : vanquishing God's shadow / Brian D. Ingraffia.</t>
        </is>
      </c>
      <c r="F530" t="inlineStr">
        <is>
          <t>No</t>
        </is>
      </c>
      <c r="G530" t="inlineStr">
        <is>
          <t>1</t>
        </is>
      </c>
      <c r="H530" t="inlineStr">
        <is>
          <t>No</t>
        </is>
      </c>
      <c r="I530" t="inlineStr">
        <is>
          <t>No</t>
        </is>
      </c>
      <c r="J530" t="inlineStr">
        <is>
          <t>0</t>
        </is>
      </c>
      <c r="K530" t="inlineStr">
        <is>
          <t>Ingraffia, Brian D.</t>
        </is>
      </c>
      <c r="L530" t="inlineStr">
        <is>
          <t>Cambridge ; New York : Cambridge University Press, 1995.</t>
        </is>
      </c>
      <c r="M530" t="inlineStr">
        <is>
          <t>1995</t>
        </is>
      </c>
      <c r="O530" t="inlineStr">
        <is>
          <t>eng</t>
        </is>
      </c>
      <c r="P530" t="inlineStr">
        <is>
          <t>enk</t>
        </is>
      </c>
      <c r="R530" t="inlineStr">
        <is>
          <t xml:space="preserve">BT </t>
        </is>
      </c>
      <c r="S530" t="n">
        <v>5</v>
      </c>
      <c r="T530" t="n">
        <v>5</v>
      </c>
      <c r="U530" t="inlineStr">
        <is>
          <t>1998-03-27</t>
        </is>
      </c>
      <c r="V530" t="inlineStr">
        <is>
          <t>1998-03-27</t>
        </is>
      </c>
      <c r="W530" t="inlineStr">
        <is>
          <t>1996-10-16</t>
        </is>
      </c>
      <c r="X530" t="inlineStr">
        <is>
          <t>1996-10-16</t>
        </is>
      </c>
      <c r="Y530" t="n">
        <v>469</v>
      </c>
      <c r="Z530" t="n">
        <v>343</v>
      </c>
      <c r="AA530" t="n">
        <v>354</v>
      </c>
      <c r="AB530" t="n">
        <v>5</v>
      </c>
      <c r="AC530" t="n">
        <v>5</v>
      </c>
      <c r="AD530" t="n">
        <v>27</v>
      </c>
      <c r="AE530" t="n">
        <v>27</v>
      </c>
      <c r="AF530" t="n">
        <v>11</v>
      </c>
      <c r="AG530" t="n">
        <v>11</v>
      </c>
      <c r="AH530" t="n">
        <v>6</v>
      </c>
      <c r="AI530" t="n">
        <v>6</v>
      </c>
      <c r="AJ530" t="n">
        <v>12</v>
      </c>
      <c r="AK530" t="n">
        <v>12</v>
      </c>
      <c r="AL530" t="n">
        <v>4</v>
      </c>
      <c r="AM530" t="n">
        <v>4</v>
      </c>
      <c r="AN530" t="n">
        <v>1</v>
      </c>
      <c r="AO530" t="n">
        <v>1</v>
      </c>
      <c r="AP530" t="inlineStr">
        <is>
          <t>No</t>
        </is>
      </c>
      <c r="AQ530" t="inlineStr">
        <is>
          <t>No</t>
        </is>
      </c>
      <c r="AS530">
        <f>HYPERLINK("https://creighton-primo.hosted.exlibrisgroup.com/primo-explore/search?tab=default_tab&amp;search_scope=EVERYTHING&amp;vid=01CRU&amp;lang=en_US&amp;offset=0&amp;query=any,contains,991002470409702656","Catalog Record")</f>
        <v/>
      </c>
      <c r="AT530">
        <f>HYPERLINK("http://www.worldcat.org/oclc/32168232","WorldCat Record")</f>
        <v/>
      </c>
      <c r="AU530" t="inlineStr">
        <is>
          <t>837038173:eng</t>
        </is>
      </c>
      <c r="AV530" t="inlineStr">
        <is>
          <t>32168232</t>
        </is>
      </c>
      <c r="AW530" t="inlineStr">
        <is>
          <t>991002470409702656</t>
        </is>
      </c>
      <c r="AX530" t="inlineStr">
        <is>
          <t>991002470409702656</t>
        </is>
      </c>
      <c r="AY530" t="inlineStr">
        <is>
          <t>2262407650002656</t>
        </is>
      </c>
      <c r="AZ530" t="inlineStr">
        <is>
          <t>BOOK</t>
        </is>
      </c>
      <c r="BB530" t="inlineStr">
        <is>
          <t>9780521471367</t>
        </is>
      </c>
      <c r="BC530" t="inlineStr">
        <is>
          <t>32285002366291</t>
        </is>
      </c>
      <c r="BD530" t="inlineStr">
        <is>
          <t>893892588</t>
        </is>
      </c>
    </row>
    <row r="531">
      <c r="A531" t="inlineStr">
        <is>
          <t>No</t>
        </is>
      </c>
      <c r="B531" t="inlineStr">
        <is>
          <t>BT28 .J4</t>
        </is>
      </c>
      <c r="C531" t="inlineStr">
        <is>
          <t>0                      BT 0028000J  4</t>
        </is>
      </c>
      <c r="D531" t="inlineStr">
        <is>
          <t>Guide to the debate about God / by David E. Jenkins.</t>
        </is>
      </c>
      <c r="F531" t="inlineStr">
        <is>
          <t>No</t>
        </is>
      </c>
      <c r="G531" t="inlineStr">
        <is>
          <t>1</t>
        </is>
      </c>
      <c r="H531" t="inlineStr">
        <is>
          <t>No</t>
        </is>
      </c>
      <c r="I531" t="inlineStr">
        <is>
          <t>No</t>
        </is>
      </c>
      <c r="J531" t="inlineStr">
        <is>
          <t>0</t>
        </is>
      </c>
      <c r="K531" t="inlineStr">
        <is>
          <t>Jenkins, David E.</t>
        </is>
      </c>
      <c r="L531" t="inlineStr">
        <is>
          <t>Philadelphia, Westminister Press [1966]</t>
        </is>
      </c>
      <c r="M531" t="inlineStr">
        <is>
          <t>1966</t>
        </is>
      </c>
      <c r="O531" t="inlineStr">
        <is>
          <t>eng</t>
        </is>
      </c>
      <c r="P531" t="inlineStr">
        <is>
          <t>pau</t>
        </is>
      </c>
      <c r="Q531" t="inlineStr">
        <is>
          <t>Adventures in faith</t>
        </is>
      </c>
      <c r="R531" t="inlineStr">
        <is>
          <t xml:space="preserve">BT </t>
        </is>
      </c>
      <c r="S531" t="n">
        <v>4</v>
      </c>
      <c r="T531" t="n">
        <v>4</v>
      </c>
      <c r="U531" t="inlineStr">
        <is>
          <t>2003-07-01</t>
        </is>
      </c>
      <c r="V531" t="inlineStr">
        <is>
          <t>2003-07-01</t>
        </is>
      </c>
      <c r="W531" t="inlineStr">
        <is>
          <t>1991-06-14</t>
        </is>
      </c>
      <c r="X531" t="inlineStr">
        <is>
          <t>1991-06-14</t>
        </is>
      </c>
      <c r="Y531" t="n">
        <v>384</v>
      </c>
      <c r="Z531" t="n">
        <v>365</v>
      </c>
      <c r="AA531" t="n">
        <v>415</v>
      </c>
      <c r="AB531" t="n">
        <v>3</v>
      </c>
      <c r="AC531" t="n">
        <v>3</v>
      </c>
      <c r="AD531" t="n">
        <v>28</v>
      </c>
      <c r="AE531" t="n">
        <v>28</v>
      </c>
      <c r="AF531" t="n">
        <v>7</v>
      </c>
      <c r="AG531" t="n">
        <v>7</v>
      </c>
      <c r="AH531" t="n">
        <v>5</v>
      </c>
      <c r="AI531" t="n">
        <v>5</v>
      </c>
      <c r="AJ531" t="n">
        <v>20</v>
      </c>
      <c r="AK531" t="n">
        <v>20</v>
      </c>
      <c r="AL531" t="n">
        <v>2</v>
      </c>
      <c r="AM531" t="n">
        <v>2</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HYPERLINK("https://creighton-primo.hosted.exlibrisgroup.com/primo-explore/search?tab=default_tab&amp;search_scope=EVERYTHING&amp;vid=01CRU&amp;lang=en_US&amp;offset=0&amp;query=any,contains,991002648299702656","Catalog Record")</f>
        <v/>
      </c>
      <c r="AT531">
        <f>HYPERLINK("http://www.worldcat.org/oclc/386385","WorldCat Record")</f>
        <v/>
      </c>
      <c r="AU531" t="inlineStr">
        <is>
          <t>1511308:eng</t>
        </is>
      </c>
      <c r="AV531" t="inlineStr">
        <is>
          <t>386385</t>
        </is>
      </c>
      <c r="AW531" t="inlineStr">
        <is>
          <t>991002648299702656</t>
        </is>
      </c>
      <c r="AX531" t="inlineStr">
        <is>
          <t>991002648299702656</t>
        </is>
      </c>
      <c r="AY531" t="inlineStr">
        <is>
          <t>2259420950002656</t>
        </is>
      </c>
      <c r="AZ531" t="inlineStr">
        <is>
          <t>BOOK</t>
        </is>
      </c>
      <c r="BC531" t="inlineStr">
        <is>
          <t>32285000686682</t>
        </is>
      </c>
      <c r="BD531" t="inlineStr">
        <is>
          <t>893341671</t>
        </is>
      </c>
    </row>
    <row r="532">
      <c r="A532" t="inlineStr">
        <is>
          <t>No</t>
        </is>
      </c>
      <c r="B532" t="inlineStr">
        <is>
          <t>BT28 .K4 1975</t>
        </is>
      </c>
      <c r="C532" t="inlineStr">
        <is>
          <t>0                      BT 0028000K  4           1975</t>
        </is>
      </c>
      <c r="D532" t="inlineStr">
        <is>
          <t>A reader in political theology / ed. by Alistair Kee.</t>
        </is>
      </c>
      <c r="F532" t="inlineStr">
        <is>
          <t>No</t>
        </is>
      </c>
      <c r="G532" t="inlineStr">
        <is>
          <t>1</t>
        </is>
      </c>
      <c r="H532" t="inlineStr">
        <is>
          <t>No</t>
        </is>
      </c>
      <c r="I532" t="inlineStr">
        <is>
          <t>No</t>
        </is>
      </c>
      <c r="J532" t="inlineStr">
        <is>
          <t>0</t>
        </is>
      </c>
      <c r="K532" t="inlineStr">
        <is>
          <t>Kee, Alistair, 1937-, compiler.</t>
        </is>
      </c>
      <c r="L532" t="inlineStr">
        <is>
          <t>Philadelphia, Westminster Press [1975, c1974]</t>
        </is>
      </c>
      <c r="M532" t="inlineStr">
        <is>
          <t>1975</t>
        </is>
      </c>
      <c r="O532" t="inlineStr">
        <is>
          <t>eng</t>
        </is>
      </c>
      <c r="P532" t="inlineStr">
        <is>
          <t>pau</t>
        </is>
      </c>
      <c r="R532" t="inlineStr">
        <is>
          <t xml:space="preserve">BT </t>
        </is>
      </c>
      <c r="S532" t="n">
        <v>2</v>
      </c>
      <c r="T532" t="n">
        <v>2</v>
      </c>
      <c r="U532" t="inlineStr">
        <is>
          <t>2003-07-01</t>
        </is>
      </c>
      <c r="V532" t="inlineStr">
        <is>
          <t>2003-07-01</t>
        </is>
      </c>
      <c r="W532" t="inlineStr">
        <is>
          <t>1991-06-14</t>
        </is>
      </c>
      <c r="X532" t="inlineStr">
        <is>
          <t>1991-06-14</t>
        </is>
      </c>
      <c r="Y532" t="n">
        <v>218</v>
      </c>
      <c r="Z532" t="n">
        <v>198</v>
      </c>
      <c r="AA532" t="n">
        <v>251</v>
      </c>
      <c r="AB532" t="n">
        <v>1</v>
      </c>
      <c r="AC532" t="n">
        <v>2</v>
      </c>
      <c r="AD532" t="n">
        <v>14</v>
      </c>
      <c r="AE532" t="n">
        <v>17</v>
      </c>
      <c r="AF532" t="n">
        <v>3</v>
      </c>
      <c r="AG532" t="n">
        <v>3</v>
      </c>
      <c r="AH532" t="n">
        <v>5</v>
      </c>
      <c r="AI532" t="n">
        <v>6</v>
      </c>
      <c r="AJ532" t="n">
        <v>11</v>
      </c>
      <c r="AK532" t="n">
        <v>12</v>
      </c>
      <c r="AL532" t="n">
        <v>0</v>
      </c>
      <c r="AM532" t="n">
        <v>1</v>
      </c>
      <c r="AN532" t="n">
        <v>0</v>
      </c>
      <c r="AO532" t="n">
        <v>0</v>
      </c>
      <c r="AP532" t="inlineStr">
        <is>
          <t>No</t>
        </is>
      </c>
      <c r="AQ532" t="inlineStr">
        <is>
          <t>Yes</t>
        </is>
      </c>
      <c r="AR532">
        <f>HYPERLINK("http://catalog.hathitrust.org/Record/007551432","HathiTrust Record")</f>
        <v/>
      </c>
      <c r="AS532">
        <f>HYPERLINK("https://creighton-primo.hosted.exlibrisgroup.com/primo-explore/search?tab=default_tab&amp;search_scope=EVERYTHING&amp;vid=01CRU&amp;lang=en_US&amp;offset=0&amp;query=any,contains,991003501879702656","Catalog Record")</f>
        <v/>
      </c>
      <c r="AT532">
        <f>HYPERLINK("http://www.worldcat.org/oclc/1054211","WorldCat Record")</f>
        <v/>
      </c>
      <c r="AU532" t="inlineStr">
        <is>
          <t>54360122:eng</t>
        </is>
      </c>
      <c r="AV532" t="inlineStr">
        <is>
          <t>1054211</t>
        </is>
      </c>
      <c r="AW532" t="inlineStr">
        <is>
          <t>991003501879702656</t>
        </is>
      </c>
      <c r="AX532" t="inlineStr">
        <is>
          <t>991003501879702656</t>
        </is>
      </c>
      <c r="AY532" t="inlineStr">
        <is>
          <t>2269256170002656</t>
        </is>
      </c>
      <c r="AZ532" t="inlineStr">
        <is>
          <t>BOOK</t>
        </is>
      </c>
      <c r="BB532" t="inlineStr">
        <is>
          <t>9780664248161</t>
        </is>
      </c>
      <c r="BC532" t="inlineStr">
        <is>
          <t>32285000686690</t>
        </is>
      </c>
      <c r="BD532" t="inlineStr">
        <is>
          <t>893692771</t>
        </is>
      </c>
    </row>
    <row r="533">
      <c r="A533" t="inlineStr">
        <is>
          <t>No</t>
        </is>
      </c>
      <c r="B533" t="inlineStr">
        <is>
          <t>BT28 .K558</t>
        </is>
      </c>
      <c r="C533" t="inlineStr">
        <is>
          <t>0                      BT 0028000K  558</t>
        </is>
      </c>
      <c r="D533" t="inlineStr">
        <is>
          <t>The shattered spectrum : a survey of contemporary theology / Lonnie D. Kliever.</t>
        </is>
      </c>
      <c r="F533" t="inlineStr">
        <is>
          <t>No</t>
        </is>
      </c>
      <c r="G533" t="inlineStr">
        <is>
          <t>1</t>
        </is>
      </c>
      <c r="H533" t="inlineStr">
        <is>
          <t>No</t>
        </is>
      </c>
      <c r="I533" t="inlineStr">
        <is>
          <t>No</t>
        </is>
      </c>
      <c r="J533" t="inlineStr">
        <is>
          <t>0</t>
        </is>
      </c>
      <c r="K533" t="inlineStr">
        <is>
          <t>Kliever, Lonnie D.</t>
        </is>
      </c>
      <c r="L533" t="inlineStr">
        <is>
          <t>Atlanta : John Knox Press, c1981.</t>
        </is>
      </c>
      <c r="M533" t="inlineStr">
        <is>
          <t>1981</t>
        </is>
      </c>
      <c r="O533" t="inlineStr">
        <is>
          <t>eng</t>
        </is>
      </c>
      <c r="P533" t="inlineStr">
        <is>
          <t>gau</t>
        </is>
      </c>
      <c r="R533" t="inlineStr">
        <is>
          <t xml:space="preserve">BT </t>
        </is>
      </c>
      <c r="S533" t="n">
        <v>1</v>
      </c>
      <c r="T533" t="n">
        <v>1</v>
      </c>
      <c r="U533" t="inlineStr">
        <is>
          <t>2003-07-01</t>
        </is>
      </c>
      <c r="V533" t="inlineStr">
        <is>
          <t>2003-07-01</t>
        </is>
      </c>
      <c r="W533" t="inlineStr">
        <is>
          <t>1991-06-14</t>
        </is>
      </c>
      <c r="X533" t="inlineStr">
        <is>
          <t>1991-06-14</t>
        </is>
      </c>
      <c r="Y533" t="n">
        <v>514</v>
      </c>
      <c r="Z533" t="n">
        <v>454</v>
      </c>
      <c r="AA533" t="n">
        <v>454</v>
      </c>
      <c r="AB533" t="n">
        <v>4</v>
      </c>
      <c r="AC533" t="n">
        <v>4</v>
      </c>
      <c r="AD533" t="n">
        <v>23</v>
      </c>
      <c r="AE533" t="n">
        <v>23</v>
      </c>
      <c r="AF533" t="n">
        <v>8</v>
      </c>
      <c r="AG533" t="n">
        <v>8</v>
      </c>
      <c r="AH533" t="n">
        <v>6</v>
      </c>
      <c r="AI533" t="n">
        <v>6</v>
      </c>
      <c r="AJ533" t="n">
        <v>14</v>
      </c>
      <c r="AK533" t="n">
        <v>14</v>
      </c>
      <c r="AL533" t="n">
        <v>3</v>
      </c>
      <c r="AM533" t="n">
        <v>3</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HYPERLINK("https://creighton-primo.hosted.exlibrisgroup.com/primo-explore/search?tab=default_tab&amp;search_scope=EVERYTHING&amp;vid=01CRU&amp;lang=en_US&amp;offset=0&amp;query=any,contains,991005083649702656","Catalog Record")</f>
        <v/>
      </c>
      <c r="AT533">
        <f>HYPERLINK("http://www.worldcat.org/oclc/7176805","WorldCat Record")</f>
        <v/>
      </c>
      <c r="AU533" t="inlineStr">
        <is>
          <t>899747948:eng</t>
        </is>
      </c>
      <c r="AV533" t="inlineStr">
        <is>
          <t>7176805</t>
        </is>
      </c>
      <c r="AW533" t="inlineStr">
        <is>
          <t>991005083649702656</t>
        </is>
      </c>
      <c r="AX533" t="inlineStr">
        <is>
          <t>991005083649702656</t>
        </is>
      </c>
      <c r="AY533" t="inlineStr">
        <is>
          <t>2271129650002656</t>
        </is>
      </c>
      <c r="AZ533" t="inlineStr">
        <is>
          <t>BOOK</t>
        </is>
      </c>
      <c r="BB533" t="inlineStr">
        <is>
          <t>9780804207072</t>
        </is>
      </c>
      <c r="BC533" t="inlineStr">
        <is>
          <t>32285000686708</t>
        </is>
      </c>
      <c r="BD533" t="inlineStr">
        <is>
          <t>893600590</t>
        </is>
      </c>
    </row>
    <row r="534">
      <c r="A534" t="inlineStr">
        <is>
          <t>No</t>
        </is>
      </c>
      <c r="B534" t="inlineStr">
        <is>
          <t>BT28 .L55</t>
        </is>
      </c>
      <c r="C534" t="inlineStr">
        <is>
          <t>0                      BT 0028000L  55</t>
        </is>
      </c>
      <c r="D534" t="inlineStr">
        <is>
          <t>Modern Christian thought : from the Enlightenment to Vatican II / [by] James C. Livingston.</t>
        </is>
      </c>
      <c r="F534" t="inlineStr">
        <is>
          <t>No</t>
        </is>
      </c>
      <c r="G534" t="inlineStr">
        <is>
          <t>1</t>
        </is>
      </c>
      <c r="H534" t="inlineStr">
        <is>
          <t>No</t>
        </is>
      </c>
      <c r="I534" t="inlineStr">
        <is>
          <t>No</t>
        </is>
      </c>
      <c r="J534" t="inlineStr">
        <is>
          <t>0</t>
        </is>
      </c>
      <c r="K534" t="inlineStr">
        <is>
          <t>Livingston, James C., 1930-</t>
        </is>
      </c>
      <c r="L534" t="inlineStr">
        <is>
          <t>New York, Macmillan [1971]</t>
        </is>
      </c>
      <c r="M534" t="inlineStr">
        <is>
          <t>1971</t>
        </is>
      </c>
      <c r="O534" t="inlineStr">
        <is>
          <t>eng</t>
        </is>
      </c>
      <c r="P534" t="inlineStr">
        <is>
          <t>nyu</t>
        </is>
      </c>
      <c r="R534" t="inlineStr">
        <is>
          <t xml:space="preserve">BT </t>
        </is>
      </c>
      <c r="S534" t="n">
        <v>9</v>
      </c>
      <c r="T534" t="n">
        <v>9</v>
      </c>
      <c r="U534" t="inlineStr">
        <is>
          <t>2003-07-01</t>
        </is>
      </c>
      <c r="V534" t="inlineStr">
        <is>
          <t>2003-07-01</t>
        </is>
      </c>
      <c r="W534" t="inlineStr">
        <is>
          <t>1990-06-01</t>
        </is>
      </c>
      <c r="X534" t="inlineStr">
        <is>
          <t>1990-06-01</t>
        </is>
      </c>
      <c r="Y534" t="n">
        <v>655</v>
      </c>
      <c r="Z534" t="n">
        <v>568</v>
      </c>
      <c r="AA534" t="n">
        <v>598</v>
      </c>
      <c r="AB534" t="n">
        <v>6</v>
      </c>
      <c r="AC534" t="n">
        <v>7</v>
      </c>
      <c r="AD534" t="n">
        <v>34</v>
      </c>
      <c r="AE534" t="n">
        <v>35</v>
      </c>
      <c r="AF534" t="n">
        <v>14</v>
      </c>
      <c r="AG534" t="n">
        <v>14</v>
      </c>
      <c r="AH534" t="n">
        <v>6</v>
      </c>
      <c r="AI534" t="n">
        <v>6</v>
      </c>
      <c r="AJ534" t="n">
        <v>16</v>
      </c>
      <c r="AK534" t="n">
        <v>16</v>
      </c>
      <c r="AL534" t="n">
        <v>5</v>
      </c>
      <c r="AM534" t="n">
        <v>6</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HYPERLINK("https://creighton-primo.hosted.exlibrisgroup.com/primo-explore/search?tab=default_tab&amp;search_scope=EVERYTHING&amp;vid=01CRU&amp;lang=en_US&amp;offset=0&amp;query=any,contains,991000720429702656","Catalog Record")</f>
        <v/>
      </c>
      <c r="AT534">
        <f>HYPERLINK("http://www.worldcat.org/oclc/126577","WorldCat Record")</f>
        <v/>
      </c>
      <c r="AU534" t="inlineStr">
        <is>
          <t>10075977819:eng</t>
        </is>
      </c>
      <c r="AV534" t="inlineStr">
        <is>
          <t>126577</t>
        </is>
      </c>
      <c r="AW534" t="inlineStr">
        <is>
          <t>991000720429702656</t>
        </is>
      </c>
      <c r="AX534" t="inlineStr">
        <is>
          <t>991000720429702656</t>
        </is>
      </c>
      <c r="AY534" t="inlineStr">
        <is>
          <t>2258430140002656</t>
        </is>
      </c>
      <c r="AZ534" t="inlineStr">
        <is>
          <t>BOOK</t>
        </is>
      </c>
      <c r="BC534" t="inlineStr">
        <is>
          <t>32285000169507</t>
        </is>
      </c>
      <c r="BD534" t="inlineStr">
        <is>
          <t>893708642</t>
        </is>
      </c>
    </row>
    <row r="535">
      <c r="A535" t="inlineStr">
        <is>
          <t>No</t>
        </is>
      </c>
      <c r="B535" t="inlineStr">
        <is>
          <t>BT28 .M24</t>
        </is>
      </c>
      <c r="C535" t="inlineStr">
        <is>
          <t>0                      BT 0028000M  24</t>
        </is>
      </c>
      <c r="D535" t="inlineStr">
        <is>
          <t>When gods change : hope for theology / Charles S. McCoy.</t>
        </is>
      </c>
      <c r="F535" t="inlineStr">
        <is>
          <t>No</t>
        </is>
      </c>
      <c r="G535" t="inlineStr">
        <is>
          <t>1</t>
        </is>
      </c>
      <c r="H535" t="inlineStr">
        <is>
          <t>No</t>
        </is>
      </c>
      <c r="I535" t="inlineStr">
        <is>
          <t>No</t>
        </is>
      </c>
      <c r="J535" t="inlineStr">
        <is>
          <t>0</t>
        </is>
      </c>
      <c r="K535" t="inlineStr">
        <is>
          <t>McCoy, Charles S.</t>
        </is>
      </c>
      <c r="L535" t="inlineStr">
        <is>
          <t>Nashville : Abingdon, c1980.</t>
        </is>
      </c>
      <c r="M535" t="inlineStr">
        <is>
          <t>1980</t>
        </is>
      </c>
      <c r="O535" t="inlineStr">
        <is>
          <t>eng</t>
        </is>
      </c>
      <c r="P535" t="inlineStr">
        <is>
          <t>tnu</t>
        </is>
      </c>
      <c r="R535" t="inlineStr">
        <is>
          <t xml:space="preserve">BT </t>
        </is>
      </c>
      <c r="S535" t="n">
        <v>2</v>
      </c>
      <c r="T535" t="n">
        <v>2</v>
      </c>
      <c r="U535" t="inlineStr">
        <is>
          <t>2003-07-01</t>
        </is>
      </c>
      <c r="V535" t="inlineStr">
        <is>
          <t>2003-07-01</t>
        </is>
      </c>
      <c r="W535" t="inlineStr">
        <is>
          <t>1991-06-14</t>
        </is>
      </c>
      <c r="X535" t="inlineStr">
        <is>
          <t>1991-06-14</t>
        </is>
      </c>
      <c r="Y535" t="n">
        <v>296</v>
      </c>
      <c r="Z535" t="n">
        <v>260</v>
      </c>
      <c r="AA535" t="n">
        <v>264</v>
      </c>
      <c r="AB535" t="n">
        <v>2</v>
      </c>
      <c r="AC535" t="n">
        <v>2</v>
      </c>
      <c r="AD535" t="n">
        <v>16</v>
      </c>
      <c r="AE535" t="n">
        <v>16</v>
      </c>
      <c r="AF535" t="n">
        <v>5</v>
      </c>
      <c r="AG535" t="n">
        <v>5</v>
      </c>
      <c r="AH535" t="n">
        <v>4</v>
      </c>
      <c r="AI535" t="n">
        <v>4</v>
      </c>
      <c r="AJ535" t="n">
        <v>10</v>
      </c>
      <c r="AK535" t="n">
        <v>10</v>
      </c>
      <c r="AL535" t="n">
        <v>1</v>
      </c>
      <c r="AM535" t="n">
        <v>1</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HYPERLINK("https://creighton-primo.hosted.exlibrisgroup.com/primo-explore/search?tab=default_tab&amp;search_scope=EVERYTHING&amp;vid=01CRU&amp;lang=en_US&amp;offset=0&amp;query=any,contains,991004903189702656","Catalog Record")</f>
        <v/>
      </c>
      <c r="AT535">
        <f>HYPERLINK("http://www.worldcat.org/oclc/5942447","WorldCat Record")</f>
        <v/>
      </c>
      <c r="AU535" t="inlineStr">
        <is>
          <t>20987342:eng</t>
        </is>
      </c>
      <c r="AV535" t="inlineStr">
        <is>
          <t>5942447</t>
        </is>
      </c>
      <c r="AW535" t="inlineStr">
        <is>
          <t>991004903189702656</t>
        </is>
      </c>
      <c r="AX535" t="inlineStr">
        <is>
          <t>991004903189702656</t>
        </is>
      </c>
      <c r="AY535" t="inlineStr">
        <is>
          <t>2270580530002656</t>
        </is>
      </c>
      <c r="AZ535" t="inlineStr">
        <is>
          <t>BOOK</t>
        </is>
      </c>
      <c r="BB535" t="inlineStr">
        <is>
          <t>9780687450015</t>
        </is>
      </c>
      <c r="BC535" t="inlineStr">
        <is>
          <t>32285000686716</t>
        </is>
      </c>
      <c r="BD535" t="inlineStr">
        <is>
          <t>893719537</t>
        </is>
      </c>
    </row>
    <row r="536">
      <c r="A536" t="inlineStr">
        <is>
          <t>No</t>
        </is>
      </c>
      <c r="B536" t="inlineStr">
        <is>
          <t>BT28 .M247 1987</t>
        </is>
      </c>
      <c r="C536" t="inlineStr">
        <is>
          <t>0                      BT 0028000M  247         1987</t>
        </is>
      </c>
      <c r="D536" t="inlineStr">
        <is>
          <t>Modern theology : a sense of direction / James P. Mackey.</t>
        </is>
      </c>
      <c r="F536" t="inlineStr">
        <is>
          <t>No</t>
        </is>
      </c>
      <c r="G536" t="inlineStr">
        <is>
          <t>1</t>
        </is>
      </c>
      <c r="H536" t="inlineStr">
        <is>
          <t>No</t>
        </is>
      </c>
      <c r="I536" t="inlineStr">
        <is>
          <t>No</t>
        </is>
      </c>
      <c r="J536" t="inlineStr">
        <is>
          <t>0</t>
        </is>
      </c>
      <c r="K536" t="inlineStr">
        <is>
          <t>Mackey, James P. (James Patrick), 1934-</t>
        </is>
      </c>
      <c r="L536" t="inlineStr">
        <is>
          <t>Oxford ; New York : Oxford University Press, 1987.</t>
        </is>
      </c>
      <c r="M536" t="inlineStr">
        <is>
          <t>1987</t>
        </is>
      </c>
      <c r="O536" t="inlineStr">
        <is>
          <t>eng</t>
        </is>
      </c>
      <c r="P536" t="inlineStr">
        <is>
          <t>enk</t>
        </is>
      </c>
      <c r="Q536" t="inlineStr">
        <is>
          <t>OPUS</t>
        </is>
      </c>
      <c r="R536" t="inlineStr">
        <is>
          <t xml:space="preserve">BT </t>
        </is>
      </c>
      <c r="S536" t="n">
        <v>7</v>
      </c>
      <c r="T536" t="n">
        <v>7</v>
      </c>
      <c r="U536" t="inlineStr">
        <is>
          <t>2003-07-01</t>
        </is>
      </c>
      <c r="V536" t="inlineStr">
        <is>
          <t>2003-07-01</t>
        </is>
      </c>
      <c r="W536" t="inlineStr">
        <is>
          <t>1991-06-14</t>
        </is>
      </c>
      <c r="X536" t="inlineStr">
        <is>
          <t>1991-06-14</t>
        </is>
      </c>
      <c r="Y536" t="n">
        <v>478</v>
      </c>
      <c r="Z536" t="n">
        <v>370</v>
      </c>
      <c r="AA536" t="n">
        <v>377</v>
      </c>
      <c r="AB536" t="n">
        <v>3</v>
      </c>
      <c r="AC536" t="n">
        <v>3</v>
      </c>
      <c r="AD536" t="n">
        <v>25</v>
      </c>
      <c r="AE536" t="n">
        <v>25</v>
      </c>
      <c r="AF536" t="n">
        <v>10</v>
      </c>
      <c r="AG536" t="n">
        <v>10</v>
      </c>
      <c r="AH536" t="n">
        <v>5</v>
      </c>
      <c r="AI536" t="n">
        <v>5</v>
      </c>
      <c r="AJ536" t="n">
        <v>17</v>
      </c>
      <c r="AK536" t="n">
        <v>17</v>
      </c>
      <c r="AL536" t="n">
        <v>2</v>
      </c>
      <c r="AM536" t="n">
        <v>2</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HYPERLINK("https://creighton-primo.hosted.exlibrisgroup.com/primo-explore/search?tab=default_tab&amp;search_scope=EVERYTHING&amp;vid=01CRU&amp;lang=en_US&amp;offset=0&amp;query=any,contains,991000942079702656","Catalog Record")</f>
        <v/>
      </c>
      <c r="AT536">
        <f>HYPERLINK("http://www.worldcat.org/oclc/14413400","WorldCat Record")</f>
        <v/>
      </c>
      <c r="AU536" t="inlineStr">
        <is>
          <t>807714679:eng</t>
        </is>
      </c>
      <c r="AV536" t="inlineStr">
        <is>
          <t>14413400</t>
        </is>
      </c>
      <c r="AW536" t="inlineStr">
        <is>
          <t>991000942079702656</t>
        </is>
      </c>
      <c r="AX536" t="inlineStr">
        <is>
          <t>991000942079702656</t>
        </is>
      </c>
      <c r="AY536" t="inlineStr">
        <is>
          <t>2266386200002656</t>
        </is>
      </c>
      <c r="AZ536" t="inlineStr">
        <is>
          <t>BOOK</t>
        </is>
      </c>
      <c r="BB536" t="inlineStr">
        <is>
          <t>9780192892065</t>
        </is>
      </c>
      <c r="BC536" t="inlineStr">
        <is>
          <t>32285000686724</t>
        </is>
      </c>
      <c r="BD536" t="inlineStr">
        <is>
          <t>893225463</t>
        </is>
      </c>
    </row>
    <row r="537">
      <c r="A537" t="inlineStr">
        <is>
          <t>No</t>
        </is>
      </c>
      <c r="B537" t="inlineStr">
        <is>
          <t>BT28 .M28 1966</t>
        </is>
      </c>
      <c r="C537" t="inlineStr">
        <is>
          <t>0                      BT 0028000M  28          1966</t>
        </is>
      </c>
      <c r="D537" t="inlineStr">
        <is>
          <t>The secularization of Christianity : an analysis and a critique / [by] E. L. Mascall.</t>
        </is>
      </c>
      <c r="F537" t="inlineStr">
        <is>
          <t>No</t>
        </is>
      </c>
      <c r="G537" t="inlineStr">
        <is>
          <t>1</t>
        </is>
      </c>
      <c r="H537" t="inlineStr">
        <is>
          <t>No</t>
        </is>
      </c>
      <c r="I537" t="inlineStr">
        <is>
          <t>No</t>
        </is>
      </c>
      <c r="J537" t="inlineStr">
        <is>
          <t>0</t>
        </is>
      </c>
      <c r="K537" t="inlineStr">
        <is>
          <t>Mascall, E. L. (Eric Lionel), 1905-1993.</t>
        </is>
      </c>
      <c r="L537" t="inlineStr">
        <is>
          <t>New York, Holt, Rinehart and Winston [1966, c1965]</t>
        </is>
      </c>
      <c r="M537" t="inlineStr">
        <is>
          <t>1966</t>
        </is>
      </c>
      <c r="O537" t="inlineStr">
        <is>
          <t>eng</t>
        </is>
      </c>
      <c r="P537" t="inlineStr">
        <is>
          <t>nyu</t>
        </is>
      </c>
      <c r="R537" t="inlineStr">
        <is>
          <t xml:space="preserve">BT </t>
        </is>
      </c>
      <c r="S537" t="n">
        <v>2</v>
      </c>
      <c r="T537" t="n">
        <v>2</v>
      </c>
      <c r="U537" t="inlineStr">
        <is>
          <t>2003-07-01</t>
        </is>
      </c>
      <c r="V537" t="inlineStr">
        <is>
          <t>2003-07-01</t>
        </is>
      </c>
      <c r="W537" t="inlineStr">
        <is>
          <t>1991-06-14</t>
        </is>
      </c>
      <c r="X537" t="inlineStr">
        <is>
          <t>1991-06-14</t>
        </is>
      </c>
      <c r="Y537" t="n">
        <v>525</v>
      </c>
      <c r="Z537" t="n">
        <v>484</v>
      </c>
      <c r="AA537" t="n">
        <v>644</v>
      </c>
      <c r="AB537" t="n">
        <v>5</v>
      </c>
      <c r="AC537" t="n">
        <v>6</v>
      </c>
      <c r="AD537" t="n">
        <v>30</v>
      </c>
      <c r="AE537" t="n">
        <v>45</v>
      </c>
      <c r="AF537" t="n">
        <v>11</v>
      </c>
      <c r="AG537" t="n">
        <v>19</v>
      </c>
      <c r="AH537" t="n">
        <v>6</v>
      </c>
      <c r="AI537" t="n">
        <v>7</v>
      </c>
      <c r="AJ537" t="n">
        <v>18</v>
      </c>
      <c r="AK537" t="n">
        <v>26</v>
      </c>
      <c r="AL537" t="n">
        <v>3</v>
      </c>
      <c r="AM537" t="n">
        <v>4</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HYPERLINK("https://creighton-primo.hosted.exlibrisgroup.com/primo-explore/search?tab=default_tab&amp;search_scope=EVERYTHING&amp;vid=01CRU&amp;lang=en_US&amp;offset=0&amp;query=any,contains,991003775929702656","Catalog Record")</f>
        <v/>
      </c>
      <c r="AT537">
        <f>HYPERLINK("http://www.worldcat.org/oclc/1483692","WorldCat Record")</f>
        <v/>
      </c>
      <c r="AU537" t="inlineStr">
        <is>
          <t>22024898:eng</t>
        </is>
      </c>
      <c r="AV537" t="inlineStr">
        <is>
          <t>1483692</t>
        </is>
      </c>
      <c r="AW537" t="inlineStr">
        <is>
          <t>991003775929702656</t>
        </is>
      </c>
      <c r="AX537" t="inlineStr">
        <is>
          <t>991003775929702656</t>
        </is>
      </c>
      <c r="AY537" t="inlineStr">
        <is>
          <t>2271941090002656</t>
        </is>
      </c>
      <c r="AZ537" t="inlineStr">
        <is>
          <t>BOOK</t>
        </is>
      </c>
      <c r="BC537" t="inlineStr">
        <is>
          <t>32285000686732</t>
        </is>
      </c>
      <c r="BD537" t="inlineStr">
        <is>
          <t>893617751</t>
        </is>
      </c>
    </row>
    <row r="538">
      <c r="A538" t="inlineStr">
        <is>
          <t>No</t>
        </is>
      </c>
      <c r="B538" t="inlineStr">
        <is>
          <t>BT28 .M43</t>
        </is>
      </c>
      <c r="C538" t="inlineStr">
        <is>
          <t>0                      BT 0028000M  43</t>
        </is>
      </c>
      <c r="D538" t="inlineStr">
        <is>
          <t>The new theologian / [by] Ved Mehta.</t>
        </is>
      </c>
      <c r="F538" t="inlineStr">
        <is>
          <t>No</t>
        </is>
      </c>
      <c r="G538" t="inlineStr">
        <is>
          <t>1</t>
        </is>
      </c>
      <c r="H538" t="inlineStr">
        <is>
          <t>No</t>
        </is>
      </c>
      <c r="I538" t="inlineStr">
        <is>
          <t>No</t>
        </is>
      </c>
      <c r="J538" t="inlineStr">
        <is>
          <t>0</t>
        </is>
      </c>
      <c r="K538" t="inlineStr">
        <is>
          <t>Mehta, Ved, 1934-</t>
        </is>
      </c>
      <c r="L538" t="inlineStr">
        <is>
          <t>New York, Harper &amp; Row [1966, c1965]</t>
        </is>
      </c>
      <c r="M538" t="inlineStr">
        <is>
          <t>1966</t>
        </is>
      </c>
      <c r="N538" t="inlineStr">
        <is>
          <t>[1st ed.]</t>
        </is>
      </c>
      <c r="O538" t="inlineStr">
        <is>
          <t>eng</t>
        </is>
      </c>
      <c r="P538" t="inlineStr">
        <is>
          <t>nyu</t>
        </is>
      </c>
      <c r="R538" t="inlineStr">
        <is>
          <t xml:space="preserve">BT </t>
        </is>
      </c>
      <c r="S538" t="n">
        <v>1</v>
      </c>
      <c r="T538" t="n">
        <v>1</v>
      </c>
      <c r="U538" t="inlineStr">
        <is>
          <t>2003-07-01</t>
        </is>
      </c>
      <c r="V538" t="inlineStr">
        <is>
          <t>2003-07-01</t>
        </is>
      </c>
      <c r="W538" t="inlineStr">
        <is>
          <t>1991-06-14</t>
        </is>
      </c>
      <c r="X538" t="inlineStr">
        <is>
          <t>1991-06-14</t>
        </is>
      </c>
      <c r="Y538" t="n">
        <v>682</v>
      </c>
      <c r="Z538" t="n">
        <v>634</v>
      </c>
      <c r="AA538" t="n">
        <v>707</v>
      </c>
      <c r="AB538" t="n">
        <v>3</v>
      </c>
      <c r="AC538" t="n">
        <v>3</v>
      </c>
      <c r="AD538" t="n">
        <v>32</v>
      </c>
      <c r="AE538" t="n">
        <v>33</v>
      </c>
      <c r="AF538" t="n">
        <v>14</v>
      </c>
      <c r="AG538" t="n">
        <v>15</v>
      </c>
      <c r="AH538" t="n">
        <v>6</v>
      </c>
      <c r="AI538" t="n">
        <v>6</v>
      </c>
      <c r="AJ538" t="n">
        <v>21</v>
      </c>
      <c r="AK538" t="n">
        <v>21</v>
      </c>
      <c r="AL538" t="n">
        <v>2</v>
      </c>
      <c r="AM538" t="n">
        <v>2</v>
      </c>
      <c r="AN538" t="n">
        <v>0</v>
      </c>
      <c r="AO538" t="n">
        <v>0</v>
      </c>
      <c r="AP538" t="inlineStr">
        <is>
          <t>No</t>
        </is>
      </c>
      <c r="AQ538" t="inlineStr">
        <is>
          <t>Yes</t>
        </is>
      </c>
      <c r="AR538">
        <f>HYPERLINK("http://catalog.hathitrust.org/Record/001411564","HathiTrust Record")</f>
        <v/>
      </c>
      <c r="AS538">
        <f>HYPERLINK("https://creighton-primo.hosted.exlibrisgroup.com/primo-explore/search?tab=default_tab&amp;search_scope=EVERYTHING&amp;vid=01CRU&amp;lang=en_US&amp;offset=0&amp;query=any,contains,991003181619702656","Catalog Record")</f>
        <v/>
      </c>
      <c r="AT538">
        <f>HYPERLINK("http://www.worldcat.org/oclc/711870","WorldCat Record")</f>
        <v/>
      </c>
      <c r="AU538" t="inlineStr">
        <is>
          <t>1661103:eng</t>
        </is>
      </c>
      <c r="AV538" t="inlineStr">
        <is>
          <t>711870</t>
        </is>
      </c>
      <c r="AW538" t="inlineStr">
        <is>
          <t>991003181619702656</t>
        </is>
      </c>
      <c r="AX538" t="inlineStr">
        <is>
          <t>991003181619702656</t>
        </is>
      </c>
      <c r="AY538" t="inlineStr">
        <is>
          <t>2261924640002656</t>
        </is>
      </c>
      <c r="AZ538" t="inlineStr">
        <is>
          <t>BOOK</t>
        </is>
      </c>
      <c r="BC538" t="inlineStr">
        <is>
          <t>32285000686740</t>
        </is>
      </c>
      <c r="BD538" t="inlineStr">
        <is>
          <t>893880895</t>
        </is>
      </c>
    </row>
    <row r="539">
      <c r="A539" t="inlineStr">
        <is>
          <t>No</t>
        </is>
      </c>
      <c r="B539" t="inlineStr">
        <is>
          <t>BT28 .M593 1989</t>
        </is>
      </c>
      <c r="C539" t="inlineStr">
        <is>
          <t>0                      BT 0028000M  593         1989</t>
        </is>
      </c>
      <c r="D539" t="inlineStr">
        <is>
          <t>The Modern theologians : an introduction to Christian theology in the twentieth century / edited by David F. Ford.</t>
        </is>
      </c>
      <c r="E539" t="inlineStr">
        <is>
          <t>V.2</t>
        </is>
      </c>
      <c r="F539" t="inlineStr">
        <is>
          <t>Yes</t>
        </is>
      </c>
      <c r="G539" t="inlineStr">
        <is>
          <t>1</t>
        </is>
      </c>
      <c r="H539" t="inlineStr">
        <is>
          <t>No</t>
        </is>
      </c>
      <c r="I539" t="inlineStr">
        <is>
          <t>Yes</t>
        </is>
      </c>
      <c r="J539" t="inlineStr">
        <is>
          <t>0</t>
        </is>
      </c>
      <c r="L539" t="inlineStr">
        <is>
          <t>Oxford, OX, UK ; New York, NY, USA : B. Blackwell, 1989.</t>
        </is>
      </c>
      <c r="M539" t="inlineStr">
        <is>
          <t>1989</t>
        </is>
      </c>
      <c r="O539" t="inlineStr">
        <is>
          <t>eng</t>
        </is>
      </c>
      <c r="P539" t="inlineStr">
        <is>
          <t>enk</t>
        </is>
      </c>
      <c r="R539" t="inlineStr">
        <is>
          <t xml:space="preserve">BT </t>
        </is>
      </c>
      <c r="S539" t="n">
        <v>4</v>
      </c>
      <c r="T539" t="n">
        <v>14</v>
      </c>
      <c r="U539" t="inlineStr">
        <is>
          <t>2008-11-20</t>
        </is>
      </c>
      <c r="V539" t="inlineStr">
        <is>
          <t>2008-11-20</t>
        </is>
      </c>
      <c r="W539" t="inlineStr">
        <is>
          <t>1990-01-14</t>
        </is>
      </c>
      <c r="X539" t="inlineStr">
        <is>
          <t>1990-01-14</t>
        </is>
      </c>
      <c r="Y539" t="n">
        <v>426</v>
      </c>
      <c r="Z539" t="n">
        <v>361</v>
      </c>
      <c r="AA539" t="n">
        <v>697</v>
      </c>
      <c r="AB539" t="n">
        <v>3</v>
      </c>
      <c r="AC539" t="n">
        <v>9</v>
      </c>
      <c r="AD539" t="n">
        <v>19</v>
      </c>
      <c r="AE539" t="n">
        <v>44</v>
      </c>
      <c r="AF539" t="n">
        <v>5</v>
      </c>
      <c r="AG539" t="n">
        <v>18</v>
      </c>
      <c r="AH539" t="n">
        <v>4</v>
      </c>
      <c r="AI539" t="n">
        <v>6</v>
      </c>
      <c r="AJ539" t="n">
        <v>11</v>
      </c>
      <c r="AK539" t="n">
        <v>24</v>
      </c>
      <c r="AL539" t="n">
        <v>2</v>
      </c>
      <c r="AM539" t="n">
        <v>7</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HYPERLINK("https://creighton-primo.hosted.exlibrisgroup.com/primo-explore/search?tab=default_tab&amp;search_scope=EVERYTHING&amp;vid=01CRU&amp;lang=en_US&amp;offset=0&amp;query=any,contains,991001409469702656","Catalog Record")</f>
        <v/>
      </c>
      <c r="AT539">
        <f>HYPERLINK("http://www.worldcat.org/oclc/18907699","WorldCat Record")</f>
        <v/>
      </c>
      <c r="AU539" t="inlineStr">
        <is>
          <t>807267457:eng</t>
        </is>
      </c>
      <c r="AV539" t="inlineStr">
        <is>
          <t>18907699</t>
        </is>
      </c>
      <c r="AW539" t="inlineStr">
        <is>
          <t>991001409469702656</t>
        </is>
      </c>
      <c r="AX539" t="inlineStr">
        <is>
          <t>991001409469702656</t>
        </is>
      </c>
      <c r="AY539" t="inlineStr">
        <is>
          <t>2267390960002656</t>
        </is>
      </c>
      <c r="AZ539" t="inlineStr">
        <is>
          <t>BOOK</t>
        </is>
      </c>
      <c r="BB539" t="inlineStr">
        <is>
          <t>9780631153726</t>
        </is>
      </c>
      <c r="BC539" t="inlineStr">
        <is>
          <t>32285000027689</t>
        </is>
      </c>
      <c r="BD539" t="inlineStr">
        <is>
          <t>893797567</t>
        </is>
      </c>
    </row>
    <row r="540">
      <c r="A540" t="inlineStr">
        <is>
          <t>No</t>
        </is>
      </c>
      <c r="B540" t="inlineStr">
        <is>
          <t>BT28 .M593 1989</t>
        </is>
      </c>
      <c r="C540" t="inlineStr">
        <is>
          <t>0                      BT 0028000M  593         1989</t>
        </is>
      </c>
      <c r="D540" t="inlineStr">
        <is>
          <t>The Modern theologians : an introduction to Christian theology in the twentieth century / edited by David F. Ford.</t>
        </is>
      </c>
      <c r="E540" t="inlineStr">
        <is>
          <t>V.1</t>
        </is>
      </c>
      <c r="F540" t="inlineStr">
        <is>
          <t>Yes</t>
        </is>
      </c>
      <c r="G540" t="inlineStr">
        <is>
          <t>1</t>
        </is>
      </c>
      <c r="H540" t="inlineStr">
        <is>
          <t>No</t>
        </is>
      </c>
      <c r="I540" t="inlineStr">
        <is>
          <t>Yes</t>
        </is>
      </c>
      <c r="J540" t="inlineStr">
        <is>
          <t>0</t>
        </is>
      </c>
      <c r="L540" t="inlineStr">
        <is>
          <t>Oxford, OX, UK ; New York, NY, USA : B. Blackwell, 1989.</t>
        </is>
      </c>
      <c r="M540" t="inlineStr">
        <is>
          <t>1989</t>
        </is>
      </c>
      <c r="O540" t="inlineStr">
        <is>
          <t>eng</t>
        </is>
      </c>
      <c r="P540" t="inlineStr">
        <is>
          <t>enk</t>
        </is>
      </c>
      <c r="R540" t="inlineStr">
        <is>
          <t xml:space="preserve">BT </t>
        </is>
      </c>
      <c r="S540" t="n">
        <v>10</v>
      </c>
      <c r="T540" t="n">
        <v>14</v>
      </c>
      <c r="U540" t="inlineStr">
        <is>
          <t>2008-11-20</t>
        </is>
      </c>
      <c r="V540" t="inlineStr">
        <is>
          <t>2008-11-20</t>
        </is>
      </c>
      <c r="W540" t="inlineStr">
        <is>
          <t>1990-01-14</t>
        </is>
      </c>
      <c r="X540" t="inlineStr">
        <is>
          <t>1990-01-14</t>
        </is>
      </c>
      <c r="Y540" t="n">
        <v>426</v>
      </c>
      <c r="Z540" t="n">
        <v>361</v>
      </c>
      <c r="AA540" t="n">
        <v>697</v>
      </c>
      <c r="AB540" t="n">
        <v>3</v>
      </c>
      <c r="AC540" t="n">
        <v>9</v>
      </c>
      <c r="AD540" t="n">
        <v>19</v>
      </c>
      <c r="AE540" t="n">
        <v>44</v>
      </c>
      <c r="AF540" t="n">
        <v>5</v>
      </c>
      <c r="AG540" t="n">
        <v>18</v>
      </c>
      <c r="AH540" t="n">
        <v>4</v>
      </c>
      <c r="AI540" t="n">
        <v>6</v>
      </c>
      <c r="AJ540" t="n">
        <v>11</v>
      </c>
      <c r="AK540" t="n">
        <v>24</v>
      </c>
      <c r="AL540" t="n">
        <v>2</v>
      </c>
      <c r="AM540" t="n">
        <v>7</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HYPERLINK("https://creighton-primo.hosted.exlibrisgroup.com/primo-explore/search?tab=default_tab&amp;search_scope=EVERYTHING&amp;vid=01CRU&amp;lang=en_US&amp;offset=0&amp;query=any,contains,991001409469702656","Catalog Record")</f>
        <v/>
      </c>
      <c r="AT540">
        <f>HYPERLINK("http://www.worldcat.org/oclc/18907699","WorldCat Record")</f>
        <v/>
      </c>
      <c r="AU540" t="inlineStr">
        <is>
          <t>807267457:eng</t>
        </is>
      </c>
      <c r="AV540" t="inlineStr">
        <is>
          <t>18907699</t>
        </is>
      </c>
      <c r="AW540" t="inlineStr">
        <is>
          <t>991001409469702656</t>
        </is>
      </c>
      <c r="AX540" t="inlineStr">
        <is>
          <t>991001409469702656</t>
        </is>
      </c>
      <c r="AY540" t="inlineStr">
        <is>
          <t>2267390960002656</t>
        </is>
      </c>
      <c r="AZ540" t="inlineStr">
        <is>
          <t>BOOK</t>
        </is>
      </c>
      <c r="BB540" t="inlineStr">
        <is>
          <t>9780631153726</t>
        </is>
      </c>
      <c r="BC540" t="inlineStr">
        <is>
          <t>32285000027671</t>
        </is>
      </c>
      <c r="BD540" t="inlineStr">
        <is>
          <t>893785096</t>
        </is>
      </c>
    </row>
    <row r="541">
      <c r="A541" t="inlineStr">
        <is>
          <t>No</t>
        </is>
      </c>
      <c r="B541" t="inlineStr">
        <is>
          <t>BT28 .M6</t>
        </is>
      </c>
      <c r="C541" t="inlineStr">
        <is>
          <t>0                      BT 0028000M  6</t>
        </is>
      </c>
      <c r="D541" t="inlineStr">
        <is>
          <t>Modern theologians, Christians and Jews : introduction to the works of Martin Buber [and others] / Editor: Thomas E. Bird.</t>
        </is>
      </c>
      <c r="F541" t="inlineStr">
        <is>
          <t>No</t>
        </is>
      </c>
      <c r="G541" t="inlineStr">
        <is>
          <t>1</t>
        </is>
      </c>
      <c r="H541" t="inlineStr">
        <is>
          <t>No</t>
        </is>
      </c>
      <c r="I541" t="inlineStr">
        <is>
          <t>No</t>
        </is>
      </c>
      <c r="J541" t="inlineStr">
        <is>
          <t>0</t>
        </is>
      </c>
      <c r="L541" t="inlineStr">
        <is>
          <t>Notre Dame [Ind.] University of Notre Dame Press [1967]</t>
        </is>
      </c>
      <c r="M541" t="inlineStr">
        <is>
          <t>1967</t>
        </is>
      </c>
      <c r="O541" t="inlineStr">
        <is>
          <t>eng</t>
        </is>
      </c>
      <c r="P541" t="inlineStr">
        <is>
          <t>inu</t>
        </is>
      </c>
      <c r="Q541" t="inlineStr">
        <is>
          <t>Theology today ; v. 2</t>
        </is>
      </c>
      <c r="R541" t="inlineStr">
        <is>
          <t xml:space="preserve">BT </t>
        </is>
      </c>
      <c r="S541" t="n">
        <v>2</v>
      </c>
      <c r="T541" t="n">
        <v>2</v>
      </c>
      <c r="U541" t="inlineStr">
        <is>
          <t>2003-07-01</t>
        </is>
      </c>
      <c r="V541" t="inlineStr">
        <is>
          <t>2003-07-01</t>
        </is>
      </c>
      <c r="W541" t="inlineStr">
        <is>
          <t>1991-06-14</t>
        </is>
      </c>
      <c r="X541" t="inlineStr">
        <is>
          <t>1991-06-14</t>
        </is>
      </c>
      <c r="Y541" t="n">
        <v>539</v>
      </c>
      <c r="Z541" t="n">
        <v>496</v>
      </c>
      <c r="AA541" t="n">
        <v>503</v>
      </c>
      <c r="AB541" t="n">
        <v>4</v>
      </c>
      <c r="AC541" t="n">
        <v>4</v>
      </c>
      <c r="AD541" t="n">
        <v>30</v>
      </c>
      <c r="AE541" t="n">
        <v>30</v>
      </c>
      <c r="AF541" t="n">
        <v>8</v>
      </c>
      <c r="AG541" t="n">
        <v>8</v>
      </c>
      <c r="AH541" t="n">
        <v>10</v>
      </c>
      <c r="AI541" t="n">
        <v>10</v>
      </c>
      <c r="AJ541" t="n">
        <v>19</v>
      </c>
      <c r="AK541" t="n">
        <v>19</v>
      </c>
      <c r="AL541" t="n">
        <v>2</v>
      </c>
      <c r="AM541" t="n">
        <v>2</v>
      </c>
      <c r="AN541" t="n">
        <v>0</v>
      </c>
      <c r="AO541" t="n">
        <v>0</v>
      </c>
      <c r="AP541" t="inlineStr">
        <is>
          <t>No</t>
        </is>
      </c>
      <c r="AQ541" t="inlineStr">
        <is>
          <t>Yes</t>
        </is>
      </c>
      <c r="AR541">
        <f>HYPERLINK("http://catalog.hathitrust.org/Record/001411566","HathiTrust Record")</f>
        <v/>
      </c>
      <c r="AS541">
        <f>HYPERLINK("https://creighton-primo.hosted.exlibrisgroup.com/primo-explore/search?tab=default_tab&amp;search_scope=EVERYTHING&amp;vid=01CRU&amp;lang=en_US&amp;offset=0&amp;query=any,contains,991002762439702656","Catalog Record")</f>
        <v/>
      </c>
      <c r="AT541">
        <f>HYPERLINK("http://www.worldcat.org/oclc/429821","WorldCat Record")</f>
        <v/>
      </c>
      <c r="AU541" t="inlineStr">
        <is>
          <t>10278979678:eng</t>
        </is>
      </c>
      <c r="AV541" t="inlineStr">
        <is>
          <t>429821</t>
        </is>
      </c>
      <c r="AW541" t="inlineStr">
        <is>
          <t>991002762439702656</t>
        </is>
      </c>
      <c r="AX541" t="inlineStr">
        <is>
          <t>991002762439702656</t>
        </is>
      </c>
      <c r="AY541" t="inlineStr">
        <is>
          <t>2265645140002656</t>
        </is>
      </c>
      <c r="AZ541" t="inlineStr">
        <is>
          <t>BOOK</t>
        </is>
      </c>
      <c r="BC541" t="inlineStr">
        <is>
          <t>32285000686757</t>
        </is>
      </c>
      <c r="BD541" t="inlineStr">
        <is>
          <t>893421773</t>
        </is>
      </c>
    </row>
    <row r="542">
      <c r="A542" t="inlineStr">
        <is>
          <t>No</t>
        </is>
      </c>
      <c r="B542" t="inlineStr">
        <is>
          <t>BT28 .M62513 1988</t>
        </is>
      </c>
      <c r="C542" t="inlineStr">
        <is>
          <t>0                      BT 0028000M  62513       1988</t>
        </is>
      </c>
      <c r="D542" t="inlineStr">
        <is>
          <t>Theology today : two contributions towards making theology present / Jürgen Moltmann.</t>
        </is>
      </c>
      <c r="F542" t="inlineStr">
        <is>
          <t>No</t>
        </is>
      </c>
      <c r="G542" t="inlineStr">
        <is>
          <t>1</t>
        </is>
      </c>
      <c r="H542" t="inlineStr">
        <is>
          <t>No</t>
        </is>
      </c>
      <c r="I542" t="inlineStr">
        <is>
          <t>No</t>
        </is>
      </c>
      <c r="J542" t="inlineStr">
        <is>
          <t>0</t>
        </is>
      </c>
      <c r="K542" t="inlineStr">
        <is>
          <t>Moltmann, Jürgen.</t>
        </is>
      </c>
      <c r="L542" t="inlineStr">
        <is>
          <t>London : SCM Press ; Philadelphia : Trinity Press International, 1988</t>
        </is>
      </c>
      <c r="M542" t="inlineStr">
        <is>
          <t>1988</t>
        </is>
      </c>
      <c r="O542" t="inlineStr">
        <is>
          <t>eng</t>
        </is>
      </c>
      <c r="P542" t="inlineStr">
        <is>
          <t>enk</t>
        </is>
      </c>
      <c r="R542" t="inlineStr">
        <is>
          <t xml:space="preserve">BT </t>
        </is>
      </c>
      <c r="S542" t="n">
        <v>2</v>
      </c>
      <c r="T542" t="n">
        <v>2</v>
      </c>
      <c r="U542" t="inlineStr">
        <is>
          <t>2003-07-01</t>
        </is>
      </c>
      <c r="V542" t="inlineStr">
        <is>
          <t>2003-07-01</t>
        </is>
      </c>
      <c r="W542" t="inlineStr">
        <is>
          <t>1993-06-30</t>
        </is>
      </c>
      <c r="X542" t="inlineStr">
        <is>
          <t>1993-06-30</t>
        </is>
      </c>
      <c r="Y542" t="n">
        <v>269</v>
      </c>
      <c r="Z542" t="n">
        <v>180</v>
      </c>
      <c r="AA542" t="n">
        <v>196</v>
      </c>
      <c r="AB542" t="n">
        <v>1</v>
      </c>
      <c r="AC542" t="n">
        <v>1</v>
      </c>
      <c r="AD542" t="n">
        <v>14</v>
      </c>
      <c r="AE542" t="n">
        <v>14</v>
      </c>
      <c r="AF542" t="n">
        <v>5</v>
      </c>
      <c r="AG542" t="n">
        <v>5</v>
      </c>
      <c r="AH542" t="n">
        <v>2</v>
      </c>
      <c r="AI542" t="n">
        <v>2</v>
      </c>
      <c r="AJ542" t="n">
        <v>9</v>
      </c>
      <c r="AK542" t="n">
        <v>9</v>
      </c>
      <c r="AL542" t="n">
        <v>0</v>
      </c>
      <c r="AM542" t="n">
        <v>0</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HYPERLINK("https://creighton-primo.hosted.exlibrisgroup.com/primo-explore/search?tab=default_tab&amp;search_scope=EVERYTHING&amp;vid=01CRU&amp;lang=en_US&amp;offset=0&amp;query=any,contains,991001496439702656","Catalog Record")</f>
        <v/>
      </c>
      <c r="AT542">
        <f>HYPERLINK("http://www.worldcat.org/oclc/19773589","WorldCat Record")</f>
        <v/>
      </c>
      <c r="AU542" t="inlineStr">
        <is>
          <t>1151346869:eng</t>
        </is>
      </c>
      <c r="AV542" t="inlineStr">
        <is>
          <t>19773589</t>
        </is>
      </c>
      <c r="AW542" t="inlineStr">
        <is>
          <t>991001496439702656</t>
        </is>
      </c>
      <c r="AX542" t="inlineStr">
        <is>
          <t>991001496439702656</t>
        </is>
      </c>
      <c r="AY542" t="inlineStr">
        <is>
          <t>2272794250002656</t>
        </is>
      </c>
      <c r="AZ542" t="inlineStr">
        <is>
          <t>BOOK</t>
        </is>
      </c>
      <c r="BB542" t="inlineStr">
        <is>
          <t>9780334023593</t>
        </is>
      </c>
      <c r="BC542" t="inlineStr">
        <is>
          <t>32285001699908</t>
        </is>
      </c>
      <c r="BD542" t="inlineStr">
        <is>
          <t>893426634</t>
        </is>
      </c>
    </row>
    <row r="543">
      <c r="A543" t="inlineStr">
        <is>
          <t>No</t>
        </is>
      </c>
      <c r="B543" t="inlineStr">
        <is>
          <t>BT28 .N47</t>
        </is>
      </c>
      <c r="C543" t="inlineStr">
        <is>
          <t>0                      BT 0028000N  47</t>
        </is>
      </c>
      <c r="D543" t="inlineStr">
        <is>
          <t>New directions in theology today / William Hordern, editor.</t>
        </is>
      </c>
      <c r="E543" t="inlineStr">
        <is>
          <t>V.1</t>
        </is>
      </c>
      <c r="F543" t="inlineStr">
        <is>
          <t>Yes</t>
        </is>
      </c>
      <c r="G543" t="inlineStr">
        <is>
          <t>1</t>
        </is>
      </c>
      <c r="H543" t="inlineStr">
        <is>
          <t>No</t>
        </is>
      </c>
      <c r="I543" t="inlineStr">
        <is>
          <t>No</t>
        </is>
      </c>
      <c r="J543" t="inlineStr">
        <is>
          <t>0</t>
        </is>
      </c>
      <c r="L543" t="inlineStr">
        <is>
          <t>[Philadelphia, Westminster Press, 1966-</t>
        </is>
      </c>
      <c r="M543" t="inlineStr">
        <is>
          <t>1966</t>
        </is>
      </c>
      <c r="O543" t="inlineStr">
        <is>
          <t>eng</t>
        </is>
      </c>
      <c r="P543" t="inlineStr">
        <is>
          <t>pau</t>
        </is>
      </c>
      <c r="R543" t="inlineStr">
        <is>
          <t xml:space="preserve">BT </t>
        </is>
      </c>
      <c r="S543" t="n">
        <v>1</v>
      </c>
      <c r="T543" t="n">
        <v>6</v>
      </c>
      <c r="U543" t="inlineStr">
        <is>
          <t>2003-07-01</t>
        </is>
      </c>
      <c r="V543" t="inlineStr">
        <is>
          <t>2003-07-01</t>
        </is>
      </c>
      <c r="W543" t="inlineStr">
        <is>
          <t>1991-06-19</t>
        </is>
      </c>
      <c r="X543" t="inlineStr">
        <is>
          <t>1991-06-19</t>
        </is>
      </c>
      <c r="Y543" t="n">
        <v>481</v>
      </c>
      <c r="Z543" t="n">
        <v>440</v>
      </c>
      <c r="AA543" t="n">
        <v>461</v>
      </c>
      <c r="AB543" t="n">
        <v>8</v>
      </c>
      <c r="AC543" t="n">
        <v>8</v>
      </c>
      <c r="AD543" t="n">
        <v>18</v>
      </c>
      <c r="AE543" t="n">
        <v>21</v>
      </c>
      <c r="AF543" t="n">
        <v>7</v>
      </c>
      <c r="AG543" t="n">
        <v>8</v>
      </c>
      <c r="AH543" t="n">
        <v>2</v>
      </c>
      <c r="AI543" t="n">
        <v>3</v>
      </c>
      <c r="AJ543" t="n">
        <v>8</v>
      </c>
      <c r="AK543" t="n">
        <v>9</v>
      </c>
      <c r="AL543" t="n">
        <v>5</v>
      </c>
      <c r="AM543" t="n">
        <v>5</v>
      </c>
      <c r="AN543" t="n">
        <v>0</v>
      </c>
      <c r="AO543" t="n">
        <v>0</v>
      </c>
      <c r="AP543" t="inlineStr">
        <is>
          <t>No</t>
        </is>
      </c>
      <c r="AQ543" t="inlineStr">
        <is>
          <t>Yes</t>
        </is>
      </c>
      <c r="AR543">
        <f>HYPERLINK("http://catalog.hathitrust.org/Record/101871992","HathiTrust Record")</f>
        <v/>
      </c>
      <c r="AS543">
        <f>HYPERLINK("https://creighton-primo.hosted.exlibrisgroup.com/primo-explore/search?tab=default_tab&amp;search_scope=EVERYTHING&amp;vid=01CRU&amp;lang=en_US&amp;offset=0&amp;query=any,contains,991002643779702656","Catalog Record")</f>
        <v/>
      </c>
      <c r="AT543">
        <f>HYPERLINK("http://www.worldcat.org/oclc/385110","WorldCat Record")</f>
        <v/>
      </c>
      <c r="AU543" t="inlineStr">
        <is>
          <t>3373516708:eng</t>
        </is>
      </c>
      <c r="AV543" t="inlineStr">
        <is>
          <t>385110</t>
        </is>
      </c>
      <c r="AW543" t="inlineStr">
        <is>
          <t>991002643779702656</t>
        </is>
      </c>
      <c r="AX543" t="inlineStr">
        <is>
          <t>991002643779702656</t>
        </is>
      </c>
      <c r="AY543" t="inlineStr">
        <is>
          <t>2258850260002656</t>
        </is>
      </c>
      <c r="AZ543" t="inlineStr">
        <is>
          <t>BOOK</t>
        </is>
      </c>
      <c r="BC543" t="inlineStr">
        <is>
          <t>32285000686765</t>
        </is>
      </c>
      <c r="BD543" t="inlineStr">
        <is>
          <t>893899023</t>
        </is>
      </c>
    </row>
    <row r="544">
      <c r="A544" t="inlineStr">
        <is>
          <t>No</t>
        </is>
      </c>
      <c r="B544" t="inlineStr">
        <is>
          <t>BT28 .N47</t>
        </is>
      </c>
      <c r="C544" t="inlineStr">
        <is>
          <t>0                      BT 0028000N  47</t>
        </is>
      </c>
      <c r="D544" t="inlineStr">
        <is>
          <t>New directions in theology today / William Hordern, editor.</t>
        </is>
      </c>
      <c r="E544" t="inlineStr">
        <is>
          <t>V.2</t>
        </is>
      </c>
      <c r="F544" t="inlineStr">
        <is>
          <t>Yes</t>
        </is>
      </c>
      <c r="G544" t="inlineStr">
        <is>
          <t>1</t>
        </is>
      </c>
      <c r="H544" t="inlineStr">
        <is>
          <t>No</t>
        </is>
      </c>
      <c r="I544" t="inlineStr">
        <is>
          <t>No</t>
        </is>
      </c>
      <c r="J544" t="inlineStr">
        <is>
          <t>0</t>
        </is>
      </c>
      <c r="L544" t="inlineStr">
        <is>
          <t>[Philadelphia, Westminster Press, 1966-</t>
        </is>
      </c>
      <c r="M544" t="inlineStr">
        <is>
          <t>1966</t>
        </is>
      </c>
      <c r="O544" t="inlineStr">
        <is>
          <t>eng</t>
        </is>
      </c>
      <c r="P544" t="inlineStr">
        <is>
          <t>pau</t>
        </is>
      </c>
      <c r="R544" t="inlineStr">
        <is>
          <t xml:space="preserve">BT </t>
        </is>
      </c>
      <c r="S544" t="n">
        <v>1</v>
      </c>
      <c r="T544" t="n">
        <v>6</v>
      </c>
      <c r="U544" t="inlineStr">
        <is>
          <t>2003-07-01</t>
        </is>
      </c>
      <c r="V544" t="inlineStr">
        <is>
          <t>2003-07-01</t>
        </is>
      </c>
      <c r="W544" t="inlineStr">
        <is>
          <t>1991-06-19</t>
        </is>
      </c>
      <c r="X544" t="inlineStr">
        <is>
          <t>1991-06-19</t>
        </is>
      </c>
      <c r="Y544" t="n">
        <v>481</v>
      </c>
      <c r="Z544" t="n">
        <v>440</v>
      </c>
      <c r="AA544" t="n">
        <v>461</v>
      </c>
      <c r="AB544" t="n">
        <v>8</v>
      </c>
      <c r="AC544" t="n">
        <v>8</v>
      </c>
      <c r="AD544" t="n">
        <v>18</v>
      </c>
      <c r="AE544" t="n">
        <v>21</v>
      </c>
      <c r="AF544" t="n">
        <v>7</v>
      </c>
      <c r="AG544" t="n">
        <v>8</v>
      </c>
      <c r="AH544" t="n">
        <v>2</v>
      </c>
      <c r="AI544" t="n">
        <v>3</v>
      </c>
      <c r="AJ544" t="n">
        <v>8</v>
      </c>
      <c r="AK544" t="n">
        <v>9</v>
      </c>
      <c r="AL544" t="n">
        <v>5</v>
      </c>
      <c r="AM544" t="n">
        <v>5</v>
      </c>
      <c r="AN544" t="n">
        <v>0</v>
      </c>
      <c r="AO544" t="n">
        <v>0</v>
      </c>
      <c r="AP544" t="inlineStr">
        <is>
          <t>No</t>
        </is>
      </c>
      <c r="AQ544" t="inlineStr">
        <is>
          <t>Yes</t>
        </is>
      </c>
      <c r="AR544">
        <f>HYPERLINK("http://catalog.hathitrust.org/Record/101871992","HathiTrust Record")</f>
        <v/>
      </c>
      <c r="AS544">
        <f>HYPERLINK("https://creighton-primo.hosted.exlibrisgroup.com/primo-explore/search?tab=default_tab&amp;search_scope=EVERYTHING&amp;vid=01CRU&amp;lang=en_US&amp;offset=0&amp;query=any,contains,991002643779702656","Catalog Record")</f>
        <v/>
      </c>
      <c r="AT544">
        <f>HYPERLINK("http://www.worldcat.org/oclc/385110","WorldCat Record")</f>
        <v/>
      </c>
      <c r="AU544" t="inlineStr">
        <is>
          <t>3373516708:eng</t>
        </is>
      </c>
      <c r="AV544" t="inlineStr">
        <is>
          <t>385110</t>
        </is>
      </c>
      <c r="AW544" t="inlineStr">
        <is>
          <t>991002643779702656</t>
        </is>
      </c>
      <c r="AX544" t="inlineStr">
        <is>
          <t>991002643779702656</t>
        </is>
      </c>
      <c r="AY544" t="inlineStr">
        <is>
          <t>2258850260002656</t>
        </is>
      </c>
      <c r="AZ544" t="inlineStr">
        <is>
          <t>BOOK</t>
        </is>
      </c>
      <c r="BC544" t="inlineStr">
        <is>
          <t>32285000686773</t>
        </is>
      </c>
      <c r="BD544" t="inlineStr">
        <is>
          <t>893873780</t>
        </is>
      </c>
    </row>
    <row r="545">
      <c r="A545" t="inlineStr">
        <is>
          <t>No</t>
        </is>
      </c>
      <c r="B545" t="inlineStr">
        <is>
          <t>BT28 .N47</t>
        </is>
      </c>
      <c r="C545" t="inlineStr">
        <is>
          <t>0                      BT 0028000N  47</t>
        </is>
      </c>
      <c r="D545" t="inlineStr">
        <is>
          <t>New directions in theology today / William Hordern, editor.</t>
        </is>
      </c>
      <c r="E545" t="inlineStr">
        <is>
          <t>V.5</t>
        </is>
      </c>
      <c r="F545" t="inlineStr">
        <is>
          <t>Yes</t>
        </is>
      </c>
      <c r="G545" t="inlineStr">
        <is>
          <t>1</t>
        </is>
      </c>
      <c r="H545" t="inlineStr">
        <is>
          <t>No</t>
        </is>
      </c>
      <c r="I545" t="inlineStr">
        <is>
          <t>No</t>
        </is>
      </c>
      <c r="J545" t="inlineStr">
        <is>
          <t>0</t>
        </is>
      </c>
      <c r="L545" t="inlineStr">
        <is>
          <t>[Philadelphia, Westminster Press, 1966-</t>
        </is>
      </c>
      <c r="M545" t="inlineStr">
        <is>
          <t>1966</t>
        </is>
      </c>
      <c r="O545" t="inlineStr">
        <is>
          <t>eng</t>
        </is>
      </c>
      <c r="P545" t="inlineStr">
        <is>
          <t>pau</t>
        </is>
      </c>
      <c r="R545" t="inlineStr">
        <is>
          <t xml:space="preserve">BT </t>
        </is>
      </c>
      <c r="S545" t="n">
        <v>1</v>
      </c>
      <c r="T545" t="n">
        <v>6</v>
      </c>
      <c r="U545" t="inlineStr">
        <is>
          <t>2003-07-01</t>
        </is>
      </c>
      <c r="V545" t="inlineStr">
        <is>
          <t>2003-07-01</t>
        </is>
      </c>
      <c r="W545" t="inlineStr">
        <is>
          <t>1991-06-19</t>
        </is>
      </c>
      <c r="X545" t="inlineStr">
        <is>
          <t>1991-06-19</t>
        </is>
      </c>
      <c r="Y545" t="n">
        <v>481</v>
      </c>
      <c r="Z545" t="n">
        <v>440</v>
      </c>
      <c r="AA545" t="n">
        <v>461</v>
      </c>
      <c r="AB545" t="n">
        <v>8</v>
      </c>
      <c r="AC545" t="n">
        <v>8</v>
      </c>
      <c r="AD545" t="n">
        <v>18</v>
      </c>
      <c r="AE545" t="n">
        <v>21</v>
      </c>
      <c r="AF545" t="n">
        <v>7</v>
      </c>
      <c r="AG545" t="n">
        <v>8</v>
      </c>
      <c r="AH545" t="n">
        <v>2</v>
      </c>
      <c r="AI545" t="n">
        <v>3</v>
      </c>
      <c r="AJ545" t="n">
        <v>8</v>
      </c>
      <c r="AK545" t="n">
        <v>9</v>
      </c>
      <c r="AL545" t="n">
        <v>5</v>
      </c>
      <c r="AM545" t="n">
        <v>5</v>
      </c>
      <c r="AN545" t="n">
        <v>0</v>
      </c>
      <c r="AO545" t="n">
        <v>0</v>
      </c>
      <c r="AP545" t="inlineStr">
        <is>
          <t>No</t>
        </is>
      </c>
      <c r="AQ545" t="inlineStr">
        <is>
          <t>Yes</t>
        </is>
      </c>
      <c r="AR545">
        <f>HYPERLINK("http://catalog.hathitrust.org/Record/101871992","HathiTrust Record")</f>
        <v/>
      </c>
      <c r="AS545">
        <f>HYPERLINK("https://creighton-primo.hosted.exlibrisgroup.com/primo-explore/search?tab=default_tab&amp;search_scope=EVERYTHING&amp;vid=01CRU&amp;lang=en_US&amp;offset=0&amp;query=any,contains,991002643779702656","Catalog Record")</f>
        <v/>
      </c>
      <c r="AT545">
        <f>HYPERLINK("http://www.worldcat.org/oclc/385110","WorldCat Record")</f>
        <v/>
      </c>
      <c r="AU545" t="inlineStr">
        <is>
          <t>3373516708:eng</t>
        </is>
      </c>
      <c r="AV545" t="inlineStr">
        <is>
          <t>385110</t>
        </is>
      </c>
      <c r="AW545" t="inlineStr">
        <is>
          <t>991002643779702656</t>
        </is>
      </c>
      <c r="AX545" t="inlineStr">
        <is>
          <t>991002643779702656</t>
        </is>
      </c>
      <c r="AY545" t="inlineStr">
        <is>
          <t>2258850260002656</t>
        </is>
      </c>
      <c r="AZ545" t="inlineStr">
        <is>
          <t>BOOK</t>
        </is>
      </c>
      <c r="BC545" t="inlineStr">
        <is>
          <t>32285000686807</t>
        </is>
      </c>
      <c r="BD545" t="inlineStr">
        <is>
          <t>893899021</t>
        </is>
      </c>
    </row>
    <row r="546">
      <c r="A546" t="inlineStr">
        <is>
          <t>No</t>
        </is>
      </c>
      <c r="B546" t="inlineStr">
        <is>
          <t>BT28 .N47</t>
        </is>
      </c>
      <c r="C546" t="inlineStr">
        <is>
          <t>0                      BT 0028000N  47</t>
        </is>
      </c>
      <c r="D546" t="inlineStr">
        <is>
          <t>New directions in theology today / William Hordern, editor.</t>
        </is>
      </c>
      <c r="E546" t="inlineStr">
        <is>
          <t>V.6</t>
        </is>
      </c>
      <c r="F546" t="inlineStr">
        <is>
          <t>Yes</t>
        </is>
      </c>
      <c r="G546" t="inlineStr">
        <is>
          <t>1</t>
        </is>
      </c>
      <c r="H546" t="inlineStr">
        <is>
          <t>No</t>
        </is>
      </c>
      <c r="I546" t="inlineStr">
        <is>
          <t>No</t>
        </is>
      </c>
      <c r="J546" t="inlineStr">
        <is>
          <t>0</t>
        </is>
      </c>
      <c r="L546" t="inlineStr">
        <is>
          <t>[Philadelphia, Westminster Press, 1966-</t>
        </is>
      </c>
      <c r="M546" t="inlineStr">
        <is>
          <t>1966</t>
        </is>
      </c>
      <c r="O546" t="inlineStr">
        <is>
          <t>eng</t>
        </is>
      </c>
      <c r="P546" t="inlineStr">
        <is>
          <t>pau</t>
        </is>
      </c>
      <c r="R546" t="inlineStr">
        <is>
          <t xml:space="preserve">BT </t>
        </is>
      </c>
      <c r="S546" t="n">
        <v>1</v>
      </c>
      <c r="T546" t="n">
        <v>6</v>
      </c>
      <c r="U546" t="inlineStr">
        <is>
          <t>2003-07-01</t>
        </is>
      </c>
      <c r="V546" t="inlineStr">
        <is>
          <t>2003-07-01</t>
        </is>
      </c>
      <c r="W546" t="inlineStr">
        <is>
          <t>1991-06-19</t>
        </is>
      </c>
      <c r="X546" t="inlineStr">
        <is>
          <t>1991-06-19</t>
        </is>
      </c>
      <c r="Y546" t="n">
        <v>481</v>
      </c>
      <c r="Z546" t="n">
        <v>440</v>
      </c>
      <c r="AA546" t="n">
        <v>461</v>
      </c>
      <c r="AB546" t="n">
        <v>8</v>
      </c>
      <c r="AC546" t="n">
        <v>8</v>
      </c>
      <c r="AD546" t="n">
        <v>18</v>
      </c>
      <c r="AE546" t="n">
        <v>21</v>
      </c>
      <c r="AF546" t="n">
        <v>7</v>
      </c>
      <c r="AG546" t="n">
        <v>8</v>
      </c>
      <c r="AH546" t="n">
        <v>2</v>
      </c>
      <c r="AI546" t="n">
        <v>3</v>
      </c>
      <c r="AJ546" t="n">
        <v>8</v>
      </c>
      <c r="AK546" t="n">
        <v>9</v>
      </c>
      <c r="AL546" t="n">
        <v>5</v>
      </c>
      <c r="AM546" t="n">
        <v>5</v>
      </c>
      <c r="AN546" t="n">
        <v>0</v>
      </c>
      <c r="AO546" t="n">
        <v>0</v>
      </c>
      <c r="AP546" t="inlineStr">
        <is>
          <t>No</t>
        </is>
      </c>
      <c r="AQ546" t="inlineStr">
        <is>
          <t>Yes</t>
        </is>
      </c>
      <c r="AR546">
        <f>HYPERLINK("http://catalog.hathitrust.org/Record/101871992","HathiTrust Record")</f>
        <v/>
      </c>
      <c r="AS546">
        <f>HYPERLINK("https://creighton-primo.hosted.exlibrisgroup.com/primo-explore/search?tab=default_tab&amp;search_scope=EVERYTHING&amp;vid=01CRU&amp;lang=en_US&amp;offset=0&amp;query=any,contains,991002643779702656","Catalog Record")</f>
        <v/>
      </c>
      <c r="AT546">
        <f>HYPERLINK("http://www.worldcat.org/oclc/385110","WorldCat Record")</f>
        <v/>
      </c>
      <c r="AU546" t="inlineStr">
        <is>
          <t>3373516708:eng</t>
        </is>
      </c>
      <c r="AV546" t="inlineStr">
        <is>
          <t>385110</t>
        </is>
      </c>
      <c r="AW546" t="inlineStr">
        <is>
          <t>991002643779702656</t>
        </is>
      </c>
      <c r="AX546" t="inlineStr">
        <is>
          <t>991002643779702656</t>
        </is>
      </c>
      <c r="AY546" t="inlineStr">
        <is>
          <t>2258850260002656</t>
        </is>
      </c>
      <c r="AZ546" t="inlineStr">
        <is>
          <t>BOOK</t>
        </is>
      </c>
      <c r="BC546" t="inlineStr">
        <is>
          <t>32285000686815</t>
        </is>
      </c>
      <c r="BD546" t="inlineStr">
        <is>
          <t>893873778</t>
        </is>
      </c>
    </row>
    <row r="547">
      <c r="A547" t="inlineStr">
        <is>
          <t>No</t>
        </is>
      </c>
      <c r="B547" t="inlineStr">
        <is>
          <t>BT28 .N47</t>
        </is>
      </c>
      <c r="C547" t="inlineStr">
        <is>
          <t>0                      BT 0028000N  47</t>
        </is>
      </c>
      <c r="D547" t="inlineStr">
        <is>
          <t>New directions in theology today / William Hordern, editor.</t>
        </is>
      </c>
      <c r="E547" t="inlineStr">
        <is>
          <t>V.3</t>
        </is>
      </c>
      <c r="F547" t="inlineStr">
        <is>
          <t>Yes</t>
        </is>
      </c>
      <c r="G547" t="inlineStr">
        <is>
          <t>1</t>
        </is>
      </c>
      <c r="H547" t="inlineStr">
        <is>
          <t>No</t>
        </is>
      </c>
      <c r="I547" t="inlineStr">
        <is>
          <t>No</t>
        </is>
      </c>
      <c r="J547" t="inlineStr">
        <is>
          <t>0</t>
        </is>
      </c>
      <c r="L547" t="inlineStr">
        <is>
          <t>[Philadelphia, Westminster Press, 1966-</t>
        </is>
      </c>
      <c r="M547" t="inlineStr">
        <is>
          <t>1966</t>
        </is>
      </c>
      <c r="O547" t="inlineStr">
        <is>
          <t>eng</t>
        </is>
      </c>
      <c r="P547" t="inlineStr">
        <is>
          <t>pau</t>
        </is>
      </c>
      <c r="R547" t="inlineStr">
        <is>
          <t xml:space="preserve">BT </t>
        </is>
      </c>
      <c r="S547" t="n">
        <v>1</v>
      </c>
      <c r="T547" t="n">
        <v>6</v>
      </c>
      <c r="U547" t="inlineStr">
        <is>
          <t>2003-07-01</t>
        </is>
      </c>
      <c r="V547" t="inlineStr">
        <is>
          <t>2003-07-01</t>
        </is>
      </c>
      <c r="W547" t="inlineStr">
        <is>
          <t>1991-06-19</t>
        </is>
      </c>
      <c r="X547" t="inlineStr">
        <is>
          <t>1991-06-19</t>
        </is>
      </c>
      <c r="Y547" t="n">
        <v>481</v>
      </c>
      <c r="Z547" t="n">
        <v>440</v>
      </c>
      <c r="AA547" t="n">
        <v>461</v>
      </c>
      <c r="AB547" t="n">
        <v>8</v>
      </c>
      <c r="AC547" t="n">
        <v>8</v>
      </c>
      <c r="AD547" t="n">
        <v>18</v>
      </c>
      <c r="AE547" t="n">
        <v>21</v>
      </c>
      <c r="AF547" t="n">
        <v>7</v>
      </c>
      <c r="AG547" t="n">
        <v>8</v>
      </c>
      <c r="AH547" t="n">
        <v>2</v>
      </c>
      <c r="AI547" t="n">
        <v>3</v>
      </c>
      <c r="AJ547" t="n">
        <v>8</v>
      </c>
      <c r="AK547" t="n">
        <v>9</v>
      </c>
      <c r="AL547" t="n">
        <v>5</v>
      </c>
      <c r="AM547" t="n">
        <v>5</v>
      </c>
      <c r="AN547" t="n">
        <v>0</v>
      </c>
      <c r="AO547" t="n">
        <v>0</v>
      </c>
      <c r="AP547" t="inlineStr">
        <is>
          <t>No</t>
        </is>
      </c>
      <c r="AQ547" t="inlineStr">
        <is>
          <t>Yes</t>
        </is>
      </c>
      <c r="AR547">
        <f>HYPERLINK("http://catalog.hathitrust.org/Record/101871992","HathiTrust Record")</f>
        <v/>
      </c>
      <c r="AS547">
        <f>HYPERLINK("https://creighton-primo.hosted.exlibrisgroup.com/primo-explore/search?tab=default_tab&amp;search_scope=EVERYTHING&amp;vid=01CRU&amp;lang=en_US&amp;offset=0&amp;query=any,contains,991002643779702656","Catalog Record")</f>
        <v/>
      </c>
      <c r="AT547">
        <f>HYPERLINK("http://www.worldcat.org/oclc/385110","WorldCat Record")</f>
        <v/>
      </c>
      <c r="AU547" t="inlineStr">
        <is>
          <t>3373516708:eng</t>
        </is>
      </c>
      <c r="AV547" t="inlineStr">
        <is>
          <t>385110</t>
        </is>
      </c>
      <c r="AW547" t="inlineStr">
        <is>
          <t>991002643779702656</t>
        </is>
      </c>
      <c r="AX547" t="inlineStr">
        <is>
          <t>991002643779702656</t>
        </is>
      </c>
      <c r="AY547" t="inlineStr">
        <is>
          <t>2258850260002656</t>
        </is>
      </c>
      <c r="AZ547" t="inlineStr">
        <is>
          <t>BOOK</t>
        </is>
      </c>
      <c r="BC547" t="inlineStr">
        <is>
          <t>32285000686781</t>
        </is>
      </c>
      <c r="BD547" t="inlineStr">
        <is>
          <t>893899022</t>
        </is>
      </c>
    </row>
    <row r="548">
      <c r="A548" t="inlineStr">
        <is>
          <t>No</t>
        </is>
      </c>
      <c r="B548" t="inlineStr">
        <is>
          <t>BT28 .N47</t>
        </is>
      </c>
      <c r="C548" t="inlineStr">
        <is>
          <t>0                      BT 0028000N  47</t>
        </is>
      </c>
      <c r="D548" t="inlineStr">
        <is>
          <t>New directions in theology today / William Hordern, editor.</t>
        </is>
      </c>
      <c r="E548" t="inlineStr">
        <is>
          <t>V.4</t>
        </is>
      </c>
      <c r="F548" t="inlineStr">
        <is>
          <t>Yes</t>
        </is>
      </c>
      <c r="G548" t="inlineStr">
        <is>
          <t>1</t>
        </is>
      </c>
      <c r="H548" t="inlineStr">
        <is>
          <t>No</t>
        </is>
      </c>
      <c r="I548" t="inlineStr">
        <is>
          <t>No</t>
        </is>
      </c>
      <c r="J548" t="inlineStr">
        <is>
          <t>0</t>
        </is>
      </c>
      <c r="L548" t="inlineStr">
        <is>
          <t>[Philadelphia, Westminster Press, 1966-</t>
        </is>
      </c>
      <c r="M548" t="inlineStr">
        <is>
          <t>1966</t>
        </is>
      </c>
      <c r="O548" t="inlineStr">
        <is>
          <t>eng</t>
        </is>
      </c>
      <c r="P548" t="inlineStr">
        <is>
          <t>pau</t>
        </is>
      </c>
      <c r="R548" t="inlineStr">
        <is>
          <t xml:space="preserve">BT </t>
        </is>
      </c>
      <c r="S548" t="n">
        <v>1</v>
      </c>
      <c r="T548" t="n">
        <v>6</v>
      </c>
      <c r="U548" t="inlineStr">
        <is>
          <t>2003-07-01</t>
        </is>
      </c>
      <c r="V548" t="inlineStr">
        <is>
          <t>2003-07-01</t>
        </is>
      </c>
      <c r="W548" t="inlineStr">
        <is>
          <t>1991-06-19</t>
        </is>
      </c>
      <c r="X548" t="inlineStr">
        <is>
          <t>1991-06-19</t>
        </is>
      </c>
      <c r="Y548" t="n">
        <v>481</v>
      </c>
      <c r="Z548" t="n">
        <v>440</v>
      </c>
      <c r="AA548" t="n">
        <v>461</v>
      </c>
      <c r="AB548" t="n">
        <v>8</v>
      </c>
      <c r="AC548" t="n">
        <v>8</v>
      </c>
      <c r="AD548" t="n">
        <v>18</v>
      </c>
      <c r="AE548" t="n">
        <v>21</v>
      </c>
      <c r="AF548" t="n">
        <v>7</v>
      </c>
      <c r="AG548" t="n">
        <v>8</v>
      </c>
      <c r="AH548" t="n">
        <v>2</v>
      </c>
      <c r="AI548" t="n">
        <v>3</v>
      </c>
      <c r="AJ548" t="n">
        <v>8</v>
      </c>
      <c r="AK548" t="n">
        <v>9</v>
      </c>
      <c r="AL548" t="n">
        <v>5</v>
      </c>
      <c r="AM548" t="n">
        <v>5</v>
      </c>
      <c r="AN548" t="n">
        <v>0</v>
      </c>
      <c r="AO548" t="n">
        <v>0</v>
      </c>
      <c r="AP548" t="inlineStr">
        <is>
          <t>No</t>
        </is>
      </c>
      <c r="AQ548" t="inlineStr">
        <is>
          <t>Yes</t>
        </is>
      </c>
      <c r="AR548">
        <f>HYPERLINK("http://catalog.hathitrust.org/Record/101871992","HathiTrust Record")</f>
        <v/>
      </c>
      <c r="AS548">
        <f>HYPERLINK("https://creighton-primo.hosted.exlibrisgroup.com/primo-explore/search?tab=default_tab&amp;search_scope=EVERYTHING&amp;vid=01CRU&amp;lang=en_US&amp;offset=0&amp;query=any,contains,991002643779702656","Catalog Record")</f>
        <v/>
      </c>
      <c r="AT548">
        <f>HYPERLINK("http://www.worldcat.org/oclc/385110","WorldCat Record")</f>
        <v/>
      </c>
      <c r="AU548" t="inlineStr">
        <is>
          <t>3373516708:eng</t>
        </is>
      </c>
      <c r="AV548" t="inlineStr">
        <is>
          <t>385110</t>
        </is>
      </c>
      <c r="AW548" t="inlineStr">
        <is>
          <t>991002643779702656</t>
        </is>
      </c>
      <c r="AX548" t="inlineStr">
        <is>
          <t>991002643779702656</t>
        </is>
      </c>
      <c r="AY548" t="inlineStr">
        <is>
          <t>2258850260002656</t>
        </is>
      </c>
      <c r="AZ548" t="inlineStr">
        <is>
          <t>BOOK</t>
        </is>
      </c>
      <c r="BC548" t="inlineStr">
        <is>
          <t>32285000686799</t>
        </is>
      </c>
      <c r="BD548" t="inlineStr">
        <is>
          <t>893873779</t>
        </is>
      </c>
    </row>
    <row r="549">
      <c r="A549" t="inlineStr">
        <is>
          <t>No</t>
        </is>
      </c>
      <c r="B549" t="inlineStr">
        <is>
          <t>BT28 .O34 1992</t>
        </is>
      </c>
      <c r="C549" t="inlineStr">
        <is>
          <t>0                      BT 0028000O  34          1992</t>
        </is>
      </c>
      <c r="D549" t="inlineStr">
        <is>
          <t>Two worlds : notes on the death of modernity in America &amp; Russia / Thomas C. Oden.</t>
        </is>
      </c>
      <c r="F549" t="inlineStr">
        <is>
          <t>No</t>
        </is>
      </c>
      <c r="G549" t="inlineStr">
        <is>
          <t>1</t>
        </is>
      </c>
      <c r="H549" t="inlineStr">
        <is>
          <t>No</t>
        </is>
      </c>
      <c r="I549" t="inlineStr">
        <is>
          <t>No</t>
        </is>
      </c>
      <c r="J549" t="inlineStr">
        <is>
          <t>0</t>
        </is>
      </c>
      <c r="K549" t="inlineStr">
        <is>
          <t>Oden, Thomas C.</t>
        </is>
      </c>
      <c r="L549" t="inlineStr">
        <is>
          <t>Downers Grove, Ill. : InterVarsity Press, c1992.</t>
        </is>
      </c>
      <c r="M549" t="inlineStr">
        <is>
          <t>1992</t>
        </is>
      </c>
      <c r="O549" t="inlineStr">
        <is>
          <t>eng</t>
        </is>
      </c>
      <c r="P549" t="inlineStr">
        <is>
          <t>ilu</t>
        </is>
      </c>
      <c r="R549" t="inlineStr">
        <is>
          <t xml:space="preserve">BT </t>
        </is>
      </c>
      <c r="S549" t="n">
        <v>4</v>
      </c>
      <c r="T549" t="n">
        <v>4</v>
      </c>
      <c r="U549" t="inlineStr">
        <is>
          <t>2003-07-01</t>
        </is>
      </c>
      <c r="V549" t="inlineStr">
        <is>
          <t>2003-07-01</t>
        </is>
      </c>
      <c r="W549" t="inlineStr">
        <is>
          <t>1992-10-13</t>
        </is>
      </c>
      <c r="X549" t="inlineStr">
        <is>
          <t>1992-10-13</t>
        </is>
      </c>
      <c r="Y549" t="n">
        <v>203</v>
      </c>
      <c r="Z549" t="n">
        <v>182</v>
      </c>
      <c r="AA549" t="n">
        <v>183</v>
      </c>
      <c r="AB549" t="n">
        <v>3</v>
      </c>
      <c r="AC549" t="n">
        <v>3</v>
      </c>
      <c r="AD549" t="n">
        <v>9</v>
      </c>
      <c r="AE549" t="n">
        <v>9</v>
      </c>
      <c r="AF549" t="n">
        <v>5</v>
      </c>
      <c r="AG549" t="n">
        <v>5</v>
      </c>
      <c r="AH549" t="n">
        <v>2</v>
      </c>
      <c r="AI549" t="n">
        <v>2</v>
      </c>
      <c r="AJ549" t="n">
        <v>3</v>
      </c>
      <c r="AK549" t="n">
        <v>3</v>
      </c>
      <c r="AL549" t="n">
        <v>1</v>
      </c>
      <c r="AM549" t="n">
        <v>1</v>
      </c>
      <c r="AN549" t="n">
        <v>0</v>
      </c>
      <c r="AO549" t="n">
        <v>0</v>
      </c>
      <c r="AP549" t="inlineStr">
        <is>
          <t>No</t>
        </is>
      </c>
      <c r="AQ549" t="inlineStr">
        <is>
          <t>Yes</t>
        </is>
      </c>
      <c r="AR549">
        <f>HYPERLINK("http://catalog.hathitrust.org/Record/006020482","HathiTrust Record")</f>
        <v/>
      </c>
      <c r="AS549">
        <f>HYPERLINK("https://creighton-primo.hosted.exlibrisgroup.com/primo-explore/search?tab=default_tab&amp;search_scope=EVERYTHING&amp;vid=01CRU&amp;lang=en_US&amp;offset=0&amp;query=any,contains,991001943799702656","Catalog Record")</f>
        <v/>
      </c>
      <c r="AT549">
        <f>HYPERLINK("http://www.worldcat.org/oclc/24546558","WorldCat Record")</f>
        <v/>
      </c>
      <c r="AU549" t="inlineStr">
        <is>
          <t>476237077:eng</t>
        </is>
      </c>
      <c r="AV549" t="inlineStr">
        <is>
          <t>24546558</t>
        </is>
      </c>
      <c r="AW549" t="inlineStr">
        <is>
          <t>991001943799702656</t>
        </is>
      </c>
      <c r="AX549" t="inlineStr">
        <is>
          <t>991001943799702656</t>
        </is>
      </c>
      <c r="AY549" t="inlineStr">
        <is>
          <t>2266257800002656</t>
        </is>
      </c>
      <c r="AZ549" t="inlineStr">
        <is>
          <t>BOOK</t>
        </is>
      </c>
      <c r="BB549" t="inlineStr">
        <is>
          <t>9780830817634</t>
        </is>
      </c>
      <c r="BC549" t="inlineStr">
        <is>
          <t>32285001317527</t>
        </is>
      </c>
      <c r="BD549" t="inlineStr">
        <is>
          <t>893503841</t>
        </is>
      </c>
    </row>
    <row r="550">
      <c r="A550" t="inlineStr">
        <is>
          <t>No</t>
        </is>
      </c>
      <c r="B550" t="inlineStr">
        <is>
          <t>BT28 .O5</t>
        </is>
      </c>
      <c r="C550" t="inlineStr">
        <is>
          <t>0                      BT 0028000O  5</t>
        </is>
      </c>
      <c r="D550" t="inlineStr">
        <is>
          <t>Projections, shaping an American theology for the future / Edited by Thomas F. O'Meara and Donald M. Weisser.</t>
        </is>
      </c>
      <c r="F550" t="inlineStr">
        <is>
          <t>No</t>
        </is>
      </c>
      <c r="G550" t="inlineStr">
        <is>
          <t>1</t>
        </is>
      </c>
      <c r="H550" t="inlineStr">
        <is>
          <t>No</t>
        </is>
      </c>
      <c r="I550" t="inlineStr">
        <is>
          <t>No</t>
        </is>
      </c>
      <c r="J550" t="inlineStr">
        <is>
          <t>0</t>
        </is>
      </c>
      <c r="K550" t="inlineStr">
        <is>
          <t>O'Meara, Thomas F., 1935-</t>
        </is>
      </c>
      <c r="L550" t="inlineStr">
        <is>
          <t>Garden City, N.Y., Doubleday, 1970.</t>
        </is>
      </c>
      <c r="M550" t="inlineStr">
        <is>
          <t>1970</t>
        </is>
      </c>
      <c r="N550" t="inlineStr">
        <is>
          <t>[1st ed.]</t>
        </is>
      </c>
      <c r="O550" t="inlineStr">
        <is>
          <t>eng</t>
        </is>
      </c>
      <c r="P550" t="inlineStr">
        <is>
          <t>nyu</t>
        </is>
      </c>
      <c r="R550" t="inlineStr">
        <is>
          <t xml:space="preserve">BT </t>
        </is>
      </c>
      <c r="S550" t="n">
        <v>1</v>
      </c>
      <c r="T550" t="n">
        <v>1</v>
      </c>
      <c r="U550" t="inlineStr">
        <is>
          <t>2003-07-01</t>
        </is>
      </c>
      <c r="V550" t="inlineStr">
        <is>
          <t>2003-07-01</t>
        </is>
      </c>
      <c r="W550" t="inlineStr">
        <is>
          <t>1991-06-19</t>
        </is>
      </c>
      <c r="X550" t="inlineStr">
        <is>
          <t>1991-06-19</t>
        </is>
      </c>
      <c r="Y550" t="n">
        <v>553</v>
      </c>
      <c r="Z550" t="n">
        <v>503</v>
      </c>
      <c r="AA550" t="n">
        <v>539</v>
      </c>
      <c r="AB550" t="n">
        <v>6</v>
      </c>
      <c r="AC550" t="n">
        <v>6</v>
      </c>
      <c r="AD550" t="n">
        <v>31</v>
      </c>
      <c r="AE550" t="n">
        <v>33</v>
      </c>
      <c r="AF550" t="n">
        <v>10</v>
      </c>
      <c r="AG550" t="n">
        <v>12</v>
      </c>
      <c r="AH550" t="n">
        <v>8</v>
      </c>
      <c r="AI550" t="n">
        <v>8</v>
      </c>
      <c r="AJ550" t="n">
        <v>18</v>
      </c>
      <c r="AK550" t="n">
        <v>19</v>
      </c>
      <c r="AL550" t="n">
        <v>4</v>
      </c>
      <c r="AM550" t="n">
        <v>4</v>
      </c>
      <c r="AN550" t="n">
        <v>0</v>
      </c>
      <c r="AO550" t="n">
        <v>0</v>
      </c>
      <c r="AP550" t="inlineStr">
        <is>
          <t>No</t>
        </is>
      </c>
      <c r="AQ550" t="inlineStr">
        <is>
          <t>Yes</t>
        </is>
      </c>
      <c r="AR550">
        <f>HYPERLINK("http://catalog.hathitrust.org/Record/001411567","HathiTrust Record")</f>
        <v/>
      </c>
      <c r="AS550">
        <f>HYPERLINK("https://creighton-primo.hosted.exlibrisgroup.com/primo-explore/search?tab=default_tab&amp;search_scope=EVERYTHING&amp;vid=01CRU&amp;lang=en_US&amp;offset=0&amp;query=any,contains,991000158629702656","Catalog Record")</f>
        <v/>
      </c>
      <c r="AT550">
        <f>HYPERLINK("http://www.worldcat.org/oclc/60848","WorldCat Record")</f>
        <v/>
      </c>
      <c r="AU550" t="inlineStr">
        <is>
          <t>1222050:eng</t>
        </is>
      </c>
      <c r="AV550" t="inlineStr">
        <is>
          <t>60848</t>
        </is>
      </c>
      <c r="AW550" t="inlineStr">
        <is>
          <t>991000158629702656</t>
        </is>
      </c>
      <c r="AX550" t="inlineStr">
        <is>
          <t>991000158629702656</t>
        </is>
      </c>
      <c r="AY550" t="inlineStr">
        <is>
          <t>2271512890002656</t>
        </is>
      </c>
      <c r="AZ550" t="inlineStr">
        <is>
          <t>BOOK</t>
        </is>
      </c>
      <c r="BC550" t="inlineStr">
        <is>
          <t>32285000686849</t>
        </is>
      </c>
      <c r="BD550" t="inlineStr">
        <is>
          <t>893320868</t>
        </is>
      </c>
    </row>
    <row r="551">
      <c r="A551" t="inlineStr">
        <is>
          <t>No</t>
        </is>
      </c>
      <c r="B551" t="inlineStr">
        <is>
          <t>BT28 .P25</t>
        </is>
      </c>
      <c r="C551" t="inlineStr">
        <is>
          <t>0                      BT 0028000P  25</t>
        </is>
      </c>
      <c r="D551" t="inlineStr">
        <is>
          <t>The estranged God : modern man's search for belief / by Anthony T. Padovano.</t>
        </is>
      </c>
      <c r="F551" t="inlineStr">
        <is>
          <t>No</t>
        </is>
      </c>
      <c r="G551" t="inlineStr">
        <is>
          <t>1</t>
        </is>
      </c>
      <c r="H551" t="inlineStr">
        <is>
          <t>No</t>
        </is>
      </c>
      <c r="I551" t="inlineStr">
        <is>
          <t>No</t>
        </is>
      </c>
      <c r="J551" t="inlineStr">
        <is>
          <t>0</t>
        </is>
      </c>
      <c r="K551" t="inlineStr">
        <is>
          <t>Padovano, Anthony T.</t>
        </is>
      </c>
      <c r="L551" t="inlineStr">
        <is>
          <t>New York, Sheed and Ward [1966]</t>
        </is>
      </c>
      <c r="M551" t="inlineStr">
        <is>
          <t>1966</t>
        </is>
      </c>
      <c r="O551" t="inlineStr">
        <is>
          <t>eng</t>
        </is>
      </c>
      <c r="P551" t="inlineStr">
        <is>
          <t>___</t>
        </is>
      </c>
      <c r="R551" t="inlineStr">
        <is>
          <t xml:space="preserve">BT </t>
        </is>
      </c>
      <c r="S551" t="n">
        <v>5</v>
      </c>
      <c r="T551" t="n">
        <v>5</v>
      </c>
      <c r="U551" t="inlineStr">
        <is>
          <t>2003-07-01</t>
        </is>
      </c>
      <c r="V551" t="inlineStr">
        <is>
          <t>2003-07-01</t>
        </is>
      </c>
      <c r="W551" t="inlineStr">
        <is>
          <t>1991-06-19</t>
        </is>
      </c>
      <c r="X551" t="inlineStr">
        <is>
          <t>1991-06-19</t>
        </is>
      </c>
      <c r="Y551" t="n">
        <v>572</v>
      </c>
      <c r="Z551" t="n">
        <v>511</v>
      </c>
      <c r="AA551" t="n">
        <v>513</v>
      </c>
      <c r="AB551" t="n">
        <v>4</v>
      </c>
      <c r="AC551" t="n">
        <v>4</v>
      </c>
      <c r="AD551" t="n">
        <v>36</v>
      </c>
      <c r="AE551" t="n">
        <v>36</v>
      </c>
      <c r="AF551" t="n">
        <v>12</v>
      </c>
      <c r="AG551" t="n">
        <v>12</v>
      </c>
      <c r="AH551" t="n">
        <v>9</v>
      </c>
      <c r="AI551" t="n">
        <v>9</v>
      </c>
      <c r="AJ551" t="n">
        <v>26</v>
      </c>
      <c r="AK551" t="n">
        <v>26</v>
      </c>
      <c r="AL551" t="n">
        <v>2</v>
      </c>
      <c r="AM551" t="n">
        <v>2</v>
      </c>
      <c r="AN551" t="n">
        <v>0</v>
      </c>
      <c r="AO551" t="n">
        <v>0</v>
      </c>
      <c r="AP551" t="inlineStr">
        <is>
          <t>No</t>
        </is>
      </c>
      <c r="AQ551" t="inlineStr">
        <is>
          <t>Yes</t>
        </is>
      </c>
      <c r="AR551">
        <f>HYPERLINK("http://catalog.hathitrust.org/Record/007887720","HathiTrust Record")</f>
        <v/>
      </c>
      <c r="AS551">
        <f>HYPERLINK("https://creighton-primo.hosted.exlibrisgroup.com/primo-explore/search?tab=default_tab&amp;search_scope=EVERYTHING&amp;vid=01CRU&amp;lang=en_US&amp;offset=0&amp;query=any,contains,991002889949702656","Catalog Record")</f>
        <v/>
      </c>
      <c r="AT551">
        <f>HYPERLINK("http://www.worldcat.org/oclc/511143","WorldCat Record")</f>
        <v/>
      </c>
      <c r="AU551" t="inlineStr">
        <is>
          <t>866728875:eng</t>
        </is>
      </c>
      <c r="AV551" t="inlineStr">
        <is>
          <t>511143</t>
        </is>
      </c>
      <c r="AW551" t="inlineStr">
        <is>
          <t>991002889949702656</t>
        </is>
      </c>
      <c r="AX551" t="inlineStr">
        <is>
          <t>991002889949702656</t>
        </is>
      </c>
      <c r="AY551" t="inlineStr">
        <is>
          <t>2263904480002656</t>
        </is>
      </c>
      <c r="AZ551" t="inlineStr">
        <is>
          <t>BOOK</t>
        </is>
      </c>
      <c r="BC551" t="inlineStr">
        <is>
          <t>32285000686864</t>
        </is>
      </c>
      <c r="BD551" t="inlineStr">
        <is>
          <t>893867837</t>
        </is>
      </c>
    </row>
    <row r="552">
      <c r="A552" t="inlineStr">
        <is>
          <t>No</t>
        </is>
      </c>
      <c r="B552" t="inlineStr">
        <is>
          <t>BT28 .P3</t>
        </is>
      </c>
      <c r="C552" t="inlineStr">
        <is>
          <t>0                      BT 0028000P  3</t>
        </is>
      </c>
      <c r="D552" t="inlineStr">
        <is>
          <t>New directions in Anglican theology : a survey from Temple to Robinson / Robert J. Page.</t>
        </is>
      </c>
      <c r="F552" t="inlineStr">
        <is>
          <t>No</t>
        </is>
      </c>
      <c r="G552" t="inlineStr">
        <is>
          <t>1</t>
        </is>
      </c>
      <c r="H552" t="inlineStr">
        <is>
          <t>No</t>
        </is>
      </c>
      <c r="I552" t="inlineStr">
        <is>
          <t>No</t>
        </is>
      </c>
      <c r="J552" t="inlineStr">
        <is>
          <t>0</t>
        </is>
      </c>
      <c r="K552" t="inlineStr">
        <is>
          <t>Page, Robert Jeffress, 1922-</t>
        </is>
      </c>
      <c r="L552" t="inlineStr">
        <is>
          <t>New York : Seabury Press, [1965]</t>
        </is>
      </c>
      <c r="M552" t="inlineStr">
        <is>
          <t>1965</t>
        </is>
      </c>
      <c r="O552" t="inlineStr">
        <is>
          <t>eng</t>
        </is>
      </c>
      <c r="P552" t="inlineStr">
        <is>
          <t>nyu</t>
        </is>
      </c>
      <c r="R552" t="inlineStr">
        <is>
          <t xml:space="preserve">BT </t>
        </is>
      </c>
      <c r="S552" t="n">
        <v>1</v>
      </c>
      <c r="T552" t="n">
        <v>1</v>
      </c>
      <c r="U552" t="inlineStr">
        <is>
          <t>2005-02-15</t>
        </is>
      </c>
      <c r="V552" t="inlineStr">
        <is>
          <t>2005-02-15</t>
        </is>
      </c>
      <c r="W552" t="inlineStr">
        <is>
          <t>1992-04-27</t>
        </is>
      </c>
      <c r="X552" t="inlineStr">
        <is>
          <t>1992-04-27</t>
        </is>
      </c>
      <c r="Y552" t="n">
        <v>282</v>
      </c>
      <c r="Z552" t="n">
        <v>261</v>
      </c>
      <c r="AA552" t="n">
        <v>304</v>
      </c>
      <c r="AB552" t="n">
        <v>2</v>
      </c>
      <c r="AC552" t="n">
        <v>3</v>
      </c>
      <c r="AD552" t="n">
        <v>17</v>
      </c>
      <c r="AE552" t="n">
        <v>19</v>
      </c>
      <c r="AF552" t="n">
        <v>5</v>
      </c>
      <c r="AG552" t="n">
        <v>5</v>
      </c>
      <c r="AH552" t="n">
        <v>3</v>
      </c>
      <c r="AI552" t="n">
        <v>4</v>
      </c>
      <c r="AJ552" t="n">
        <v>12</v>
      </c>
      <c r="AK552" t="n">
        <v>12</v>
      </c>
      <c r="AL552" t="n">
        <v>1</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HYPERLINK("https://creighton-primo.hosted.exlibrisgroup.com/primo-explore/search?tab=default_tab&amp;search_scope=EVERYTHING&amp;vid=01CRU&amp;lang=en_US&amp;offset=0&amp;query=any,contains,991002642199702656","Catalog Record")</f>
        <v/>
      </c>
      <c r="AT552">
        <f>HYPERLINK("http://www.worldcat.org/oclc/384774","WorldCat Record")</f>
        <v/>
      </c>
      <c r="AU552" t="inlineStr">
        <is>
          <t>1504951:eng</t>
        </is>
      </c>
      <c r="AV552" t="inlineStr">
        <is>
          <t>384774</t>
        </is>
      </c>
      <c r="AW552" t="inlineStr">
        <is>
          <t>991002642199702656</t>
        </is>
      </c>
      <c r="AX552" t="inlineStr">
        <is>
          <t>991002642199702656</t>
        </is>
      </c>
      <c r="AY552" t="inlineStr">
        <is>
          <t>2256242430002656</t>
        </is>
      </c>
      <c r="AZ552" t="inlineStr">
        <is>
          <t>BOOK</t>
        </is>
      </c>
      <c r="BC552" t="inlineStr">
        <is>
          <t>32285001101111</t>
        </is>
      </c>
      <c r="BD552" t="inlineStr">
        <is>
          <t>893616367</t>
        </is>
      </c>
    </row>
    <row r="553">
      <c r="A553" t="inlineStr">
        <is>
          <t>No</t>
        </is>
      </c>
      <c r="B553" t="inlineStr">
        <is>
          <t>BT28 .R413</t>
        </is>
      </c>
      <c r="C553" t="inlineStr">
        <is>
          <t>0                      BT 0028000R  413</t>
        </is>
      </c>
      <c r="D553" t="inlineStr">
        <is>
          <t>Theologians of our time : Karl Barth [and others] / ed. Leonard Reinisch ; foreword by Charles H. Henkey.</t>
        </is>
      </c>
      <c r="F553" t="inlineStr">
        <is>
          <t>No</t>
        </is>
      </c>
      <c r="G553" t="inlineStr">
        <is>
          <t>1</t>
        </is>
      </c>
      <c r="H553" t="inlineStr">
        <is>
          <t>No</t>
        </is>
      </c>
      <c r="I553" t="inlineStr">
        <is>
          <t>No</t>
        </is>
      </c>
      <c r="J553" t="inlineStr">
        <is>
          <t>0</t>
        </is>
      </c>
      <c r="K553" t="inlineStr">
        <is>
          <t>Reinisch, Leonhard, editor.</t>
        </is>
      </c>
      <c r="L553" t="inlineStr">
        <is>
          <t>[Notre Dame, Ind.] University of Notre Dame Press [1964]</t>
        </is>
      </c>
      <c r="M553" t="inlineStr">
        <is>
          <t>1964</t>
        </is>
      </c>
      <c r="O553" t="inlineStr">
        <is>
          <t>eng</t>
        </is>
      </c>
      <c r="P553" t="inlineStr">
        <is>
          <t>inu</t>
        </is>
      </c>
      <c r="Q553" t="inlineStr">
        <is>
          <t>Theology today ; v. 1</t>
        </is>
      </c>
      <c r="R553" t="inlineStr">
        <is>
          <t xml:space="preserve">BT </t>
        </is>
      </c>
      <c r="S553" t="n">
        <v>3</v>
      </c>
      <c r="T553" t="n">
        <v>3</v>
      </c>
      <c r="U553" t="inlineStr">
        <is>
          <t>2006-02-18</t>
        </is>
      </c>
      <c r="V553" t="inlineStr">
        <is>
          <t>2006-02-18</t>
        </is>
      </c>
      <c r="W553" t="inlineStr">
        <is>
          <t>1991-06-19</t>
        </is>
      </c>
      <c r="X553" t="inlineStr">
        <is>
          <t>1991-06-19</t>
        </is>
      </c>
      <c r="Y553" t="n">
        <v>850</v>
      </c>
      <c r="Z553" t="n">
        <v>805</v>
      </c>
      <c r="AA553" t="n">
        <v>855</v>
      </c>
      <c r="AB553" t="n">
        <v>9</v>
      </c>
      <c r="AC553" t="n">
        <v>9</v>
      </c>
      <c r="AD553" t="n">
        <v>42</v>
      </c>
      <c r="AE553" t="n">
        <v>44</v>
      </c>
      <c r="AF553" t="n">
        <v>15</v>
      </c>
      <c r="AG553" t="n">
        <v>16</v>
      </c>
      <c r="AH553" t="n">
        <v>8</v>
      </c>
      <c r="AI553" t="n">
        <v>9</v>
      </c>
      <c r="AJ553" t="n">
        <v>24</v>
      </c>
      <c r="AK553" t="n">
        <v>26</v>
      </c>
      <c r="AL553" t="n">
        <v>6</v>
      </c>
      <c r="AM553" t="n">
        <v>6</v>
      </c>
      <c r="AN553" t="n">
        <v>0</v>
      </c>
      <c r="AO553" t="n">
        <v>0</v>
      </c>
      <c r="AP553" t="inlineStr">
        <is>
          <t>No</t>
        </is>
      </c>
      <c r="AQ553" t="inlineStr">
        <is>
          <t>Yes</t>
        </is>
      </c>
      <c r="AR553">
        <f>HYPERLINK("http://catalog.hathitrust.org/Record/004507121","HathiTrust Record")</f>
        <v/>
      </c>
      <c r="AS553">
        <f>HYPERLINK("https://creighton-primo.hosted.exlibrisgroup.com/primo-explore/search?tab=default_tab&amp;search_scope=EVERYTHING&amp;vid=01CRU&amp;lang=en_US&amp;offset=0&amp;query=any,contains,991002642139702656","Catalog Record")</f>
        <v/>
      </c>
      <c r="AT553">
        <f>HYPERLINK("http://www.worldcat.org/oclc/384771","WorldCat Record")</f>
        <v/>
      </c>
      <c r="AU553" t="inlineStr">
        <is>
          <t>9276296156:eng</t>
        </is>
      </c>
      <c r="AV553" t="inlineStr">
        <is>
          <t>384771</t>
        </is>
      </c>
      <c r="AW553" t="inlineStr">
        <is>
          <t>991002642139702656</t>
        </is>
      </c>
      <c r="AX553" t="inlineStr">
        <is>
          <t>991002642139702656</t>
        </is>
      </c>
      <c r="AY553" t="inlineStr">
        <is>
          <t>2256241930002656</t>
        </is>
      </c>
      <c r="AZ553" t="inlineStr">
        <is>
          <t>BOOK</t>
        </is>
      </c>
      <c r="BC553" t="inlineStr">
        <is>
          <t>32285000686872</t>
        </is>
      </c>
      <c r="BD553" t="inlineStr">
        <is>
          <t>893603823</t>
        </is>
      </c>
    </row>
    <row r="554">
      <c r="A554" t="inlineStr">
        <is>
          <t>No</t>
        </is>
      </c>
      <c r="B554" t="inlineStr">
        <is>
          <t>BT28 .R85</t>
        </is>
      </c>
      <c r="C554" t="inlineStr">
        <is>
          <t>0                      BT 0028000R  85</t>
        </is>
      </c>
      <c r="D554" t="inlineStr">
        <is>
          <t>Revelation and theology: an analysis of the Barth-Harnack correspondence of 1923 [by] H. Martin Rumscheidt.</t>
        </is>
      </c>
      <c r="F554" t="inlineStr">
        <is>
          <t>No</t>
        </is>
      </c>
      <c r="G554" t="inlineStr">
        <is>
          <t>1</t>
        </is>
      </c>
      <c r="H554" t="inlineStr">
        <is>
          <t>No</t>
        </is>
      </c>
      <c r="I554" t="inlineStr">
        <is>
          <t>No</t>
        </is>
      </c>
      <c r="J554" t="inlineStr">
        <is>
          <t>0</t>
        </is>
      </c>
      <c r="K554" t="inlineStr">
        <is>
          <t>Rumscheidt, Martin.</t>
        </is>
      </c>
      <c r="L554" t="inlineStr">
        <is>
          <t>Cambridge [Eng.] University Press, 1972.</t>
        </is>
      </c>
      <c r="M554" t="inlineStr">
        <is>
          <t>1972</t>
        </is>
      </c>
      <c r="O554" t="inlineStr">
        <is>
          <t>eng</t>
        </is>
      </c>
      <c r="P554" t="inlineStr">
        <is>
          <t>enk</t>
        </is>
      </c>
      <c r="Q554" t="inlineStr">
        <is>
          <t>Monograph supplements to the Scottish journal of theology</t>
        </is>
      </c>
      <c r="R554" t="inlineStr">
        <is>
          <t xml:space="preserve">BT </t>
        </is>
      </c>
      <c r="S554" t="n">
        <v>5</v>
      </c>
      <c r="T554" t="n">
        <v>5</v>
      </c>
      <c r="U554" t="inlineStr">
        <is>
          <t>2006-11-15</t>
        </is>
      </c>
      <c r="V554" t="inlineStr">
        <is>
          <t>2006-11-15</t>
        </is>
      </c>
      <c r="W554" t="inlineStr">
        <is>
          <t>1991-06-19</t>
        </is>
      </c>
      <c r="X554" t="inlineStr">
        <is>
          <t>1991-06-19</t>
        </is>
      </c>
      <c r="Y554" t="n">
        <v>418</v>
      </c>
      <c r="Z554" t="n">
        <v>311</v>
      </c>
      <c r="AA554" t="n">
        <v>311</v>
      </c>
      <c r="AB554" t="n">
        <v>4</v>
      </c>
      <c r="AC554" t="n">
        <v>4</v>
      </c>
      <c r="AD554" t="n">
        <v>25</v>
      </c>
      <c r="AE554" t="n">
        <v>25</v>
      </c>
      <c r="AF554" t="n">
        <v>6</v>
      </c>
      <c r="AG554" t="n">
        <v>6</v>
      </c>
      <c r="AH554" t="n">
        <v>8</v>
      </c>
      <c r="AI554" t="n">
        <v>8</v>
      </c>
      <c r="AJ554" t="n">
        <v>14</v>
      </c>
      <c r="AK554" t="n">
        <v>14</v>
      </c>
      <c r="AL554" t="n">
        <v>3</v>
      </c>
      <c r="AM554" t="n">
        <v>3</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HYPERLINK("https://creighton-primo.hosted.exlibrisgroup.com/primo-explore/search?tab=default_tab&amp;search_scope=EVERYTHING&amp;vid=01CRU&amp;lang=en_US&amp;offset=0&amp;query=any,contains,991002730939702656","Catalog Record")</f>
        <v/>
      </c>
      <c r="AT554">
        <f>HYPERLINK("http://www.worldcat.org/oclc/416482","WorldCat Record")</f>
        <v/>
      </c>
      <c r="AU554" t="inlineStr">
        <is>
          <t>836717943:eng</t>
        </is>
      </c>
      <c r="AV554" t="inlineStr">
        <is>
          <t>416482</t>
        </is>
      </c>
      <c r="AW554" t="inlineStr">
        <is>
          <t>991002730939702656</t>
        </is>
      </c>
      <c r="AX554" t="inlineStr">
        <is>
          <t>991002730939702656</t>
        </is>
      </c>
      <c r="AY554" t="inlineStr">
        <is>
          <t>2266454680002656</t>
        </is>
      </c>
      <c r="AZ554" t="inlineStr">
        <is>
          <t>BOOK</t>
        </is>
      </c>
      <c r="BB554" t="inlineStr">
        <is>
          <t>9780521083652</t>
        </is>
      </c>
      <c r="BC554" t="inlineStr">
        <is>
          <t>32285000686898</t>
        </is>
      </c>
      <c r="BD554" t="inlineStr">
        <is>
          <t>893352487</t>
        </is>
      </c>
    </row>
    <row r="555">
      <c r="A555" t="inlineStr">
        <is>
          <t>No</t>
        </is>
      </c>
      <c r="B555" t="inlineStr">
        <is>
          <t>BT28 .T5</t>
        </is>
      </c>
      <c r="C555" t="inlineStr">
        <is>
          <t>0                      BT 0028000T  5</t>
        </is>
      </c>
      <c r="D555" t="inlineStr">
        <is>
          <t>Perspectives on 19th and 20th century Protestant theology / Paul Tillich. Edited and with an introd. by Carl E. Braaten.</t>
        </is>
      </c>
      <c r="F555" t="inlineStr">
        <is>
          <t>No</t>
        </is>
      </c>
      <c r="G555" t="inlineStr">
        <is>
          <t>1</t>
        </is>
      </c>
      <c r="H555" t="inlineStr">
        <is>
          <t>No</t>
        </is>
      </c>
      <c r="I555" t="inlineStr">
        <is>
          <t>No</t>
        </is>
      </c>
      <c r="J555" t="inlineStr">
        <is>
          <t>0</t>
        </is>
      </c>
      <c r="K555" t="inlineStr">
        <is>
          <t>Tillich, Paul, 1886-1965.</t>
        </is>
      </c>
      <c r="L555" t="inlineStr">
        <is>
          <t>New York, Harper &amp; Row [1967]</t>
        </is>
      </c>
      <c r="M555" t="inlineStr">
        <is>
          <t>1967</t>
        </is>
      </c>
      <c r="N555" t="inlineStr">
        <is>
          <t>[1st ed.]</t>
        </is>
      </c>
      <c r="O555" t="inlineStr">
        <is>
          <t>eng</t>
        </is>
      </c>
      <c r="P555" t="inlineStr">
        <is>
          <t>nyu</t>
        </is>
      </c>
      <c r="R555" t="inlineStr">
        <is>
          <t xml:space="preserve">BT </t>
        </is>
      </c>
      <c r="S555" t="n">
        <v>5</v>
      </c>
      <c r="T555" t="n">
        <v>5</v>
      </c>
      <c r="U555" t="inlineStr">
        <is>
          <t>1995-03-26</t>
        </is>
      </c>
      <c r="V555" t="inlineStr">
        <is>
          <t>1995-03-26</t>
        </is>
      </c>
      <c r="W555" t="inlineStr">
        <is>
          <t>1991-06-19</t>
        </is>
      </c>
      <c r="X555" t="inlineStr">
        <is>
          <t>1991-06-19</t>
        </is>
      </c>
      <c r="Y555" t="n">
        <v>1101</v>
      </c>
      <c r="Z555" t="n">
        <v>1026</v>
      </c>
      <c r="AA555" t="n">
        <v>1028</v>
      </c>
      <c r="AB555" t="n">
        <v>8</v>
      </c>
      <c r="AC555" t="n">
        <v>8</v>
      </c>
      <c r="AD555" t="n">
        <v>46</v>
      </c>
      <c r="AE555" t="n">
        <v>46</v>
      </c>
      <c r="AF555" t="n">
        <v>16</v>
      </c>
      <c r="AG555" t="n">
        <v>16</v>
      </c>
      <c r="AH555" t="n">
        <v>10</v>
      </c>
      <c r="AI555" t="n">
        <v>10</v>
      </c>
      <c r="AJ555" t="n">
        <v>24</v>
      </c>
      <c r="AK555" t="n">
        <v>24</v>
      </c>
      <c r="AL555" t="n">
        <v>7</v>
      </c>
      <c r="AM555" t="n">
        <v>7</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HYPERLINK("https://creighton-primo.hosted.exlibrisgroup.com/primo-explore/search?tab=default_tab&amp;search_scope=EVERYTHING&amp;vid=01CRU&amp;lang=en_US&amp;offset=0&amp;query=any,contains,991002640009702656","Catalog Record")</f>
        <v/>
      </c>
      <c r="AT555">
        <f>HYPERLINK("http://www.worldcat.org/oclc/383775","WorldCat Record")</f>
        <v/>
      </c>
      <c r="AU555" t="inlineStr">
        <is>
          <t>10678287512:eng</t>
        </is>
      </c>
      <c r="AV555" t="inlineStr">
        <is>
          <t>383775</t>
        </is>
      </c>
      <c r="AW555" t="inlineStr">
        <is>
          <t>991002640009702656</t>
        </is>
      </c>
      <c r="AX555" t="inlineStr">
        <is>
          <t>991002640009702656</t>
        </is>
      </c>
      <c r="AY555" t="inlineStr">
        <is>
          <t>2260524400002656</t>
        </is>
      </c>
      <c r="AZ555" t="inlineStr">
        <is>
          <t>BOOK</t>
        </is>
      </c>
      <c r="BC555" t="inlineStr">
        <is>
          <t>32285000686922</t>
        </is>
      </c>
      <c r="BD555" t="inlineStr">
        <is>
          <t>893704306</t>
        </is>
      </c>
    </row>
    <row r="556">
      <c r="A556" t="inlineStr">
        <is>
          <t>No</t>
        </is>
      </c>
      <c r="B556" t="inlineStr">
        <is>
          <t>BT28 .W394</t>
        </is>
      </c>
      <c r="C556" t="inlineStr">
        <is>
          <t>0                      BT 0028000W  394</t>
        </is>
      </c>
      <c r="D556" t="inlineStr">
        <is>
          <t>Protestant thought in the nineteenth century / by Claude Welch.</t>
        </is>
      </c>
      <c r="E556" t="inlineStr">
        <is>
          <t>V.2</t>
        </is>
      </c>
      <c r="F556" t="inlineStr">
        <is>
          <t>Yes</t>
        </is>
      </c>
      <c r="G556" t="inlineStr">
        <is>
          <t>1</t>
        </is>
      </c>
      <c r="H556" t="inlineStr">
        <is>
          <t>No</t>
        </is>
      </c>
      <c r="I556" t="inlineStr">
        <is>
          <t>No</t>
        </is>
      </c>
      <c r="J556" t="inlineStr">
        <is>
          <t>0</t>
        </is>
      </c>
      <c r="K556" t="inlineStr">
        <is>
          <t>Welch, Claude.</t>
        </is>
      </c>
      <c r="L556" t="inlineStr">
        <is>
          <t>New Haven, Yale University Press, 1972-</t>
        </is>
      </c>
      <c r="M556" t="inlineStr">
        <is>
          <t>1972</t>
        </is>
      </c>
      <c r="O556" t="inlineStr">
        <is>
          <t>eng</t>
        </is>
      </c>
      <c r="P556" t="inlineStr">
        <is>
          <t>ctu</t>
        </is>
      </c>
      <c r="R556" t="inlineStr">
        <is>
          <t xml:space="preserve">BT </t>
        </is>
      </c>
      <c r="S556" t="n">
        <v>3</v>
      </c>
      <c r="T556" t="n">
        <v>7</v>
      </c>
      <c r="U556" t="inlineStr">
        <is>
          <t>1994-04-19</t>
        </is>
      </c>
      <c r="V556" t="inlineStr">
        <is>
          <t>1999-01-22</t>
        </is>
      </c>
      <c r="W556" t="inlineStr">
        <is>
          <t>1991-06-19</t>
        </is>
      </c>
      <c r="X556" t="inlineStr">
        <is>
          <t>1991-06-19</t>
        </is>
      </c>
      <c r="Y556" t="n">
        <v>1203</v>
      </c>
      <c r="Z556" t="n">
        <v>1055</v>
      </c>
      <c r="AA556" t="n">
        <v>1062</v>
      </c>
      <c r="AB556" t="n">
        <v>12</v>
      </c>
      <c r="AC556" t="n">
        <v>12</v>
      </c>
      <c r="AD556" t="n">
        <v>54</v>
      </c>
      <c r="AE556" t="n">
        <v>54</v>
      </c>
      <c r="AF556" t="n">
        <v>22</v>
      </c>
      <c r="AG556" t="n">
        <v>22</v>
      </c>
      <c r="AH556" t="n">
        <v>10</v>
      </c>
      <c r="AI556" t="n">
        <v>10</v>
      </c>
      <c r="AJ556" t="n">
        <v>27</v>
      </c>
      <c r="AK556" t="n">
        <v>27</v>
      </c>
      <c r="AL556" t="n">
        <v>9</v>
      </c>
      <c r="AM556" t="n">
        <v>9</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HYPERLINK("https://creighton-primo.hosted.exlibrisgroup.com/primo-explore/search?tab=default_tab&amp;search_scope=EVERYTHING&amp;vid=01CRU&amp;lang=en_US&amp;offset=0&amp;query=any,contains,991002839609702656","Catalog Record")</f>
        <v/>
      </c>
      <c r="AT556">
        <f>HYPERLINK("http://www.worldcat.org/oclc/481357","WorldCat Record")</f>
        <v/>
      </c>
      <c r="AU556" t="inlineStr">
        <is>
          <t>4164229638:eng</t>
        </is>
      </c>
      <c r="AV556" t="inlineStr">
        <is>
          <t>481357</t>
        </is>
      </c>
      <c r="AW556" t="inlineStr">
        <is>
          <t>991002839609702656</t>
        </is>
      </c>
      <c r="AX556" t="inlineStr">
        <is>
          <t>991002839609702656</t>
        </is>
      </c>
      <c r="AY556" t="inlineStr">
        <is>
          <t>2269584430002656</t>
        </is>
      </c>
      <c r="AZ556" t="inlineStr">
        <is>
          <t>BOOK</t>
        </is>
      </c>
      <c r="BB556" t="inlineStr">
        <is>
          <t>9780300015355</t>
        </is>
      </c>
      <c r="BC556" t="inlineStr">
        <is>
          <t>32285000686955</t>
        </is>
      </c>
      <c r="BD556" t="inlineStr">
        <is>
          <t>893692061</t>
        </is>
      </c>
    </row>
    <row r="557">
      <c r="A557" t="inlineStr">
        <is>
          <t>No</t>
        </is>
      </c>
      <c r="B557" t="inlineStr">
        <is>
          <t>BT28 .W394</t>
        </is>
      </c>
      <c r="C557" t="inlineStr">
        <is>
          <t>0                      BT 0028000W  394</t>
        </is>
      </c>
      <c r="D557" t="inlineStr">
        <is>
          <t>Protestant thought in the nineteenth century / by Claude Welch.</t>
        </is>
      </c>
      <c r="E557" t="inlineStr">
        <is>
          <t>V.1</t>
        </is>
      </c>
      <c r="F557" t="inlineStr">
        <is>
          <t>Yes</t>
        </is>
      </c>
      <c r="G557" t="inlineStr">
        <is>
          <t>1</t>
        </is>
      </c>
      <c r="H557" t="inlineStr">
        <is>
          <t>No</t>
        </is>
      </c>
      <c r="I557" t="inlineStr">
        <is>
          <t>No</t>
        </is>
      </c>
      <c r="J557" t="inlineStr">
        <is>
          <t>0</t>
        </is>
      </c>
      <c r="K557" t="inlineStr">
        <is>
          <t>Welch, Claude.</t>
        </is>
      </c>
      <c r="L557" t="inlineStr">
        <is>
          <t>New Haven, Yale University Press, 1972-</t>
        </is>
      </c>
      <c r="M557" t="inlineStr">
        <is>
          <t>1972</t>
        </is>
      </c>
      <c r="O557" t="inlineStr">
        <is>
          <t>eng</t>
        </is>
      </c>
      <c r="P557" t="inlineStr">
        <is>
          <t>ctu</t>
        </is>
      </c>
      <c r="R557" t="inlineStr">
        <is>
          <t xml:space="preserve">BT </t>
        </is>
      </c>
      <c r="S557" t="n">
        <v>4</v>
      </c>
      <c r="T557" t="n">
        <v>7</v>
      </c>
      <c r="U557" t="inlineStr">
        <is>
          <t>1999-01-22</t>
        </is>
      </c>
      <c r="V557" t="inlineStr">
        <is>
          <t>1999-01-22</t>
        </is>
      </c>
      <c r="W557" t="inlineStr">
        <is>
          <t>1991-06-19</t>
        </is>
      </c>
      <c r="X557" t="inlineStr">
        <is>
          <t>1991-06-19</t>
        </is>
      </c>
      <c r="Y557" t="n">
        <v>1203</v>
      </c>
      <c r="Z557" t="n">
        <v>1055</v>
      </c>
      <c r="AA557" t="n">
        <v>1062</v>
      </c>
      <c r="AB557" t="n">
        <v>12</v>
      </c>
      <c r="AC557" t="n">
        <v>12</v>
      </c>
      <c r="AD557" t="n">
        <v>54</v>
      </c>
      <c r="AE557" t="n">
        <v>54</v>
      </c>
      <c r="AF557" t="n">
        <v>22</v>
      </c>
      <c r="AG557" t="n">
        <v>22</v>
      </c>
      <c r="AH557" t="n">
        <v>10</v>
      </c>
      <c r="AI557" t="n">
        <v>10</v>
      </c>
      <c r="AJ557" t="n">
        <v>27</v>
      </c>
      <c r="AK557" t="n">
        <v>27</v>
      </c>
      <c r="AL557" t="n">
        <v>9</v>
      </c>
      <c r="AM557" t="n">
        <v>9</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HYPERLINK("https://creighton-primo.hosted.exlibrisgroup.com/primo-explore/search?tab=default_tab&amp;search_scope=EVERYTHING&amp;vid=01CRU&amp;lang=en_US&amp;offset=0&amp;query=any,contains,991002839609702656","Catalog Record")</f>
        <v/>
      </c>
      <c r="AT557">
        <f>HYPERLINK("http://www.worldcat.org/oclc/481357","WorldCat Record")</f>
        <v/>
      </c>
      <c r="AU557" t="inlineStr">
        <is>
          <t>4164229638:eng</t>
        </is>
      </c>
      <c r="AV557" t="inlineStr">
        <is>
          <t>481357</t>
        </is>
      </c>
      <c r="AW557" t="inlineStr">
        <is>
          <t>991002839609702656</t>
        </is>
      </c>
      <c r="AX557" t="inlineStr">
        <is>
          <t>991002839609702656</t>
        </is>
      </c>
      <c r="AY557" t="inlineStr">
        <is>
          <t>2269584430002656</t>
        </is>
      </c>
      <c r="AZ557" t="inlineStr">
        <is>
          <t>BOOK</t>
        </is>
      </c>
      <c r="BB557" t="inlineStr">
        <is>
          <t>9780300015355</t>
        </is>
      </c>
      <c r="BC557" t="inlineStr">
        <is>
          <t>32285000686948</t>
        </is>
      </c>
      <c r="BD557" t="inlineStr">
        <is>
          <t>893692062</t>
        </is>
      </c>
    </row>
    <row r="558">
      <c r="A558" t="inlineStr">
        <is>
          <t>No</t>
        </is>
      </c>
      <c r="B558" t="inlineStr">
        <is>
          <t>BT28.B37 P7</t>
        </is>
      </c>
      <c r="C558" t="inlineStr">
        <is>
          <t>0                      BT 0028000B  37                 P  7</t>
        </is>
      </c>
      <c r="D558" t="inlineStr">
        <is>
          <t>Protestant thought: from Rousseau to Ritschl; being the translation of eleven chapters of Die protestantische Theologie im 19. Jahrhundert / Karl Barth. [Translated by Brian Cozens.</t>
        </is>
      </c>
      <c r="F558" t="inlineStr">
        <is>
          <t>No</t>
        </is>
      </c>
      <c r="G558" t="inlineStr">
        <is>
          <t>1</t>
        </is>
      </c>
      <c r="H558" t="inlineStr">
        <is>
          <t>No</t>
        </is>
      </c>
      <c r="I558" t="inlineStr">
        <is>
          <t>No</t>
        </is>
      </c>
      <c r="J558" t="inlineStr">
        <is>
          <t>0</t>
        </is>
      </c>
      <c r="K558" t="inlineStr">
        <is>
          <t>Barth, Karl, 1886-1968.</t>
        </is>
      </c>
      <c r="L558" t="inlineStr">
        <is>
          <t>New York] Simon and Schuster [1969, c1959]</t>
        </is>
      </c>
      <c r="M558" t="inlineStr">
        <is>
          <t>1969</t>
        </is>
      </c>
      <c r="O558" t="inlineStr">
        <is>
          <t>eng</t>
        </is>
      </c>
      <c r="P558" t="inlineStr">
        <is>
          <t>nyu</t>
        </is>
      </c>
      <c r="R558" t="inlineStr">
        <is>
          <t xml:space="preserve">BT </t>
        </is>
      </c>
      <c r="S558" t="n">
        <v>5</v>
      </c>
      <c r="T558" t="n">
        <v>5</v>
      </c>
      <c r="U558" t="inlineStr">
        <is>
          <t>2005-12-15</t>
        </is>
      </c>
      <c r="V558" t="inlineStr">
        <is>
          <t>2005-12-15</t>
        </is>
      </c>
      <c r="W558" t="inlineStr">
        <is>
          <t>1991-06-14</t>
        </is>
      </c>
      <c r="X558" t="inlineStr">
        <is>
          <t>1991-06-14</t>
        </is>
      </c>
      <c r="Y558" t="n">
        <v>207</v>
      </c>
      <c r="Z558" t="n">
        <v>191</v>
      </c>
      <c r="AA558" t="n">
        <v>224</v>
      </c>
      <c r="AB558" t="n">
        <v>3</v>
      </c>
      <c r="AC558" t="n">
        <v>3</v>
      </c>
      <c r="AD558" t="n">
        <v>15</v>
      </c>
      <c r="AE558" t="n">
        <v>15</v>
      </c>
      <c r="AF558" t="n">
        <v>5</v>
      </c>
      <c r="AG558" t="n">
        <v>5</v>
      </c>
      <c r="AH558" t="n">
        <v>4</v>
      </c>
      <c r="AI558" t="n">
        <v>4</v>
      </c>
      <c r="AJ558" t="n">
        <v>13</v>
      </c>
      <c r="AK558" t="n">
        <v>13</v>
      </c>
      <c r="AL558" t="n">
        <v>1</v>
      </c>
      <c r="AM558" t="n">
        <v>1</v>
      </c>
      <c r="AN558" t="n">
        <v>0</v>
      </c>
      <c r="AO558" t="n">
        <v>0</v>
      </c>
      <c r="AP558" t="inlineStr">
        <is>
          <t>No</t>
        </is>
      </c>
      <c r="AQ558" t="inlineStr">
        <is>
          <t>Yes</t>
        </is>
      </c>
      <c r="AR558">
        <f>HYPERLINK("http://catalog.hathitrust.org/Record/009814416","HathiTrust Record")</f>
        <v/>
      </c>
      <c r="AS558">
        <f>HYPERLINK("https://creighton-primo.hosted.exlibrisgroup.com/primo-explore/search?tab=default_tab&amp;search_scope=EVERYTHING&amp;vid=01CRU&amp;lang=en_US&amp;offset=0&amp;query=any,contains,991000006309702656","Catalog Record")</f>
        <v/>
      </c>
      <c r="AT558">
        <f>HYPERLINK("http://www.worldcat.org/oclc/13465","WorldCat Record")</f>
        <v/>
      </c>
      <c r="AU558" t="inlineStr">
        <is>
          <t>2863526340:eng</t>
        </is>
      </c>
      <c r="AV558" t="inlineStr">
        <is>
          <t>13465</t>
        </is>
      </c>
      <c r="AW558" t="inlineStr">
        <is>
          <t>991000006309702656</t>
        </is>
      </c>
      <c r="AX558" t="inlineStr">
        <is>
          <t>991000006309702656</t>
        </is>
      </c>
      <c r="AY558" t="inlineStr">
        <is>
          <t>2266331660002656</t>
        </is>
      </c>
      <c r="AZ558" t="inlineStr">
        <is>
          <t>BOOK</t>
        </is>
      </c>
      <c r="BB558" t="inlineStr">
        <is>
          <t>9780671202927</t>
        </is>
      </c>
      <c r="BC558" t="inlineStr">
        <is>
          <t>32285000686476</t>
        </is>
      </c>
      <c r="BD558" t="inlineStr">
        <is>
          <t>893771288</t>
        </is>
      </c>
    </row>
    <row r="559">
      <c r="A559" t="inlineStr">
        <is>
          <t>No</t>
        </is>
      </c>
      <c r="B559" t="inlineStr">
        <is>
          <t>BT295 .M86 1949</t>
        </is>
      </c>
      <c r="C559" t="inlineStr">
        <is>
          <t>0                      BT 0295000M  86          1949</t>
        </is>
      </c>
      <c r="D559" t="inlineStr">
        <is>
          <t>Christ in Main Street / F.J. Mueller.</t>
        </is>
      </c>
      <c r="F559" t="inlineStr">
        <is>
          <t>No</t>
        </is>
      </c>
      <c r="G559" t="inlineStr">
        <is>
          <t>1</t>
        </is>
      </c>
      <c r="H559" t="inlineStr">
        <is>
          <t>No</t>
        </is>
      </c>
      <c r="I559" t="inlineStr">
        <is>
          <t>No</t>
        </is>
      </c>
      <c r="J559" t="inlineStr">
        <is>
          <t>0</t>
        </is>
      </c>
      <c r="K559" t="inlineStr">
        <is>
          <t>Mueller, Francis John, 1894-</t>
        </is>
      </c>
      <c r="L559" t="inlineStr">
        <is>
          <t>Milwaukee : Bruce, [1949]</t>
        </is>
      </c>
      <c r="M559" t="inlineStr">
        <is>
          <t>1949</t>
        </is>
      </c>
      <c r="O559" t="inlineStr">
        <is>
          <t>eng</t>
        </is>
      </c>
      <c r="P559" t="inlineStr">
        <is>
          <t>wiu</t>
        </is>
      </c>
      <c r="R559" t="inlineStr">
        <is>
          <t xml:space="preserve">BT </t>
        </is>
      </c>
      <c r="S559" t="n">
        <v>2</v>
      </c>
      <c r="T559" t="n">
        <v>2</v>
      </c>
      <c r="U559" t="inlineStr">
        <is>
          <t>1997-01-21</t>
        </is>
      </c>
      <c r="V559" t="inlineStr">
        <is>
          <t>1997-01-21</t>
        </is>
      </c>
      <c r="W559" t="inlineStr">
        <is>
          <t>1991-08-14</t>
        </is>
      </c>
      <c r="X559" t="inlineStr">
        <is>
          <t>1991-08-14</t>
        </is>
      </c>
      <c r="Y559" t="n">
        <v>55</v>
      </c>
      <c r="Z559" t="n">
        <v>53</v>
      </c>
      <c r="AA559" t="n">
        <v>53</v>
      </c>
      <c r="AB559" t="n">
        <v>2</v>
      </c>
      <c r="AC559" t="n">
        <v>2</v>
      </c>
      <c r="AD559" t="n">
        <v>14</v>
      </c>
      <c r="AE559" t="n">
        <v>14</v>
      </c>
      <c r="AF559" t="n">
        <v>2</v>
      </c>
      <c r="AG559" t="n">
        <v>2</v>
      </c>
      <c r="AH559" t="n">
        <v>4</v>
      </c>
      <c r="AI559" t="n">
        <v>4</v>
      </c>
      <c r="AJ559" t="n">
        <v>12</v>
      </c>
      <c r="AK559" t="n">
        <v>12</v>
      </c>
      <c r="AL559" t="n">
        <v>0</v>
      </c>
      <c r="AM559" t="n">
        <v>0</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HYPERLINK("https://creighton-primo.hosted.exlibrisgroup.com/primo-explore/search?tab=default_tab&amp;search_scope=EVERYTHING&amp;vid=01CRU&amp;lang=en_US&amp;offset=0&amp;query=any,contains,991004945939702656","Catalog Record")</f>
        <v/>
      </c>
      <c r="AT559">
        <f>HYPERLINK("http://www.worldcat.org/oclc/6209731","WorldCat Record")</f>
        <v/>
      </c>
      <c r="AU559" t="inlineStr">
        <is>
          <t>21237350:eng</t>
        </is>
      </c>
      <c r="AV559" t="inlineStr">
        <is>
          <t>6209731</t>
        </is>
      </c>
      <c r="AW559" t="inlineStr">
        <is>
          <t>991004945939702656</t>
        </is>
      </c>
      <c r="AX559" t="inlineStr">
        <is>
          <t>991004945939702656</t>
        </is>
      </c>
      <c r="AY559" t="inlineStr">
        <is>
          <t>2258113250002656</t>
        </is>
      </c>
      <c r="AZ559" t="inlineStr">
        <is>
          <t>BOOK</t>
        </is>
      </c>
      <c r="BC559" t="inlineStr">
        <is>
          <t>32285000712728</t>
        </is>
      </c>
      <c r="BD559" t="inlineStr">
        <is>
          <t>893236089</t>
        </is>
      </c>
    </row>
    <row r="560">
      <c r="A560" t="inlineStr">
        <is>
          <t>No</t>
        </is>
      </c>
      <c r="B560" t="inlineStr">
        <is>
          <t>BT299 .B6 1947</t>
        </is>
      </c>
      <c r="C560" t="inlineStr">
        <is>
          <t>0                      BT 0299000B  6           1947</t>
        </is>
      </c>
      <c r="D560" t="inlineStr">
        <is>
          <t>Jesus the Messiah : the four Gospels in one narrative according to the chronological order / by J. M. Bover ; English adaptation by J. Burgers.</t>
        </is>
      </c>
      <c r="F560" t="inlineStr">
        <is>
          <t>No</t>
        </is>
      </c>
      <c r="G560" t="inlineStr">
        <is>
          <t>1</t>
        </is>
      </c>
      <c r="H560" t="inlineStr">
        <is>
          <t>No</t>
        </is>
      </c>
      <c r="I560" t="inlineStr">
        <is>
          <t>No</t>
        </is>
      </c>
      <c r="J560" t="inlineStr">
        <is>
          <t>0</t>
        </is>
      </c>
      <c r="K560" t="inlineStr">
        <is>
          <t>Bible. Gospels. English. Bover.</t>
        </is>
      </c>
      <c r="L560" t="inlineStr">
        <is>
          <t>New York : Brepol's Catholic Press, [1947?]</t>
        </is>
      </c>
      <c r="M560" t="inlineStr">
        <is>
          <t>1947</t>
        </is>
      </c>
      <c r="N560" t="inlineStr">
        <is>
          <t>2d rev. ed.</t>
        </is>
      </c>
      <c r="O560" t="inlineStr">
        <is>
          <t>eng</t>
        </is>
      </c>
      <c r="P560" t="inlineStr">
        <is>
          <t>nyu</t>
        </is>
      </c>
      <c r="R560" t="inlineStr">
        <is>
          <t xml:space="preserve">BT </t>
        </is>
      </c>
      <c r="S560" t="n">
        <v>1</v>
      </c>
      <c r="T560" t="n">
        <v>1</v>
      </c>
      <c r="U560" t="inlineStr">
        <is>
          <t>2008-01-04</t>
        </is>
      </c>
      <c r="V560" t="inlineStr">
        <is>
          <t>2008-01-04</t>
        </is>
      </c>
      <c r="W560" t="inlineStr">
        <is>
          <t>1991-08-14</t>
        </is>
      </c>
      <c r="X560" t="inlineStr">
        <is>
          <t>1991-08-14</t>
        </is>
      </c>
      <c r="Y560" t="n">
        <v>16</v>
      </c>
      <c r="Z560" t="n">
        <v>16</v>
      </c>
      <c r="AA560" t="n">
        <v>32</v>
      </c>
      <c r="AB560" t="n">
        <v>1</v>
      </c>
      <c r="AC560" t="n">
        <v>1</v>
      </c>
      <c r="AD560" t="n">
        <v>7</v>
      </c>
      <c r="AE560" t="n">
        <v>14</v>
      </c>
      <c r="AF560" t="n">
        <v>3</v>
      </c>
      <c r="AG560" t="n">
        <v>4</v>
      </c>
      <c r="AH560" t="n">
        <v>1</v>
      </c>
      <c r="AI560" t="n">
        <v>4</v>
      </c>
      <c r="AJ560" t="n">
        <v>6</v>
      </c>
      <c r="AK560" t="n">
        <v>12</v>
      </c>
      <c r="AL560" t="n">
        <v>0</v>
      </c>
      <c r="AM560" t="n">
        <v>0</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HYPERLINK("https://creighton-primo.hosted.exlibrisgroup.com/primo-explore/search?tab=default_tab&amp;search_scope=EVERYTHING&amp;vid=01CRU&amp;lang=en_US&amp;offset=0&amp;query=any,contains,991004871149702656","Catalog Record")</f>
        <v/>
      </c>
      <c r="AT560">
        <f>HYPERLINK("http://www.worldcat.org/oclc/5753687","WorldCat Record")</f>
        <v/>
      </c>
      <c r="AU560" t="inlineStr">
        <is>
          <t>480106163:eng</t>
        </is>
      </c>
      <c r="AV560" t="inlineStr">
        <is>
          <t>5753687</t>
        </is>
      </c>
      <c r="AW560" t="inlineStr">
        <is>
          <t>991004871149702656</t>
        </is>
      </c>
      <c r="AX560" t="inlineStr">
        <is>
          <t>991004871149702656</t>
        </is>
      </c>
      <c r="AY560" t="inlineStr">
        <is>
          <t>2266703400002656</t>
        </is>
      </c>
      <c r="AZ560" t="inlineStr">
        <is>
          <t>BOOK</t>
        </is>
      </c>
      <c r="BC560" t="inlineStr">
        <is>
          <t>32285000712751</t>
        </is>
      </c>
      <c r="BD560" t="inlineStr">
        <is>
          <t>893229955</t>
        </is>
      </c>
    </row>
    <row r="561">
      <c r="A561" t="inlineStr">
        <is>
          <t>No</t>
        </is>
      </c>
      <c r="B561" t="inlineStr">
        <is>
          <t>BT299.2 .J47 1973</t>
        </is>
      </c>
      <c r="C561" t="inlineStr">
        <is>
          <t>0                      BT 0299200J  47          1973</t>
        </is>
      </c>
      <c r="D561" t="inlineStr">
        <is>
          <t>Jesus : the four Gospels, Matthew, Mark, Luke, and John, combined in one narrative and rendered in modern English / [Editorial committee: Charles B. Templeton and others]</t>
        </is>
      </c>
      <c r="F561" t="inlineStr">
        <is>
          <t>No</t>
        </is>
      </c>
      <c r="G561" t="inlineStr">
        <is>
          <t>1</t>
        </is>
      </c>
      <c r="H561" t="inlineStr">
        <is>
          <t>No</t>
        </is>
      </c>
      <c r="I561" t="inlineStr">
        <is>
          <t>No</t>
        </is>
      </c>
      <c r="J561" t="inlineStr">
        <is>
          <t>0</t>
        </is>
      </c>
      <c r="L561" t="inlineStr">
        <is>
          <t>New York : Simon and Schuster, [c1973]</t>
        </is>
      </c>
      <c r="M561" t="inlineStr">
        <is>
          <t>1973</t>
        </is>
      </c>
      <c r="O561" t="inlineStr">
        <is>
          <t>eng</t>
        </is>
      </c>
      <c r="P561" t="inlineStr">
        <is>
          <t>nyu</t>
        </is>
      </c>
      <c r="R561" t="inlineStr">
        <is>
          <t xml:space="preserve">BT </t>
        </is>
      </c>
      <c r="S561" t="n">
        <v>8</v>
      </c>
      <c r="T561" t="n">
        <v>8</v>
      </c>
      <c r="U561" t="inlineStr">
        <is>
          <t>2000-09-19</t>
        </is>
      </c>
      <c r="V561" t="inlineStr">
        <is>
          <t>2000-09-19</t>
        </is>
      </c>
      <c r="W561" t="inlineStr">
        <is>
          <t>1991-08-14</t>
        </is>
      </c>
      <c r="X561" t="inlineStr">
        <is>
          <t>1991-08-14</t>
        </is>
      </c>
      <c r="Y561" t="n">
        <v>281</v>
      </c>
      <c r="Z561" t="n">
        <v>275</v>
      </c>
      <c r="AA561" t="n">
        <v>383</v>
      </c>
      <c r="AB561" t="n">
        <v>1</v>
      </c>
      <c r="AC561" t="n">
        <v>5</v>
      </c>
      <c r="AD561" t="n">
        <v>9</v>
      </c>
      <c r="AE561" t="n">
        <v>11</v>
      </c>
      <c r="AF561" t="n">
        <v>4</v>
      </c>
      <c r="AG561" t="n">
        <v>4</v>
      </c>
      <c r="AH561" t="n">
        <v>2</v>
      </c>
      <c r="AI561" t="n">
        <v>2</v>
      </c>
      <c r="AJ561" t="n">
        <v>5</v>
      </c>
      <c r="AK561" t="n">
        <v>6</v>
      </c>
      <c r="AL561" t="n">
        <v>0</v>
      </c>
      <c r="AM561" t="n">
        <v>1</v>
      </c>
      <c r="AN561" t="n">
        <v>0</v>
      </c>
      <c r="AO561" t="n">
        <v>0</v>
      </c>
      <c r="AP561" t="inlineStr">
        <is>
          <t>No</t>
        </is>
      </c>
      <c r="AQ561" t="inlineStr">
        <is>
          <t>Yes</t>
        </is>
      </c>
      <c r="AR561">
        <f>HYPERLINK("http://catalog.hathitrust.org/Record/009909470","HathiTrust Record")</f>
        <v/>
      </c>
      <c r="AS561">
        <f>HYPERLINK("https://creighton-primo.hosted.exlibrisgroup.com/primo-explore/search?tab=default_tab&amp;search_scope=EVERYTHING&amp;vid=01CRU&amp;lang=en_US&amp;offset=0&amp;query=any,contains,991003336689702656","Catalog Record")</f>
        <v/>
      </c>
      <c r="AT561">
        <f>HYPERLINK("http://www.worldcat.org/oclc/867492","WorldCat Record")</f>
        <v/>
      </c>
      <c r="AU561" t="inlineStr">
        <is>
          <t>1806461353:eng</t>
        </is>
      </c>
      <c r="AV561" t="inlineStr">
        <is>
          <t>867492</t>
        </is>
      </c>
      <c r="AW561" t="inlineStr">
        <is>
          <t>991003336689702656</t>
        </is>
      </c>
      <c r="AX561" t="inlineStr">
        <is>
          <t>991003336689702656</t>
        </is>
      </c>
      <c r="AY561" t="inlineStr">
        <is>
          <t>2265845530002656</t>
        </is>
      </c>
      <c r="AZ561" t="inlineStr">
        <is>
          <t>BOOK</t>
        </is>
      </c>
      <c r="BB561" t="inlineStr">
        <is>
          <t>9780671217150</t>
        </is>
      </c>
      <c r="BC561" t="inlineStr">
        <is>
          <t>32285000712793</t>
        </is>
      </c>
      <c r="BD561" t="inlineStr">
        <is>
          <t>893342474</t>
        </is>
      </c>
    </row>
    <row r="562">
      <c r="A562" t="inlineStr">
        <is>
          <t>No</t>
        </is>
      </c>
      <c r="B562" t="inlineStr">
        <is>
          <t>BT299.2 .L56 1978</t>
        </is>
      </c>
      <c r="C562" t="inlineStr">
        <is>
          <t>0                      BT 0299200L  56          1978</t>
        </is>
      </c>
      <c r="D562" t="inlineStr">
        <is>
          <t>The seventh trumpet : the good news proclaimed / by Mark Link.</t>
        </is>
      </c>
      <c r="F562" t="inlineStr">
        <is>
          <t>No</t>
        </is>
      </c>
      <c r="G562" t="inlineStr">
        <is>
          <t>1</t>
        </is>
      </c>
      <c r="H562" t="inlineStr">
        <is>
          <t>No</t>
        </is>
      </c>
      <c r="I562" t="inlineStr">
        <is>
          <t>No</t>
        </is>
      </c>
      <c r="J562" t="inlineStr">
        <is>
          <t>0</t>
        </is>
      </c>
      <c r="K562" t="inlineStr">
        <is>
          <t>Link, Mark J.</t>
        </is>
      </c>
      <c r="L562" t="inlineStr">
        <is>
          <t>Niles, Ill. : Argus Communications, c1978.</t>
        </is>
      </c>
      <c r="M562" t="inlineStr">
        <is>
          <t>1978</t>
        </is>
      </c>
      <c r="N562" t="inlineStr">
        <is>
          <t>1st ed.</t>
        </is>
      </c>
      <c r="O562" t="inlineStr">
        <is>
          <t>eng</t>
        </is>
      </c>
      <c r="P562" t="inlineStr">
        <is>
          <t>ilu</t>
        </is>
      </c>
      <c r="R562" t="inlineStr">
        <is>
          <t xml:space="preserve">BT </t>
        </is>
      </c>
      <c r="S562" t="n">
        <v>1</v>
      </c>
      <c r="T562" t="n">
        <v>1</v>
      </c>
      <c r="U562" t="inlineStr">
        <is>
          <t>2009-07-28</t>
        </is>
      </c>
      <c r="V562" t="inlineStr">
        <is>
          <t>2009-07-28</t>
        </is>
      </c>
      <c r="W562" t="inlineStr">
        <is>
          <t>2009-07-27</t>
        </is>
      </c>
      <c r="X562" t="inlineStr">
        <is>
          <t>2009-07-27</t>
        </is>
      </c>
      <c r="Y562" t="n">
        <v>146</v>
      </c>
      <c r="Z562" t="n">
        <v>112</v>
      </c>
      <c r="AA562" t="n">
        <v>120</v>
      </c>
      <c r="AB562" t="n">
        <v>2</v>
      </c>
      <c r="AC562" t="n">
        <v>2</v>
      </c>
      <c r="AD562" t="n">
        <v>15</v>
      </c>
      <c r="AE562" t="n">
        <v>15</v>
      </c>
      <c r="AF562" t="n">
        <v>6</v>
      </c>
      <c r="AG562" t="n">
        <v>6</v>
      </c>
      <c r="AH562" t="n">
        <v>4</v>
      </c>
      <c r="AI562" t="n">
        <v>4</v>
      </c>
      <c r="AJ562" t="n">
        <v>9</v>
      </c>
      <c r="AK562" t="n">
        <v>9</v>
      </c>
      <c r="AL562" t="n">
        <v>1</v>
      </c>
      <c r="AM562" t="n">
        <v>1</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HYPERLINK("https://creighton-primo.hosted.exlibrisgroup.com/primo-explore/search?tab=default_tab&amp;search_scope=EVERYTHING&amp;vid=01CRU&amp;lang=en_US&amp;offset=0&amp;query=any,contains,991005328169702656","Catalog Record")</f>
        <v/>
      </c>
      <c r="AT562">
        <f>HYPERLINK("http://www.worldcat.org/oclc/4193293","WorldCat Record")</f>
        <v/>
      </c>
      <c r="AU562" t="inlineStr">
        <is>
          <t>551960:eng</t>
        </is>
      </c>
      <c r="AV562" t="inlineStr">
        <is>
          <t>4193293</t>
        </is>
      </c>
      <c r="AW562" t="inlineStr">
        <is>
          <t>991005328169702656</t>
        </is>
      </c>
      <c r="AX562" t="inlineStr">
        <is>
          <t>991005328169702656</t>
        </is>
      </c>
      <c r="AY562" t="inlineStr">
        <is>
          <t>2261907840002656</t>
        </is>
      </c>
      <c r="AZ562" t="inlineStr">
        <is>
          <t>BOOK</t>
        </is>
      </c>
      <c r="BB562" t="inlineStr">
        <is>
          <t>9780895050144</t>
        </is>
      </c>
      <c r="BC562" t="inlineStr">
        <is>
          <t>32285005539316</t>
        </is>
      </c>
      <c r="BD562" t="inlineStr">
        <is>
          <t>893424915</t>
        </is>
      </c>
    </row>
    <row r="563">
      <c r="A563" t="inlineStr">
        <is>
          <t>No</t>
        </is>
      </c>
      <c r="B563" t="inlineStr">
        <is>
          <t>BT30.A8 A78</t>
        </is>
      </c>
      <c r="C563" t="inlineStr">
        <is>
          <t>0                      BT 0030000A  8                  A  78</t>
        </is>
      </c>
      <c r="D563" t="inlineStr">
        <is>
          <t>Asian voices in Christian theology / edited and with an introd. by Gerald H. Anderson.</t>
        </is>
      </c>
      <c r="F563" t="inlineStr">
        <is>
          <t>No</t>
        </is>
      </c>
      <c r="G563" t="inlineStr">
        <is>
          <t>1</t>
        </is>
      </c>
      <c r="H563" t="inlineStr">
        <is>
          <t>No</t>
        </is>
      </c>
      <c r="I563" t="inlineStr">
        <is>
          <t>No</t>
        </is>
      </c>
      <c r="J563" t="inlineStr">
        <is>
          <t>0</t>
        </is>
      </c>
      <c r="L563" t="inlineStr">
        <is>
          <t>Maryknoll, N.Y. : Orbis Books, c1976.</t>
        </is>
      </c>
      <c r="M563" t="inlineStr">
        <is>
          <t>1976</t>
        </is>
      </c>
      <c r="O563" t="inlineStr">
        <is>
          <t>eng</t>
        </is>
      </c>
      <c r="P563" t="inlineStr">
        <is>
          <t>nyu</t>
        </is>
      </c>
      <c r="R563" t="inlineStr">
        <is>
          <t xml:space="preserve">BT </t>
        </is>
      </c>
      <c r="S563" t="n">
        <v>2</v>
      </c>
      <c r="T563" t="n">
        <v>2</v>
      </c>
      <c r="U563" t="inlineStr">
        <is>
          <t>1998-04-01</t>
        </is>
      </c>
      <c r="V563" t="inlineStr">
        <is>
          <t>1998-04-01</t>
        </is>
      </c>
      <c r="W563" t="inlineStr">
        <is>
          <t>1991-06-19</t>
        </is>
      </c>
      <c r="X563" t="inlineStr">
        <is>
          <t>1991-06-19</t>
        </is>
      </c>
      <c r="Y563" t="n">
        <v>643</v>
      </c>
      <c r="Z563" t="n">
        <v>532</v>
      </c>
      <c r="AA563" t="n">
        <v>540</v>
      </c>
      <c r="AB563" t="n">
        <v>4</v>
      </c>
      <c r="AC563" t="n">
        <v>4</v>
      </c>
      <c r="AD563" t="n">
        <v>32</v>
      </c>
      <c r="AE563" t="n">
        <v>32</v>
      </c>
      <c r="AF563" t="n">
        <v>12</v>
      </c>
      <c r="AG563" t="n">
        <v>12</v>
      </c>
      <c r="AH563" t="n">
        <v>7</v>
      </c>
      <c r="AI563" t="n">
        <v>7</v>
      </c>
      <c r="AJ563" t="n">
        <v>22</v>
      </c>
      <c r="AK563" t="n">
        <v>22</v>
      </c>
      <c r="AL563" t="n">
        <v>2</v>
      </c>
      <c r="AM563" t="n">
        <v>2</v>
      </c>
      <c r="AN563" t="n">
        <v>0</v>
      </c>
      <c r="AO563" t="n">
        <v>0</v>
      </c>
      <c r="AP563" t="inlineStr">
        <is>
          <t>No</t>
        </is>
      </c>
      <c r="AQ563" t="inlineStr">
        <is>
          <t>Yes</t>
        </is>
      </c>
      <c r="AR563">
        <f>HYPERLINK("http://catalog.hathitrust.org/Record/000720615","HathiTrust Record")</f>
        <v/>
      </c>
      <c r="AS563">
        <f>HYPERLINK("https://creighton-primo.hosted.exlibrisgroup.com/primo-explore/search?tab=default_tab&amp;search_scope=EVERYTHING&amp;vid=01CRU&amp;lang=en_US&amp;offset=0&amp;query=any,contains,991004025429702656","Catalog Record")</f>
        <v/>
      </c>
      <c r="AT563">
        <f>HYPERLINK("http://www.worldcat.org/oclc/2136407","WorldCat Record")</f>
        <v/>
      </c>
      <c r="AU563" t="inlineStr">
        <is>
          <t>4210497:eng</t>
        </is>
      </c>
      <c r="AV563" t="inlineStr">
        <is>
          <t>2136407</t>
        </is>
      </c>
      <c r="AW563" t="inlineStr">
        <is>
          <t>991004025429702656</t>
        </is>
      </c>
      <c r="AX563" t="inlineStr">
        <is>
          <t>991004025429702656</t>
        </is>
      </c>
      <c r="AY563" t="inlineStr">
        <is>
          <t>2271557990002656</t>
        </is>
      </c>
      <c r="AZ563" t="inlineStr">
        <is>
          <t>BOOK</t>
        </is>
      </c>
      <c r="BB563" t="inlineStr">
        <is>
          <t>9780883440179</t>
        </is>
      </c>
      <c r="BC563" t="inlineStr">
        <is>
          <t>32285000687003</t>
        </is>
      </c>
      <c r="BD563" t="inlineStr">
        <is>
          <t>893318707</t>
        </is>
      </c>
    </row>
    <row r="564">
      <c r="A564" t="inlineStr">
        <is>
          <t>No</t>
        </is>
      </c>
      <c r="B564" t="inlineStr">
        <is>
          <t>BT30.A8 K68 1999</t>
        </is>
      </c>
      <c r="C564" t="inlineStr">
        <is>
          <t>0                      BT 0030000A  8                  K  68          1999</t>
        </is>
      </c>
      <c r="D564" t="inlineStr">
        <is>
          <t>Water buffalo theology / Kosuke Koyama.</t>
        </is>
      </c>
      <c r="F564" t="inlineStr">
        <is>
          <t>No</t>
        </is>
      </c>
      <c r="G564" t="inlineStr">
        <is>
          <t>1</t>
        </is>
      </c>
      <c r="H564" t="inlineStr">
        <is>
          <t>No</t>
        </is>
      </c>
      <c r="I564" t="inlineStr">
        <is>
          <t>No</t>
        </is>
      </c>
      <c r="J564" t="inlineStr">
        <is>
          <t>0</t>
        </is>
      </c>
      <c r="K564" t="inlineStr">
        <is>
          <t>Koyama, Kōsuke, 1929-2009.</t>
        </is>
      </c>
      <c r="L564" t="inlineStr">
        <is>
          <t>Maryknoll, NY : Orbis Books, c1999.</t>
        </is>
      </c>
      <c r="M564" t="inlineStr">
        <is>
          <t>1999</t>
        </is>
      </c>
      <c r="N564" t="inlineStr">
        <is>
          <t>25th anniversary ed.</t>
        </is>
      </c>
      <c r="O564" t="inlineStr">
        <is>
          <t>eng</t>
        </is>
      </c>
      <c r="P564" t="inlineStr">
        <is>
          <t>nyu</t>
        </is>
      </c>
      <c r="R564" t="inlineStr">
        <is>
          <t xml:space="preserve">BT </t>
        </is>
      </c>
      <c r="S564" t="n">
        <v>3</v>
      </c>
      <c r="T564" t="n">
        <v>3</v>
      </c>
      <c r="U564" t="inlineStr">
        <is>
          <t>1999-09-18</t>
        </is>
      </c>
      <c r="V564" t="inlineStr">
        <is>
          <t>1999-09-18</t>
        </is>
      </c>
      <c r="W564" t="inlineStr">
        <is>
          <t>1999-08-18</t>
        </is>
      </c>
      <c r="X564" t="inlineStr">
        <is>
          <t>1999-08-18</t>
        </is>
      </c>
      <c r="Y564" t="n">
        <v>227</v>
      </c>
      <c r="Z564" t="n">
        <v>197</v>
      </c>
      <c r="AA564" t="n">
        <v>510</v>
      </c>
      <c r="AB564" t="n">
        <v>3</v>
      </c>
      <c r="AC564" t="n">
        <v>6</v>
      </c>
      <c r="AD564" t="n">
        <v>15</v>
      </c>
      <c r="AE564" t="n">
        <v>33</v>
      </c>
      <c r="AF564" t="n">
        <v>5</v>
      </c>
      <c r="AG564" t="n">
        <v>12</v>
      </c>
      <c r="AH564" t="n">
        <v>3</v>
      </c>
      <c r="AI564" t="n">
        <v>6</v>
      </c>
      <c r="AJ564" t="n">
        <v>9</v>
      </c>
      <c r="AK564" t="n">
        <v>19</v>
      </c>
      <c r="AL564" t="n">
        <v>1</v>
      </c>
      <c r="AM564" t="n">
        <v>4</v>
      </c>
      <c r="AN564" t="n">
        <v>0</v>
      </c>
      <c r="AO564" t="n">
        <v>0</v>
      </c>
      <c r="AP564" t="inlineStr">
        <is>
          <t>No</t>
        </is>
      </c>
      <c r="AQ564" t="inlineStr">
        <is>
          <t>Yes</t>
        </is>
      </c>
      <c r="AR564">
        <f>HYPERLINK("http://catalog.hathitrust.org/Record/004043074","HathiTrust Record")</f>
        <v/>
      </c>
      <c r="AS564">
        <f>HYPERLINK("https://creighton-primo.hosted.exlibrisgroup.com/primo-explore/search?tab=default_tab&amp;search_scope=EVERYTHING&amp;vid=01CRU&amp;lang=en_US&amp;offset=0&amp;query=any,contains,991002996689702656","Catalog Record")</f>
        <v/>
      </c>
      <c r="AT564">
        <f>HYPERLINK("http://www.worldcat.org/oclc/40534385","WorldCat Record")</f>
        <v/>
      </c>
      <c r="AU564" t="inlineStr">
        <is>
          <t>198644102:eng</t>
        </is>
      </c>
      <c r="AV564" t="inlineStr">
        <is>
          <t>40534385</t>
        </is>
      </c>
      <c r="AW564" t="inlineStr">
        <is>
          <t>991002996689702656</t>
        </is>
      </c>
      <c r="AX564" t="inlineStr">
        <is>
          <t>991002996689702656</t>
        </is>
      </c>
      <c r="AY564" t="inlineStr">
        <is>
          <t>2272789100002656</t>
        </is>
      </c>
      <c r="AZ564" t="inlineStr">
        <is>
          <t>BOOK</t>
        </is>
      </c>
      <c r="BB564" t="inlineStr">
        <is>
          <t>9781570752568</t>
        </is>
      </c>
      <c r="BC564" t="inlineStr">
        <is>
          <t>32285003582664</t>
        </is>
      </c>
      <c r="BD564" t="inlineStr">
        <is>
          <t>893251893</t>
        </is>
      </c>
    </row>
    <row r="565">
      <c r="A565" t="inlineStr">
        <is>
          <t>No</t>
        </is>
      </c>
      <c r="B565" t="inlineStr">
        <is>
          <t>BT30.G7 W55 1995</t>
        </is>
      </c>
      <c r="C565" t="inlineStr">
        <is>
          <t>0                      BT 0030000G  7                  W  55          1995</t>
        </is>
      </c>
      <c r="D565" t="inlineStr">
        <is>
          <t>Revelation and reconciliation : a window on modernity / Stephen N. Williams.</t>
        </is>
      </c>
      <c r="F565" t="inlineStr">
        <is>
          <t>No</t>
        </is>
      </c>
      <c r="G565" t="inlineStr">
        <is>
          <t>1</t>
        </is>
      </c>
      <c r="H565" t="inlineStr">
        <is>
          <t>No</t>
        </is>
      </c>
      <c r="I565" t="inlineStr">
        <is>
          <t>No</t>
        </is>
      </c>
      <c r="J565" t="inlineStr">
        <is>
          <t>0</t>
        </is>
      </c>
      <c r="K565" t="inlineStr">
        <is>
          <t>Williams, Stephen N. (Stephen Nantlais)</t>
        </is>
      </c>
      <c r="L565" t="inlineStr">
        <is>
          <t>Cambridge ; New York : Cambridge University Press, 1995.</t>
        </is>
      </c>
      <c r="M565" t="inlineStr">
        <is>
          <t>1995</t>
        </is>
      </c>
      <c r="O565" t="inlineStr">
        <is>
          <t>eng</t>
        </is>
      </c>
      <c r="P565" t="inlineStr">
        <is>
          <t>enk</t>
        </is>
      </c>
      <c r="R565" t="inlineStr">
        <is>
          <t xml:space="preserve">BT </t>
        </is>
      </c>
      <c r="S565" t="n">
        <v>3</v>
      </c>
      <c r="T565" t="n">
        <v>3</v>
      </c>
      <c r="U565" t="inlineStr">
        <is>
          <t>1997-01-08</t>
        </is>
      </c>
      <c r="V565" t="inlineStr">
        <is>
          <t>1997-01-08</t>
        </is>
      </c>
      <c r="W565" t="inlineStr">
        <is>
          <t>1996-12-06</t>
        </is>
      </c>
      <c r="X565" t="inlineStr">
        <is>
          <t>1996-12-06</t>
        </is>
      </c>
      <c r="Y565" t="n">
        <v>227</v>
      </c>
      <c r="Z565" t="n">
        <v>163</v>
      </c>
      <c r="AA565" t="n">
        <v>183</v>
      </c>
      <c r="AB565" t="n">
        <v>2</v>
      </c>
      <c r="AC565" t="n">
        <v>2</v>
      </c>
      <c r="AD565" t="n">
        <v>10</v>
      </c>
      <c r="AE565" t="n">
        <v>10</v>
      </c>
      <c r="AF565" t="n">
        <v>2</v>
      </c>
      <c r="AG565" t="n">
        <v>2</v>
      </c>
      <c r="AH565" t="n">
        <v>3</v>
      </c>
      <c r="AI565" t="n">
        <v>3</v>
      </c>
      <c r="AJ565" t="n">
        <v>6</v>
      </c>
      <c r="AK565" t="n">
        <v>6</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HYPERLINK("https://creighton-primo.hosted.exlibrisgroup.com/primo-explore/search?tab=default_tab&amp;search_scope=EVERYTHING&amp;vid=01CRU&amp;lang=en_US&amp;offset=0&amp;query=any,contains,991002470459702656","Catalog Record")</f>
        <v/>
      </c>
      <c r="AT565">
        <f>HYPERLINK("http://www.worldcat.org/oclc/32168255","WorldCat Record")</f>
        <v/>
      </c>
      <c r="AU565" t="inlineStr">
        <is>
          <t>319566627:eng</t>
        </is>
      </c>
      <c r="AV565" t="inlineStr">
        <is>
          <t>32168255</t>
        </is>
      </c>
      <c r="AW565" t="inlineStr">
        <is>
          <t>991002470459702656</t>
        </is>
      </c>
      <c r="AX565" t="inlineStr">
        <is>
          <t>991002470459702656</t>
        </is>
      </c>
      <c r="AY565" t="inlineStr">
        <is>
          <t>2262392940002656</t>
        </is>
      </c>
      <c r="AZ565" t="inlineStr">
        <is>
          <t>BOOK</t>
        </is>
      </c>
      <c r="BB565" t="inlineStr">
        <is>
          <t>9780521484947</t>
        </is>
      </c>
      <c r="BC565" t="inlineStr">
        <is>
          <t>32285002388857</t>
        </is>
      </c>
      <c r="BD565" t="inlineStr">
        <is>
          <t>893415228</t>
        </is>
      </c>
    </row>
    <row r="566">
      <c r="A566" t="inlineStr">
        <is>
          <t>No</t>
        </is>
      </c>
      <c r="B566" t="inlineStr">
        <is>
          <t>BT30.S5 K33 1988</t>
        </is>
      </c>
      <c r="C566" t="inlineStr">
        <is>
          <t>0                      BT 0030000S  5                  K  33          1988</t>
        </is>
      </c>
      <c r="D566" t="inlineStr">
        <is>
          <t>The Kairos covenant : standing with South African Christians / edited by Willis H. Logan.</t>
        </is>
      </c>
      <c r="F566" t="inlineStr">
        <is>
          <t>No</t>
        </is>
      </c>
      <c r="G566" t="inlineStr">
        <is>
          <t>1</t>
        </is>
      </c>
      <c r="H566" t="inlineStr">
        <is>
          <t>No</t>
        </is>
      </c>
      <c r="I566" t="inlineStr">
        <is>
          <t>No</t>
        </is>
      </c>
      <c r="J566" t="inlineStr">
        <is>
          <t>0</t>
        </is>
      </c>
      <c r="L566" t="inlineStr">
        <is>
          <t>New York : Friendship Press ; Oak Park, IL : Meyer-Stone Books, c1988.</t>
        </is>
      </c>
      <c r="M566" t="inlineStr">
        <is>
          <t>1988</t>
        </is>
      </c>
      <c r="O566" t="inlineStr">
        <is>
          <t>eng</t>
        </is>
      </c>
      <c r="P566" t="inlineStr">
        <is>
          <t>nyu</t>
        </is>
      </c>
      <c r="R566" t="inlineStr">
        <is>
          <t xml:space="preserve">BT </t>
        </is>
      </c>
      <c r="S566" t="n">
        <v>5</v>
      </c>
      <c r="T566" t="n">
        <v>5</v>
      </c>
      <c r="U566" t="inlineStr">
        <is>
          <t>2000-04-10</t>
        </is>
      </c>
      <c r="V566" t="inlineStr">
        <is>
          <t>2000-04-10</t>
        </is>
      </c>
      <c r="W566" t="inlineStr">
        <is>
          <t>1990-01-18</t>
        </is>
      </c>
      <c r="X566" t="inlineStr">
        <is>
          <t>1990-01-18</t>
        </is>
      </c>
      <c r="Y566" t="n">
        <v>220</v>
      </c>
      <c r="Z566" t="n">
        <v>184</v>
      </c>
      <c r="AA566" t="n">
        <v>187</v>
      </c>
      <c r="AB566" t="n">
        <v>1</v>
      </c>
      <c r="AC566" t="n">
        <v>1</v>
      </c>
      <c r="AD566" t="n">
        <v>11</v>
      </c>
      <c r="AE566" t="n">
        <v>11</v>
      </c>
      <c r="AF566" t="n">
        <v>2</v>
      </c>
      <c r="AG566" t="n">
        <v>2</v>
      </c>
      <c r="AH566" t="n">
        <v>5</v>
      </c>
      <c r="AI566" t="n">
        <v>5</v>
      </c>
      <c r="AJ566" t="n">
        <v>7</v>
      </c>
      <c r="AK566" t="n">
        <v>7</v>
      </c>
      <c r="AL566" t="n">
        <v>0</v>
      </c>
      <c r="AM566" t="n">
        <v>0</v>
      </c>
      <c r="AN566" t="n">
        <v>0</v>
      </c>
      <c r="AO566" t="n">
        <v>0</v>
      </c>
      <c r="AP566" t="inlineStr">
        <is>
          <t>No</t>
        </is>
      </c>
      <c r="AQ566" t="inlineStr">
        <is>
          <t>Yes</t>
        </is>
      </c>
      <c r="AR566">
        <f>HYPERLINK("http://catalog.hathitrust.org/Record/000940683","HathiTrust Record")</f>
        <v/>
      </c>
      <c r="AS566">
        <f>HYPERLINK("https://creighton-primo.hosted.exlibrisgroup.com/primo-explore/search?tab=default_tab&amp;search_scope=EVERYTHING&amp;vid=01CRU&amp;lang=en_US&amp;offset=0&amp;query=any,contains,991001177959702656","Catalog Record")</f>
        <v/>
      </c>
      <c r="AT566">
        <f>HYPERLINK("http://www.worldcat.org/oclc/17104758","WorldCat Record")</f>
        <v/>
      </c>
      <c r="AU566" t="inlineStr">
        <is>
          <t>55036726:eng</t>
        </is>
      </c>
      <c r="AV566" t="inlineStr">
        <is>
          <t>17104758</t>
        </is>
      </c>
      <c r="AW566" t="inlineStr">
        <is>
          <t>991001177959702656</t>
        </is>
      </c>
      <c r="AX566" t="inlineStr">
        <is>
          <t>991001177959702656</t>
        </is>
      </c>
      <c r="AY566" t="inlineStr">
        <is>
          <t>2269335690002656</t>
        </is>
      </c>
      <c r="AZ566" t="inlineStr">
        <is>
          <t>BOOK</t>
        </is>
      </c>
      <c r="BB566" t="inlineStr">
        <is>
          <t>9780940989290</t>
        </is>
      </c>
      <c r="BC566" t="inlineStr">
        <is>
          <t>32285000029115</t>
        </is>
      </c>
      <c r="BD566" t="inlineStr">
        <is>
          <t>893261755</t>
        </is>
      </c>
    </row>
    <row r="567">
      <c r="A567" t="inlineStr">
        <is>
          <t>No</t>
        </is>
      </c>
      <c r="B567" t="inlineStr">
        <is>
          <t>BT30.S5 K34 1987</t>
        </is>
      </c>
      <c r="C567" t="inlineStr">
        <is>
          <t>0                      BT 0030000S  5                  K  34          1987</t>
        </is>
      </c>
      <c r="D567" t="inlineStr">
        <is>
          <t>The Kairos document : challenge to the church : a theological comment on the political crisis in South Africa : the Kairos document.</t>
        </is>
      </c>
      <c r="F567" t="inlineStr">
        <is>
          <t>No</t>
        </is>
      </c>
      <c r="G567" t="inlineStr">
        <is>
          <t>1</t>
        </is>
      </c>
      <c r="H567" t="inlineStr">
        <is>
          <t>No</t>
        </is>
      </c>
      <c r="I567" t="inlineStr">
        <is>
          <t>No</t>
        </is>
      </c>
      <c r="J567" t="inlineStr">
        <is>
          <t>0</t>
        </is>
      </c>
      <c r="K567" t="inlineStr">
        <is>
          <t>Kairos Theologians (Group)</t>
        </is>
      </c>
      <c r="L567" t="inlineStr">
        <is>
          <t>New York, New York : Theology in Global Context Association ; Grand Rapids, Michigan : Wm B. Eerdmans Publishing Co., 1987.</t>
        </is>
      </c>
      <c r="M567" t="inlineStr">
        <is>
          <t>1987</t>
        </is>
      </c>
      <c r="N567" t="inlineStr">
        <is>
          <t>Rev. 2nd ed.</t>
        </is>
      </c>
      <c r="O567" t="inlineStr">
        <is>
          <t>eng</t>
        </is>
      </c>
      <c r="P567" t="inlineStr">
        <is>
          <t>nyu</t>
        </is>
      </c>
      <c r="R567" t="inlineStr">
        <is>
          <t xml:space="preserve">BT </t>
        </is>
      </c>
      <c r="S567" t="n">
        <v>6</v>
      </c>
      <c r="T567" t="n">
        <v>6</v>
      </c>
      <c r="U567" t="inlineStr">
        <is>
          <t>2000-04-10</t>
        </is>
      </c>
      <c r="V567" t="inlineStr">
        <is>
          <t>2000-04-10</t>
        </is>
      </c>
      <c r="W567" t="inlineStr">
        <is>
          <t>1990-03-05</t>
        </is>
      </c>
      <c r="X567" t="inlineStr">
        <is>
          <t>1990-03-05</t>
        </is>
      </c>
      <c r="Y567" t="n">
        <v>27</v>
      </c>
      <c r="Z567" t="n">
        <v>19</v>
      </c>
      <c r="AA567" t="n">
        <v>214</v>
      </c>
      <c r="AB567" t="n">
        <v>1</v>
      </c>
      <c r="AC567" t="n">
        <v>3</v>
      </c>
      <c r="AD567" t="n">
        <v>1</v>
      </c>
      <c r="AE567" t="n">
        <v>14</v>
      </c>
      <c r="AF567" t="n">
        <v>1</v>
      </c>
      <c r="AG567" t="n">
        <v>4</v>
      </c>
      <c r="AH567" t="n">
        <v>0</v>
      </c>
      <c r="AI567" t="n">
        <v>4</v>
      </c>
      <c r="AJ567" t="n">
        <v>0</v>
      </c>
      <c r="AK567" t="n">
        <v>9</v>
      </c>
      <c r="AL567" t="n">
        <v>0</v>
      </c>
      <c r="AM567" t="n">
        <v>1</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HYPERLINK("https://creighton-primo.hosted.exlibrisgroup.com/primo-explore/search?tab=default_tab&amp;search_scope=EVERYTHING&amp;vid=01CRU&amp;lang=en_US&amp;offset=0&amp;query=any,contains,991001312019702656","Catalog Record")</f>
        <v/>
      </c>
      <c r="AT567">
        <f>HYPERLINK("http://www.worldcat.org/oclc/18161590","WorldCat Record")</f>
        <v/>
      </c>
      <c r="AU567" t="inlineStr">
        <is>
          <t>7102066:eng</t>
        </is>
      </c>
      <c r="AV567" t="inlineStr">
        <is>
          <t>18161590</t>
        </is>
      </c>
      <c r="AW567" t="inlineStr">
        <is>
          <t>991001312019702656</t>
        </is>
      </c>
      <c r="AX567" t="inlineStr">
        <is>
          <t>991001312019702656</t>
        </is>
      </c>
      <c r="AY567" t="inlineStr">
        <is>
          <t>2260594210002656</t>
        </is>
      </c>
      <c r="AZ567" t="inlineStr">
        <is>
          <t>BOOK</t>
        </is>
      </c>
      <c r="BB567" t="inlineStr">
        <is>
          <t>9780802802729</t>
        </is>
      </c>
      <c r="BC567" t="inlineStr">
        <is>
          <t>32285000043033</t>
        </is>
      </c>
      <c r="BD567" t="inlineStr">
        <is>
          <t>893791369</t>
        </is>
      </c>
    </row>
    <row r="568">
      <c r="A568" t="inlineStr">
        <is>
          <t>No</t>
        </is>
      </c>
      <c r="B568" t="inlineStr">
        <is>
          <t>BT30.U55 A6</t>
        </is>
      </c>
      <c r="C568" t="inlineStr">
        <is>
          <t>0                      BT 0030000U  55                 A  6</t>
        </is>
      </c>
      <c r="D568" t="inlineStr">
        <is>
          <t>Theology in America; the major Protestant voices from puritanism to neo-orthodoxy.</t>
        </is>
      </c>
      <c r="F568" t="inlineStr">
        <is>
          <t>No</t>
        </is>
      </c>
      <c r="G568" t="inlineStr">
        <is>
          <t>1</t>
        </is>
      </c>
      <c r="H568" t="inlineStr">
        <is>
          <t>No</t>
        </is>
      </c>
      <c r="I568" t="inlineStr">
        <is>
          <t>No</t>
        </is>
      </c>
      <c r="J568" t="inlineStr">
        <is>
          <t>0</t>
        </is>
      </c>
      <c r="K568" t="inlineStr">
        <is>
          <t>Ahlstrom, Sydney E. compiler.</t>
        </is>
      </c>
      <c r="L568" t="inlineStr">
        <is>
          <t>Indianapolis, Bobbs-Merrill, c1967, 1976 printing.</t>
        </is>
      </c>
      <c r="M568" t="inlineStr">
        <is>
          <t>1967</t>
        </is>
      </c>
      <c r="O568" t="inlineStr">
        <is>
          <t>eng</t>
        </is>
      </c>
      <c r="P568" t="inlineStr">
        <is>
          <t>___</t>
        </is>
      </c>
      <c r="Q568" t="inlineStr">
        <is>
          <t>The American heritage series, 73</t>
        </is>
      </c>
      <c r="R568" t="inlineStr">
        <is>
          <t xml:space="preserve">BT </t>
        </is>
      </c>
      <c r="S568" t="n">
        <v>2</v>
      </c>
      <c r="T568" t="n">
        <v>2</v>
      </c>
      <c r="U568" t="inlineStr">
        <is>
          <t>1992-11-24</t>
        </is>
      </c>
      <c r="V568" t="inlineStr">
        <is>
          <t>1992-11-24</t>
        </is>
      </c>
      <c r="W568" t="inlineStr">
        <is>
          <t>1991-06-19</t>
        </is>
      </c>
      <c r="X568" t="inlineStr">
        <is>
          <t>1991-06-19</t>
        </is>
      </c>
      <c r="Y568" t="n">
        <v>900</v>
      </c>
      <c r="Z568" t="n">
        <v>835</v>
      </c>
      <c r="AA568" t="n">
        <v>875</v>
      </c>
      <c r="AB568" t="n">
        <v>7</v>
      </c>
      <c r="AC568" t="n">
        <v>7</v>
      </c>
      <c r="AD568" t="n">
        <v>40</v>
      </c>
      <c r="AE568" t="n">
        <v>42</v>
      </c>
      <c r="AF568" t="n">
        <v>16</v>
      </c>
      <c r="AG568" t="n">
        <v>17</v>
      </c>
      <c r="AH568" t="n">
        <v>7</v>
      </c>
      <c r="AI568" t="n">
        <v>8</v>
      </c>
      <c r="AJ568" t="n">
        <v>23</v>
      </c>
      <c r="AK568" t="n">
        <v>24</v>
      </c>
      <c r="AL568" t="n">
        <v>5</v>
      </c>
      <c r="AM568" t="n">
        <v>5</v>
      </c>
      <c r="AN568" t="n">
        <v>0</v>
      </c>
      <c r="AO568" t="n">
        <v>0</v>
      </c>
      <c r="AP568" t="inlineStr">
        <is>
          <t>No</t>
        </is>
      </c>
      <c r="AQ568" t="inlineStr">
        <is>
          <t>Yes</t>
        </is>
      </c>
      <c r="AR568">
        <f>HYPERLINK("http://catalog.hathitrust.org/Record/001411602","HathiTrust Record")</f>
        <v/>
      </c>
      <c r="AS568">
        <f>HYPERLINK("https://creighton-primo.hosted.exlibrisgroup.com/primo-explore/search?tab=default_tab&amp;search_scope=EVERYTHING&amp;vid=01CRU&amp;lang=en_US&amp;offset=0&amp;query=any,contains,991003021449702656","Catalog Record")</f>
        <v/>
      </c>
      <c r="AT568">
        <f>HYPERLINK("http://www.worldcat.org/oclc/586296","WorldCat Record")</f>
        <v/>
      </c>
      <c r="AU568" t="inlineStr">
        <is>
          <t>796442029:eng</t>
        </is>
      </c>
      <c r="AV568" t="inlineStr">
        <is>
          <t>586296</t>
        </is>
      </c>
      <c r="AW568" t="inlineStr">
        <is>
          <t>991003021449702656</t>
        </is>
      </c>
      <c r="AX568" t="inlineStr">
        <is>
          <t>991003021449702656</t>
        </is>
      </c>
      <c r="AY568" t="inlineStr">
        <is>
          <t>2269069720002656</t>
        </is>
      </c>
      <c r="AZ568" t="inlineStr">
        <is>
          <t>BOOK</t>
        </is>
      </c>
      <c r="BC568" t="inlineStr">
        <is>
          <t>32285000687029</t>
        </is>
      </c>
      <c r="BD568" t="inlineStr">
        <is>
          <t>893251928</t>
        </is>
      </c>
    </row>
    <row r="569">
      <c r="A569" t="inlineStr">
        <is>
          <t>No</t>
        </is>
      </c>
      <c r="B569" t="inlineStr">
        <is>
          <t>BT30.U6 K85 1985</t>
        </is>
      </c>
      <c r="C569" t="inlineStr">
        <is>
          <t>0                      BT 0030000U  6                  K  85          1985</t>
        </is>
      </c>
      <c r="D569" t="inlineStr">
        <is>
          <t>Churchmen and philosophers : from Jonathan Edwards to John Dewey / Bruce Kuklick.</t>
        </is>
      </c>
      <c r="F569" t="inlineStr">
        <is>
          <t>No</t>
        </is>
      </c>
      <c r="G569" t="inlineStr">
        <is>
          <t>1</t>
        </is>
      </c>
      <c r="H569" t="inlineStr">
        <is>
          <t>No</t>
        </is>
      </c>
      <c r="I569" t="inlineStr">
        <is>
          <t>No</t>
        </is>
      </c>
      <c r="J569" t="inlineStr">
        <is>
          <t>0</t>
        </is>
      </c>
      <c r="K569" t="inlineStr">
        <is>
          <t>Kuklick, Bruce, 1941-</t>
        </is>
      </c>
      <c r="L569" t="inlineStr">
        <is>
          <t>New Haven : Yale University Press, c1985.</t>
        </is>
      </c>
      <c r="M569" t="inlineStr">
        <is>
          <t>1985</t>
        </is>
      </c>
      <c r="O569" t="inlineStr">
        <is>
          <t>eng</t>
        </is>
      </c>
      <c r="P569" t="inlineStr">
        <is>
          <t>ctu</t>
        </is>
      </c>
      <c r="R569" t="inlineStr">
        <is>
          <t xml:space="preserve">BT </t>
        </is>
      </c>
      <c r="S569" t="n">
        <v>2</v>
      </c>
      <c r="T569" t="n">
        <v>2</v>
      </c>
      <c r="U569" t="inlineStr">
        <is>
          <t>1995-04-27</t>
        </is>
      </c>
      <c r="V569" t="inlineStr">
        <is>
          <t>1995-04-27</t>
        </is>
      </c>
      <c r="W569" t="inlineStr">
        <is>
          <t>1991-06-19</t>
        </is>
      </c>
      <c r="X569" t="inlineStr">
        <is>
          <t>1991-06-19</t>
        </is>
      </c>
      <c r="Y569" t="n">
        <v>972</v>
      </c>
      <c r="Z569" t="n">
        <v>845</v>
      </c>
      <c r="AA569" t="n">
        <v>851</v>
      </c>
      <c r="AB569" t="n">
        <v>7</v>
      </c>
      <c r="AC569" t="n">
        <v>7</v>
      </c>
      <c r="AD569" t="n">
        <v>44</v>
      </c>
      <c r="AE569" t="n">
        <v>45</v>
      </c>
      <c r="AF569" t="n">
        <v>18</v>
      </c>
      <c r="AG569" t="n">
        <v>19</v>
      </c>
      <c r="AH569" t="n">
        <v>8</v>
      </c>
      <c r="AI569" t="n">
        <v>8</v>
      </c>
      <c r="AJ569" t="n">
        <v>24</v>
      </c>
      <c r="AK569" t="n">
        <v>24</v>
      </c>
      <c r="AL569" t="n">
        <v>6</v>
      </c>
      <c r="AM569" t="n">
        <v>6</v>
      </c>
      <c r="AN569" t="n">
        <v>1</v>
      </c>
      <c r="AO569" t="n">
        <v>1</v>
      </c>
      <c r="AP569" t="inlineStr">
        <is>
          <t>No</t>
        </is>
      </c>
      <c r="AQ569" t="inlineStr">
        <is>
          <t>No</t>
        </is>
      </c>
      <c r="AS569">
        <f>HYPERLINK("https://creighton-primo.hosted.exlibrisgroup.com/primo-explore/search?tab=default_tab&amp;search_scope=EVERYTHING&amp;vid=01CRU&amp;lang=en_US&amp;offset=0&amp;query=any,contains,991000491339702656","Catalog Record")</f>
        <v/>
      </c>
      <c r="AT569">
        <f>HYPERLINK("http://www.worldcat.org/oclc/11112928","WorldCat Record")</f>
        <v/>
      </c>
      <c r="AU569" t="inlineStr">
        <is>
          <t>836676135:eng</t>
        </is>
      </c>
      <c r="AV569" t="inlineStr">
        <is>
          <t>11112928</t>
        </is>
      </c>
      <c r="AW569" t="inlineStr">
        <is>
          <t>991000491339702656</t>
        </is>
      </c>
      <c r="AX569" t="inlineStr">
        <is>
          <t>991000491339702656</t>
        </is>
      </c>
      <c r="AY569" t="inlineStr">
        <is>
          <t>2257736980002656</t>
        </is>
      </c>
      <c r="AZ569" t="inlineStr">
        <is>
          <t>BOOK</t>
        </is>
      </c>
      <c r="BB569" t="inlineStr">
        <is>
          <t>9780300032697</t>
        </is>
      </c>
      <c r="BC569" t="inlineStr">
        <is>
          <t>32285000687045</t>
        </is>
      </c>
      <c r="BD569" t="inlineStr">
        <is>
          <t>893614214</t>
        </is>
      </c>
    </row>
    <row r="570">
      <c r="A570" t="inlineStr">
        <is>
          <t>No</t>
        </is>
      </c>
      <c r="B570" t="inlineStr">
        <is>
          <t>BT30.U6 M54</t>
        </is>
      </c>
      <c r="C570" t="inlineStr">
        <is>
          <t>0                      BT 0030000U  6                  M  54</t>
        </is>
      </c>
      <c r="D570" t="inlineStr">
        <is>
          <t>The American spirit in theology / Randolph Crump Miller.</t>
        </is>
      </c>
      <c r="F570" t="inlineStr">
        <is>
          <t>No</t>
        </is>
      </c>
      <c r="G570" t="inlineStr">
        <is>
          <t>1</t>
        </is>
      </c>
      <c r="H570" t="inlineStr">
        <is>
          <t>No</t>
        </is>
      </c>
      <c r="I570" t="inlineStr">
        <is>
          <t>No</t>
        </is>
      </c>
      <c r="J570" t="inlineStr">
        <is>
          <t>0</t>
        </is>
      </c>
      <c r="K570" t="inlineStr">
        <is>
          <t>Miller, Randolph Crump, 1910-2002.</t>
        </is>
      </c>
      <c r="L570" t="inlineStr">
        <is>
          <t>Philadelphia, United Church Press [1974]</t>
        </is>
      </c>
      <c r="M570" t="inlineStr">
        <is>
          <t>1974</t>
        </is>
      </c>
      <c r="O570" t="inlineStr">
        <is>
          <t>eng</t>
        </is>
      </c>
      <c r="P570" t="inlineStr">
        <is>
          <t>pau</t>
        </is>
      </c>
      <c r="R570" t="inlineStr">
        <is>
          <t xml:space="preserve">BT </t>
        </is>
      </c>
      <c r="S570" t="n">
        <v>1</v>
      </c>
      <c r="T570" t="n">
        <v>1</v>
      </c>
      <c r="U570" t="inlineStr">
        <is>
          <t>1994-02-01</t>
        </is>
      </c>
      <c r="V570" t="inlineStr">
        <is>
          <t>1994-02-01</t>
        </is>
      </c>
      <c r="W570" t="inlineStr">
        <is>
          <t>1991-06-19</t>
        </is>
      </c>
      <c r="X570" t="inlineStr">
        <is>
          <t>1991-06-19</t>
        </is>
      </c>
      <c r="Y570" t="n">
        <v>413</v>
      </c>
      <c r="Z570" t="n">
        <v>384</v>
      </c>
      <c r="AA570" t="n">
        <v>391</v>
      </c>
      <c r="AB570" t="n">
        <v>5</v>
      </c>
      <c r="AC570" t="n">
        <v>5</v>
      </c>
      <c r="AD570" t="n">
        <v>25</v>
      </c>
      <c r="AE570" t="n">
        <v>25</v>
      </c>
      <c r="AF570" t="n">
        <v>9</v>
      </c>
      <c r="AG570" t="n">
        <v>9</v>
      </c>
      <c r="AH570" t="n">
        <v>6</v>
      </c>
      <c r="AI570" t="n">
        <v>6</v>
      </c>
      <c r="AJ570" t="n">
        <v>15</v>
      </c>
      <c r="AK570" t="n">
        <v>15</v>
      </c>
      <c r="AL570" t="n">
        <v>4</v>
      </c>
      <c r="AM570" t="n">
        <v>4</v>
      </c>
      <c r="AN570" t="n">
        <v>0</v>
      </c>
      <c r="AO570" t="n">
        <v>0</v>
      </c>
      <c r="AP570" t="inlineStr">
        <is>
          <t>No</t>
        </is>
      </c>
      <c r="AQ570" t="inlineStr">
        <is>
          <t>Yes</t>
        </is>
      </c>
      <c r="AR570">
        <f>HYPERLINK("http://catalog.hathitrust.org/Record/006762038","HathiTrust Record")</f>
        <v/>
      </c>
      <c r="AS570">
        <f>HYPERLINK("https://creighton-primo.hosted.exlibrisgroup.com/primo-explore/search?tab=default_tab&amp;search_scope=EVERYTHING&amp;vid=01CRU&amp;lang=en_US&amp;offset=0&amp;query=any,contains,991003409519702656","Catalog Record")</f>
        <v/>
      </c>
      <c r="AT570">
        <f>HYPERLINK("http://www.worldcat.org/oclc/948051","WorldCat Record")</f>
        <v/>
      </c>
      <c r="AU570" t="inlineStr">
        <is>
          <t>1910408:eng</t>
        </is>
      </c>
      <c r="AV570" t="inlineStr">
        <is>
          <t>948051</t>
        </is>
      </c>
      <c r="AW570" t="inlineStr">
        <is>
          <t>991003409519702656</t>
        </is>
      </c>
      <c r="AX570" t="inlineStr">
        <is>
          <t>991003409519702656</t>
        </is>
      </c>
      <c r="AY570" t="inlineStr">
        <is>
          <t>2264928890002656</t>
        </is>
      </c>
      <c r="AZ570" t="inlineStr">
        <is>
          <t>BOOK</t>
        </is>
      </c>
      <c r="BB570" t="inlineStr">
        <is>
          <t>9780829802856</t>
        </is>
      </c>
      <c r="BC570" t="inlineStr">
        <is>
          <t>32285000687052</t>
        </is>
      </c>
      <c r="BD570" t="inlineStr">
        <is>
          <t>893809973</t>
        </is>
      </c>
    </row>
    <row r="571">
      <c r="A571" t="inlineStr">
        <is>
          <t>No</t>
        </is>
      </c>
      <c r="B571" t="inlineStr">
        <is>
          <t>BT30.U6 S65 1972</t>
        </is>
      </c>
      <c r="C571" t="inlineStr">
        <is>
          <t>0                      BT 0030000U  6                  S  65          1972</t>
        </is>
      </c>
      <c r="D571" t="inlineStr">
        <is>
          <t>The American religious experience; the roots, trends, and future of American theology / by Frederick Sontag and John K. Roth.</t>
        </is>
      </c>
      <c r="F571" t="inlineStr">
        <is>
          <t>No</t>
        </is>
      </c>
      <c r="G571" t="inlineStr">
        <is>
          <t>1</t>
        </is>
      </c>
      <c r="H571" t="inlineStr">
        <is>
          <t>No</t>
        </is>
      </c>
      <c r="I571" t="inlineStr">
        <is>
          <t>No</t>
        </is>
      </c>
      <c r="J571" t="inlineStr">
        <is>
          <t>0</t>
        </is>
      </c>
      <c r="K571" t="inlineStr">
        <is>
          <t>Sontag, Frederick.</t>
        </is>
      </c>
      <c r="L571" t="inlineStr">
        <is>
          <t>New York, Harper &amp; Row [1972]</t>
        </is>
      </c>
      <c r="M571" t="inlineStr">
        <is>
          <t>1972</t>
        </is>
      </c>
      <c r="N571" t="inlineStr">
        <is>
          <t>[1st ed.]</t>
        </is>
      </c>
      <c r="O571" t="inlineStr">
        <is>
          <t>eng</t>
        </is>
      </c>
      <c r="P571" t="inlineStr">
        <is>
          <t>nyu</t>
        </is>
      </c>
      <c r="R571" t="inlineStr">
        <is>
          <t xml:space="preserve">BT </t>
        </is>
      </c>
      <c r="S571" t="n">
        <v>3</v>
      </c>
      <c r="T571" t="n">
        <v>3</v>
      </c>
      <c r="U571" t="inlineStr">
        <is>
          <t>1994-02-01</t>
        </is>
      </c>
      <c r="V571" t="inlineStr">
        <is>
          <t>1994-02-01</t>
        </is>
      </c>
      <c r="W571" t="inlineStr">
        <is>
          <t>1991-06-19</t>
        </is>
      </c>
      <c r="X571" t="inlineStr">
        <is>
          <t>1991-06-19</t>
        </is>
      </c>
      <c r="Y571" t="n">
        <v>789</v>
      </c>
      <c r="Z571" t="n">
        <v>720</v>
      </c>
      <c r="AA571" t="n">
        <v>722</v>
      </c>
      <c r="AB571" t="n">
        <v>8</v>
      </c>
      <c r="AC571" t="n">
        <v>8</v>
      </c>
      <c r="AD571" t="n">
        <v>37</v>
      </c>
      <c r="AE571" t="n">
        <v>37</v>
      </c>
      <c r="AF571" t="n">
        <v>13</v>
      </c>
      <c r="AG571" t="n">
        <v>13</v>
      </c>
      <c r="AH571" t="n">
        <v>7</v>
      </c>
      <c r="AI571" t="n">
        <v>7</v>
      </c>
      <c r="AJ571" t="n">
        <v>23</v>
      </c>
      <c r="AK571" t="n">
        <v>23</v>
      </c>
      <c r="AL571" t="n">
        <v>7</v>
      </c>
      <c r="AM571" t="n">
        <v>7</v>
      </c>
      <c r="AN571" t="n">
        <v>0</v>
      </c>
      <c r="AO571" t="n">
        <v>0</v>
      </c>
      <c r="AP571" t="inlineStr">
        <is>
          <t>No</t>
        </is>
      </c>
      <c r="AQ571" t="inlineStr">
        <is>
          <t>Yes</t>
        </is>
      </c>
      <c r="AR571">
        <f>HYPERLINK("http://catalog.hathitrust.org/Record/001411601","HathiTrust Record")</f>
        <v/>
      </c>
      <c r="AS571">
        <f>HYPERLINK("https://creighton-primo.hosted.exlibrisgroup.com/primo-explore/search?tab=default_tab&amp;search_scope=EVERYTHING&amp;vid=01CRU&amp;lang=en_US&amp;offset=0&amp;query=any,contains,991002111289702656","Catalog Record")</f>
        <v/>
      </c>
      <c r="AT571">
        <f>HYPERLINK("http://www.worldcat.org/oclc/267308","WorldCat Record")</f>
        <v/>
      </c>
      <c r="AU571" t="inlineStr">
        <is>
          <t>364131739:eng</t>
        </is>
      </c>
      <c r="AV571" t="inlineStr">
        <is>
          <t>267308</t>
        </is>
      </c>
      <c r="AW571" t="inlineStr">
        <is>
          <t>991002111289702656</t>
        </is>
      </c>
      <c r="AX571" t="inlineStr">
        <is>
          <t>991002111289702656</t>
        </is>
      </c>
      <c r="AY571" t="inlineStr">
        <is>
          <t>2268909210002656</t>
        </is>
      </c>
      <c r="AZ571" t="inlineStr">
        <is>
          <t>BOOK</t>
        </is>
      </c>
      <c r="BC571" t="inlineStr">
        <is>
          <t>32285000687060</t>
        </is>
      </c>
      <c r="BD571" t="inlineStr">
        <is>
          <t>893516906</t>
        </is>
      </c>
    </row>
    <row r="572">
      <c r="A572" t="inlineStr">
        <is>
          <t>No</t>
        </is>
      </c>
      <c r="B572" t="inlineStr">
        <is>
          <t>BT30.U6 S68 1999</t>
        </is>
      </c>
      <c r="C572" t="inlineStr">
        <is>
          <t>0                      BT 0030000U  6                  S  68          1999</t>
        </is>
      </c>
      <c r="D572" t="inlineStr">
        <is>
          <t>Sources of Christian theology in America / edited by Mark G. Toulouse and James O. Duke.</t>
        </is>
      </c>
      <c r="F572" t="inlineStr">
        <is>
          <t>No</t>
        </is>
      </c>
      <c r="G572" t="inlineStr">
        <is>
          <t>1</t>
        </is>
      </c>
      <c r="H572" t="inlineStr">
        <is>
          <t>No</t>
        </is>
      </c>
      <c r="I572" t="inlineStr">
        <is>
          <t>No</t>
        </is>
      </c>
      <c r="J572" t="inlineStr">
        <is>
          <t>0</t>
        </is>
      </c>
      <c r="L572" t="inlineStr">
        <is>
          <t>Nashville, TN : Abingdon Press, c1999.</t>
        </is>
      </c>
      <c r="M572" t="inlineStr">
        <is>
          <t>1999</t>
        </is>
      </c>
      <c r="O572" t="inlineStr">
        <is>
          <t>eng</t>
        </is>
      </c>
      <c r="P572" t="inlineStr">
        <is>
          <t>tnu</t>
        </is>
      </c>
      <c r="R572" t="inlineStr">
        <is>
          <t xml:space="preserve">BT </t>
        </is>
      </c>
      <c r="S572" t="n">
        <v>1</v>
      </c>
      <c r="T572" t="n">
        <v>1</v>
      </c>
      <c r="U572" t="inlineStr">
        <is>
          <t>2001-08-08</t>
        </is>
      </c>
      <c r="V572" t="inlineStr">
        <is>
          <t>2001-08-08</t>
        </is>
      </c>
      <c r="W572" t="inlineStr">
        <is>
          <t>2001-08-07</t>
        </is>
      </c>
      <c r="X572" t="inlineStr">
        <is>
          <t>2001-08-07</t>
        </is>
      </c>
      <c r="Y572" t="n">
        <v>234</v>
      </c>
      <c r="Z572" t="n">
        <v>214</v>
      </c>
      <c r="AA572" t="n">
        <v>214</v>
      </c>
      <c r="AB572" t="n">
        <v>1</v>
      </c>
      <c r="AC572" t="n">
        <v>1</v>
      </c>
      <c r="AD572" t="n">
        <v>12</v>
      </c>
      <c r="AE572" t="n">
        <v>12</v>
      </c>
      <c r="AF572" t="n">
        <v>5</v>
      </c>
      <c r="AG572" t="n">
        <v>5</v>
      </c>
      <c r="AH572" t="n">
        <v>3</v>
      </c>
      <c r="AI572" t="n">
        <v>3</v>
      </c>
      <c r="AJ572" t="n">
        <v>7</v>
      </c>
      <c r="AK572" t="n">
        <v>7</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HYPERLINK("https://creighton-primo.hosted.exlibrisgroup.com/primo-explore/search?tab=default_tab&amp;search_scope=EVERYTHING&amp;vid=01CRU&amp;lang=en_US&amp;offset=0&amp;query=any,contains,991003565829702656","Catalog Record")</f>
        <v/>
      </c>
      <c r="AT572">
        <f>HYPERLINK("http://www.worldcat.org/oclc/41076147","WorldCat Record")</f>
        <v/>
      </c>
      <c r="AU572" t="inlineStr">
        <is>
          <t>3856680288:eng</t>
        </is>
      </c>
      <c r="AV572" t="inlineStr">
        <is>
          <t>41076147</t>
        </is>
      </c>
      <c r="AW572" t="inlineStr">
        <is>
          <t>991003565829702656</t>
        </is>
      </c>
      <c r="AX572" t="inlineStr">
        <is>
          <t>991003565829702656</t>
        </is>
      </c>
      <c r="AY572" t="inlineStr">
        <is>
          <t>2262491480002656</t>
        </is>
      </c>
      <c r="AZ572" t="inlineStr">
        <is>
          <t>BOOK</t>
        </is>
      </c>
      <c r="BB572" t="inlineStr">
        <is>
          <t>9780687025244</t>
        </is>
      </c>
      <c r="BC572" t="inlineStr">
        <is>
          <t>32285004376017</t>
        </is>
      </c>
      <c r="BD572" t="inlineStr">
        <is>
          <t>893435134</t>
        </is>
      </c>
    </row>
    <row r="573">
      <c r="A573" t="inlineStr">
        <is>
          <t>No</t>
        </is>
      </c>
      <c r="B573" t="inlineStr">
        <is>
          <t>BT300 .T46</t>
        </is>
      </c>
      <c r="C573" t="inlineStr">
        <is>
          <t>0                      BT 0300000T  46</t>
        </is>
      </c>
      <c r="D573" t="inlineStr">
        <is>
          <t>The sufferings of Jesus / by Thomas of Jesus.</t>
        </is>
      </c>
      <c r="F573" t="inlineStr">
        <is>
          <t>No</t>
        </is>
      </c>
      <c r="G573" t="inlineStr">
        <is>
          <t>1</t>
        </is>
      </c>
      <c r="H573" t="inlineStr">
        <is>
          <t>No</t>
        </is>
      </c>
      <c r="I573" t="inlineStr">
        <is>
          <t>No</t>
        </is>
      </c>
      <c r="J573" t="inlineStr">
        <is>
          <t>0</t>
        </is>
      </c>
      <c r="K573" t="inlineStr">
        <is>
          <t>Thomé de Jesus, Frei, approximately 1529-1582.</t>
        </is>
      </c>
      <c r="L573" t="inlineStr">
        <is>
          <t>New York : P. O'Shea, [18--?].</t>
        </is>
      </c>
      <c r="M573" t="inlineStr">
        <is>
          <t>1800</t>
        </is>
      </c>
      <c r="O573" t="inlineStr">
        <is>
          <t>eng</t>
        </is>
      </c>
      <c r="P573" t="inlineStr">
        <is>
          <t>nyu</t>
        </is>
      </c>
      <c r="R573" t="inlineStr">
        <is>
          <t xml:space="preserve">BT </t>
        </is>
      </c>
      <c r="S573" t="n">
        <v>3</v>
      </c>
      <c r="T573" t="n">
        <v>3</v>
      </c>
      <c r="U573" t="inlineStr">
        <is>
          <t>2009-06-08</t>
        </is>
      </c>
      <c r="V573" t="inlineStr">
        <is>
          <t>2009-06-08</t>
        </is>
      </c>
      <c r="W573" t="inlineStr">
        <is>
          <t>1991-08-14</t>
        </is>
      </c>
      <c r="X573" t="inlineStr">
        <is>
          <t>1991-08-14</t>
        </is>
      </c>
      <c r="Y573" t="n">
        <v>16</v>
      </c>
      <c r="Z573" t="n">
        <v>14</v>
      </c>
      <c r="AA573" t="n">
        <v>98</v>
      </c>
      <c r="AB573" t="n">
        <v>1</v>
      </c>
      <c r="AC573" t="n">
        <v>1</v>
      </c>
      <c r="AD573" t="n">
        <v>3</v>
      </c>
      <c r="AE573" t="n">
        <v>16</v>
      </c>
      <c r="AF573" t="n">
        <v>0</v>
      </c>
      <c r="AG573" t="n">
        <v>3</v>
      </c>
      <c r="AH573" t="n">
        <v>0</v>
      </c>
      <c r="AI573" t="n">
        <v>6</v>
      </c>
      <c r="AJ573" t="n">
        <v>3</v>
      </c>
      <c r="AK573" t="n">
        <v>11</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HYPERLINK("https://creighton-primo.hosted.exlibrisgroup.com/primo-explore/search?tab=default_tab&amp;search_scope=EVERYTHING&amp;vid=01CRU&amp;lang=en_US&amp;offset=0&amp;query=any,contains,991000894629702656","Catalog Record")</f>
        <v/>
      </c>
      <c r="AT573">
        <f>HYPERLINK("http://www.worldcat.org/oclc/13953948","WorldCat Record")</f>
        <v/>
      </c>
      <c r="AU573" t="inlineStr">
        <is>
          <t>4919948572:eng</t>
        </is>
      </c>
      <c r="AV573" t="inlineStr">
        <is>
          <t>13953948</t>
        </is>
      </c>
      <c r="AW573" t="inlineStr">
        <is>
          <t>991000894629702656</t>
        </is>
      </c>
      <c r="AX573" t="inlineStr">
        <is>
          <t>991000894629702656</t>
        </is>
      </c>
      <c r="AY573" t="inlineStr">
        <is>
          <t>2263167670002656</t>
        </is>
      </c>
      <c r="AZ573" t="inlineStr">
        <is>
          <t>BOOK</t>
        </is>
      </c>
      <c r="BC573" t="inlineStr">
        <is>
          <t>32285000712843</t>
        </is>
      </c>
      <c r="BD573" t="inlineStr">
        <is>
          <t>893602148</t>
        </is>
      </c>
    </row>
    <row r="574">
      <c r="A574" t="inlineStr">
        <is>
          <t>No</t>
        </is>
      </c>
      <c r="B574" t="inlineStr">
        <is>
          <t>BT301 .C36 1969</t>
        </is>
      </c>
      <c r="C574" t="inlineStr">
        <is>
          <t>0                      BT 0301000C  36          1969</t>
        </is>
      </c>
      <c r="D574" t="inlineStr">
        <is>
          <t>Jesus : a new biography / by Shirley Jackson Case.</t>
        </is>
      </c>
      <c r="F574" t="inlineStr">
        <is>
          <t>No</t>
        </is>
      </c>
      <c r="G574" t="inlineStr">
        <is>
          <t>1</t>
        </is>
      </c>
      <c r="H574" t="inlineStr">
        <is>
          <t>No</t>
        </is>
      </c>
      <c r="I574" t="inlineStr">
        <is>
          <t>No</t>
        </is>
      </c>
      <c r="J574" t="inlineStr">
        <is>
          <t>0</t>
        </is>
      </c>
      <c r="K574" t="inlineStr">
        <is>
          <t>Case, Shirley Jackson, 1872-1947.</t>
        </is>
      </c>
      <c r="L574" t="inlineStr">
        <is>
          <t>New York : AMS Press, [1969]</t>
        </is>
      </c>
      <c r="M574" t="inlineStr">
        <is>
          <t>1969</t>
        </is>
      </c>
      <c r="O574" t="inlineStr">
        <is>
          <t>eng</t>
        </is>
      </c>
      <c r="P574" t="inlineStr">
        <is>
          <t>nyu</t>
        </is>
      </c>
      <c r="R574" t="inlineStr">
        <is>
          <t xml:space="preserve">BT </t>
        </is>
      </c>
      <c r="S574" t="n">
        <v>2</v>
      </c>
      <c r="T574" t="n">
        <v>2</v>
      </c>
      <c r="U574" t="inlineStr">
        <is>
          <t>2005-10-06</t>
        </is>
      </c>
      <c r="V574" t="inlineStr">
        <is>
          <t>2005-10-06</t>
        </is>
      </c>
      <c r="W574" t="inlineStr">
        <is>
          <t>1991-08-14</t>
        </is>
      </c>
      <c r="X574" t="inlineStr">
        <is>
          <t>1991-08-14</t>
        </is>
      </c>
      <c r="Y574" t="n">
        <v>83</v>
      </c>
      <c r="Z574" t="n">
        <v>80</v>
      </c>
      <c r="AA574" t="n">
        <v>648</v>
      </c>
      <c r="AB574" t="n">
        <v>3</v>
      </c>
      <c r="AC574" t="n">
        <v>6</v>
      </c>
      <c r="AD574" t="n">
        <v>7</v>
      </c>
      <c r="AE574" t="n">
        <v>32</v>
      </c>
      <c r="AF574" t="n">
        <v>5</v>
      </c>
      <c r="AG574" t="n">
        <v>12</v>
      </c>
      <c r="AH574" t="n">
        <v>0</v>
      </c>
      <c r="AI574" t="n">
        <v>8</v>
      </c>
      <c r="AJ574" t="n">
        <v>3</v>
      </c>
      <c r="AK574" t="n">
        <v>15</v>
      </c>
      <c r="AL574" t="n">
        <v>1</v>
      </c>
      <c r="AM574" t="n">
        <v>4</v>
      </c>
      <c r="AN574" t="n">
        <v>0</v>
      </c>
      <c r="AO574" t="n">
        <v>0</v>
      </c>
      <c r="AP574" t="inlineStr">
        <is>
          <t>No</t>
        </is>
      </c>
      <c r="AQ574" t="inlineStr">
        <is>
          <t>Yes</t>
        </is>
      </c>
      <c r="AR574">
        <f>HYPERLINK("http://catalog.hathitrust.org/Record/007046608","HathiTrust Record")</f>
        <v/>
      </c>
      <c r="AS574">
        <f>HYPERLINK("https://creighton-primo.hosted.exlibrisgroup.com/primo-explore/search?tab=default_tab&amp;search_scope=EVERYTHING&amp;vid=01CRU&amp;lang=en_US&amp;offset=0&amp;query=any,contains,991000135889702656","Catalog Record")</f>
        <v/>
      </c>
      <c r="AT574">
        <f>HYPERLINK("http://www.worldcat.org/oclc/56245","WorldCat Record")</f>
        <v/>
      </c>
      <c r="AU574" t="inlineStr">
        <is>
          <t>1188276:eng</t>
        </is>
      </c>
      <c r="AV574" t="inlineStr">
        <is>
          <t>56245</t>
        </is>
      </c>
      <c r="AW574" t="inlineStr">
        <is>
          <t>991000135889702656</t>
        </is>
      </c>
      <c r="AX574" t="inlineStr">
        <is>
          <t>991000135889702656</t>
        </is>
      </c>
      <c r="AY574" t="inlineStr">
        <is>
          <t>2261211600002656</t>
        </is>
      </c>
      <c r="AZ574" t="inlineStr">
        <is>
          <t>BOOK</t>
        </is>
      </c>
      <c r="BC574" t="inlineStr">
        <is>
          <t>32285000712850</t>
        </is>
      </c>
      <c r="BD574" t="inlineStr">
        <is>
          <t>893521429</t>
        </is>
      </c>
    </row>
    <row r="575">
      <c r="A575" t="inlineStr">
        <is>
          <t>No</t>
        </is>
      </c>
      <c r="B575" t="inlineStr">
        <is>
          <t>BT301 .D2213</t>
        </is>
      </c>
      <c r="C575" t="inlineStr">
        <is>
          <t>0                      BT 0301000D  2213</t>
        </is>
      </c>
      <c r="D575" t="inlineStr">
        <is>
          <t>Jesus and His times / by Daniel-Rops.</t>
        </is>
      </c>
      <c r="F575" t="inlineStr">
        <is>
          <t>No</t>
        </is>
      </c>
      <c r="G575" t="inlineStr">
        <is>
          <t>1</t>
        </is>
      </c>
      <c r="H575" t="inlineStr">
        <is>
          <t>No</t>
        </is>
      </c>
      <c r="I575" t="inlineStr">
        <is>
          <t>No</t>
        </is>
      </c>
      <c r="J575" t="inlineStr">
        <is>
          <t>0</t>
        </is>
      </c>
      <c r="K575" t="inlineStr">
        <is>
          <t>Daniel-Rops, Henri, 1901-1965.</t>
        </is>
      </c>
      <c r="L575" t="inlineStr">
        <is>
          <t>New York, Dutton [1956]</t>
        </is>
      </c>
      <c r="M575" t="inlineStr">
        <is>
          <t>1956</t>
        </is>
      </c>
      <c r="N575" t="inlineStr">
        <is>
          <t>[New rev. Catholic ed.]</t>
        </is>
      </c>
      <c r="O575" t="inlineStr">
        <is>
          <t>eng</t>
        </is>
      </c>
      <c r="P575" t="inlineStr">
        <is>
          <t>nyu</t>
        </is>
      </c>
      <c r="R575" t="inlineStr">
        <is>
          <t xml:space="preserve">BT </t>
        </is>
      </c>
      <c r="S575" t="n">
        <v>5</v>
      </c>
      <c r="T575" t="n">
        <v>5</v>
      </c>
      <c r="U575" t="inlineStr">
        <is>
          <t>2005-10-08</t>
        </is>
      </c>
      <c r="V575" t="inlineStr">
        <is>
          <t>2005-10-08</t>
        </is>
      </c>
      <c r="W575" t="inlineStr">
        <is>
          <t>1991-08-14</t>
        </is>
      </c>
      <c r="X575" t="inlineStr">
        <is>
          <t>1991-08-14</t>
        </is>
      </c>
      <c r="Y575" t="n">
        <v>440</v>
      </c>
      <c r="Z575" t="n">
        <v>421</v>
      </c>
      <c r="AA575" t="n">
        <v>1114</v>
      </c>
      <c r="AB575" t="n">
        <v>4</v>
      </c>
      <c r="AC575" t="n">
        <v>10</v>
      </c>
      <c r="AD575" t="n">
        <v>34</v>
      </c>
      <c r="AE575" t="n">
        <v>49</v>
      </c>
      <c r="AF575" t="n">
        <v>12</v>
      </c>
      <c r="AG575" t="n">
        <v>20</v>
      </c>
      <c r="AH575" t="n">
        <v>8</v>
      </c>
      <c r="AI575" t="n">
        <v>10</v>
      </c>
      <c r="AJ575" t="n">
        <v>23</v>
      </c>
      <c r="AK575" t="n">
        <v>25</v>
      </c>
      <c r="AL575" t="n">
        <v>2</v>
      </c>
      <c r="AM575" t="n">
        <v>6</v>
      </c>
      <c r="AN575" t="n">
        <v>0</v>
      </c>
      <c r="AO575" t="n">
        <v>0</v>
      </c>
      <c r="AP575" t="inlineStr">
        <is>
          <t>No</t>
        </is>
      </c>
      <c r="AQ575" t="inlineStr">
        <is>
          <t>Yes</t>
        </is>
      </c>
      <c r="AR575">
        <f>HYPERLINK("http://catalog.hathitrust.org/Record/004169087","HathiTrust Record")</f>
        <v/>
      </c>
      <c r="AS575">
        <f>HYPERLINK("https://creighton-primo.hosted.exlibrisgroup.com/primo-explore/search?tab=default_tab&amp;search_scope=EVERYTHING&amp;vid=01CRU&amp;lang=en_US&amp;offset=0&amp;query=any,contains,991002643479702656","Catalog Record")</f>
        <v/>
      </c>
      <c r="AT575">
        <f>HYPERLINK("http://www.worldcat.org/oclc/385059","WorldCat Record")</f>
        <v/>
      </c>
      <c r="AU575" t="inlineStr">
        <is>
          <t>2868125460:eng</t>
        </is>
      </c>
      <c r="AV575" t="inlineStr">
        <is>
          <t>385059</t>
        </is>
      </c>
      <c r="AW575" t="inlineStr">
        <is>
          <t>991002643479702656</t>
        </is>
      </c>
      <c r="AX575" t="inlineStr">
        <is>
          <t>991002643479702656</t>
        </is>
      </c>
      <c r="AY575" t="inlineStr">
        <is>
          <t>2258949700002656</t>
        </is>
      </c>
      <c r="AZ575" t="inlineStr">
        <is>
          <t>BOOK</t>
        </is>
      </c>
      <c r="BC575" t="inlineStr">
        <is>
          <t>32285000712876</t>
        </is>
      </c>
      <c r="BD575" t="inlineStr">
        <is>
          <t>893773849</t>
        </is>
      </c>
    </row>
    <row r="576">
      <c r="A576" t="inlineStr">
        <is>
          <t>No</t>
        </is>
      </c>
      <c r="B576" t="inlineStr">
        <is>
          <t>BT301 .D57 1962</t>
        </is>
      </c>
      <c r="C576" t="inlineStr">
        <is>
          <t>0                      BT 0301000D  57          1962</t>
        </is>
      </c>
      <c r="D576" t="inlineStr">
        <is>
          <t>A life of Christ : together with the four Gospels / [by] Aloys Dirksen.</t>
        </is>
      </c>
      <c r="F576" t="inlineStr">
        <is>
          <t>No</t>
        </is>
      </c>
      <c r="G576" t="inlineStr">
        <is>
          <t>1</t>
        </is>
      </c>
      <c r="H576" t="inlineStr">
        <is>
          <t>No</t>
        </is>
      </c>
      <c r="I576" t="inlineStr">
        <is>
          <t>No</t>
        </is>
      </c>
      <c r="J576" t="inlineStr">
        <is>
          <t>0</t>
        </is>
      </c>
      <c r="K576" t="inlineStr">
        <is>
          <t>Bible. Gospels. English. Confraternity version. 1962.</t>
        </is>
      </c>
      <c r="L576" t="inlineStr">
        <is>
          <t>New York : Holt, Rinehart and Winston, [1962]</t>
        </is>
      </c>
      <c r="M576" t="inlineStr">
        <is>
          <t>1962</t>
        </is>
      </c>
      <c r="N576" t="inlineStr">
        <is>
          <t>Rev. [i. e. 2d] ed.</t>
        </is>
      </c>
      <c r="O576" t="inlineStr">
        <is>
          <t>eng</t>
        </is>
      </c>
      <c r="P576" t="inlineStr">
        <is>
          <t xml:space="preserve">xx </t>
        </is>
      </c>
      <c r="R576" t="inlineStr">
        <is>
          <t xml:space="preserve">BT </t>
        </is>
      </c>
      <c r="S576" t="n">
        <v>3</v>
      </c>
      <c r="T576" t="n">
        <v>3</v>
      </c>
      <c r="U576" t="inlineStr">
        <is>
          <t>2005-10-08</t>
        </is>
      </c>
      <c r="V576" t="inlineStr">
        <is>
          <t>2005-10-08</t>
        </is>
      </c>
      <c r="W576" t="inlineStr">
        <is>
          <t>1991-08-14</t>
        </is>
      </c>
      <c r="X576" t="inlineStr">
        <is>
          <t>1991-08-14</t>
        </is>
      </c>
      <c r="Y576" t="n">
        <v>63</v>
      </c>
      <c r="Z576" t="n">
        <v>60</v>
      </c>
      <c r="AA576" t="n">
        <v>134</v>
      </c>
      <c r="AB576" t="n">
        <v>1</v>
      </c>
      <c r="AC576" t="n">
        <v>1</v>
      </c>
      <c r="AD576" t="n">
        <v>8</v>
      </c>
      <c r="AE576" t="n">
        <v>27</v>
      </c>
      <c r="AF576" t="n">
        <v>4</v>
      </c>
      <c r="AG576" t="n">
        <v>10</v>
      </c>
      <c r="AH576" t="n">
        <v>1</v>
      </c>
      <c r="AI576" t="n">
        <v>7</v>
      </c>
      <c r="AJ576" t="n">
        <v>5</v>
      </c>
      <c r="AK576" t="n">
        <v>21</v>
      </c>
      <c r="AL576" t="n">
        <v>0</v>
      </c>
      <c r="AM576" t="n">
        <v>0</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HYPERLINK("https://creighton-primo.hosted.exlibrisgroup.com/primo-explore/search?tab=default_tab&amp;search_scope=EVERYTHING&amp;vid=01CRU&amp;lang=en_US&amp;offset=0&amp;query=any,contains,991004318589702656","Catalog Record")</f>
        <v/>
      </c>
      <c r="AT576">
        <f>HYPERLINK("http://www.worldcat.org/oclc/3015263","WorldCat Record")</f>
        <v/>
      </c>
      <c r="AU576" t="inlineStr">
        <is>
          <t>2864210139:eng</t>
        </is>
      </c>
      <c r="AV576" t="inlineStr">
        <is>
          <t>3015263</t>
        </is>
      </c>
      <c r="AW576" t="inlineStr">
        <is>
          <t>991004318589702656</t>
        </is>
      </c>
      <c r="AX576" t="inlineStr">
        <is>
          <t>991004318589702656</t>
        </is>
      </c>
      <c r="AY576" t="inlineStr">
        <is>
          <t>2272759050002656</t>
        </is>
      </c>
      <c r="AZ576" t="inlineStr">
        <is>
          <t>BOOK</t>
        </is>
      </c>
      <c r="BC576" t="inlineStr">
        <is>
          <t>32285000712918</t>
        </is>
      </c>
      <c r="BD576" t="inlineStr">
        <is>
          <t>893349871</t>
        </is>
      </c>
    </row>
    <row r="577">
      <c r="A577" t="inlineStr">
        <is>
          <t>No</t>
        </is>
      </c>
      <c r="B577" t="inlineStr">
        <is>
          <t>BT301 .E3 1980z</t>
        </is>
      </c>
      <c r="C577" t="inlineStr">
        <is>
          <t>0                      BT 0301000E  3           1980z</t>
        </is>
      </c>
      <c r="D577" t="inlineStr">
        <is>
          <t>The life and times of Jesus the Messiah / by Alfred Edersheim.</t>
        </is>
      </c>
      <c r="F577" t="inlineStr">
        <is>
          <t>No</t>
        </is>
      </c>
      <c r="G577" t="inlineStr">
        <is>
          <t>1</t>
        </is>
      </c>
      <c r="H577" t="inlineStr">
        <is>
          <t>No</t>
        </is>
      </c>
      <c r="I577" t="inlineStr">
        <is>
          <t>No</t>
        </is>
      </c>
      <c r="J577" t="inlineStr">
        <is>
          <t>0</t>
        </is>
      </c>
      <c r="K577" t="inlineStr">
        <is>
          <t>Edersheim, Alfred, 1825-1889.</t>
        </is>
      </c>
      <c r="L577" t="inlineStr">
        <is>
          <t>McLean, Va. : MacDonald, [1980?]</t>
        </is>
      </c>
      <c r="M577" t="inlineStr">
        <is>
          <t>1980</t>
        </is>
      </c>
      <c r="O577" t="inlineStr">
        <is>
          <t>eng</t>
        </is>
      </c>
      <c r="P577" t="inlineStr">
        <is>
          <t>vau</t>
        </is>
      </c>
      <c r="R577" t="inlineStr">
        <is>
          <t xml:space="preserve">BT </t>
        </is>
      </c>
      <c r="S577" t="n">
        <v>1</v>
      </c>
      <c r="T577" t="n">
        <v>1</v>
      </c>
      <c r="U577" t="inlineStr">
        <is>
          <t>2006-09-14</t>
        </is>
      </c>
      <c r="V577" t="inlineStr">
        <is>
          <t>2006-09-14</t>
        </is>
      </c>
      <c r="W577" t="inlineStr">
        <is>
          <t>2006-09-14</t>
        </is>
      </c>
      <c r="X577" t="inlineStr">
        <is>
          <t>2006-09-14</t>
        </is>
      </c>
      <c r="Y577" t="n">
        <v>56</v>
      </c>
      <c r="Z577" t="n">
        <v>56</v>
      </c>
      <c r="AA577" t="n">
        <v>1844</v>
      </c>
      <c r="AB577" t="n">
        <v>2</v>
      </c>
      <c r="AC577" t="n">
        <v>22</v>
      </c>
      <c r="AD577" t="n">
        <v>2</v>
      </c>
      <c r="AE577" t="n">
        <v>53</v>
      </c>
      <c r="AF577" t="n">
        <v>2</v>
      </c>
      <c r="AG577" t="n">
        <v>20</v>
      </c>
      <c r="AH577" t="n">
        <v>0</v>
      </c>
      <c r="AI577" t="n">
        <v>10</v>
      </c>
      <c r="AJ577" t="n">
        <v>0</v>
      </c>
      <c r="AK577" t="n">
        <v>23</v>
      </c>
      <c r="AL577" t="n">
        <v>0</v>
      </c>
      <c r="AM577" t="n">
        <v>12</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HYPERLINK("https://creighton-primo.hosted.exlibrisgroup.com/primo-explore/search?tab=default_tab&amp;search_scope=EVERYTHING&amp;vid=01CRU&amp;lang=en_US&amp;offset=0&amp;query=any,contains,991004919629702656","Catalog Record")</f>
        <v/>
      </c>
      <c r="AT577">
        <f>HYPERLINK("http://www.worldcat.org/oclc/9653802","WorldCat Record")</f>
        <v/>
      </c>
      <c r="AU577" t="inlineStr">
        <is>
          <t>4757742423:eng</t>
        </is>
      </c>
      <c r="AV577" t="inlineStr">
        <is>
          <t>9653802</t>
        </is>
      </c>
      <c r="AW577" t="inlineStr">
        <is>
          <t>991004919629702656</t>
        </is>
      </c>
      <c r="AX577" t="inlineStr">
        <is>
          <t>991004919629702656</t>
        </is>
      </c>
      <c r="AY577" t="inlineStr">
        <is>
          <t>2271282840002656</t>
        </is>
      </c>
      <c r="AZ577" t="inlineStr">
        <is>
          <t>BOOK</t>
        </is>
      </c>
      <c r="BB577" t="inlineStr">
        <is>
          <t>9780917006128</t>
        </is>
      </c>
      <c r="BC577" t="inlineStr">
        <is>
          <t>32285005223655</t>
        </is>
      </c>
      <c r="BD577" t="inlineStr">
        <is>
          <t>893446456</t>
        </is>
      </c>
    </row>
    <row r="578">
      <c r="A578" t="inlineStr">
        <is>
          <t>No</t>
        </is>
      </c>
      <c r="B578" t="inlineStr">
        <is>
          <t>BT301 .F55</t>
        </is>
      </c>
      <c r="C578" t="inlineStr">
        <is>
          <t>0                      BT 0301000F  55</t>
        </is>
      </c>
      <c r="D578" t="inlineStr">
        <is>
          <t>The life of Christ : a historical, critical, and apologetic exposition / by the Rev. L. C. Fillion ; translated by the Rev. Newton Thompson. S. T. D.</t>
        </is>
      </c>
      <c r="E578" t="inlineStr">
        <is>
          <t>V.3</t>
        </is>
      </c>
      <c r="F578" t="inlineStr">
        <is>
          <t>Yes</t>
        </is>
      </c>
      <c r="G578" t="inlineStr">
        <is>
          <t>1</t>
        </is>
      </c>
      <c r="H578" t="inlineStr">
        <is>
          <t>No</t>
        </is>
      </c>
      <c r="I578" t="inlineStr">
        <is>
          <t>No</t>
        </is>
      </c>
      <c r="J578" t="inlineStr">
        <is>
          <t>0</t>
        </is>
      </c>
      <c r="K578" t="inlineStr">
        <is>
          <t>Fillion, L.-Cl. (Louis-Claude), 1843-1927.</t>
        </is>
      </c>
      <c r="L578" t="inlineStr">
        <is>
          <t>St. Louis, Mo. and London, B. Herder book co., 1928-29.</t>
        </is>
      </c>
      <c r="M578" t="inlineStr">
        <is>
          <t>1928</t>
        </is>
      </c>
      <c r="O578" t="inlineStr">
        <is>
          <t>eng</t>
        </is>
      </c>
      <c r="P578" t="inlineStr">
        <is>
          <t>___</t>
        </is>
      </c>
      <c r="R578" t="inlineStr">
        <is>
          <t xml:space="preserve">BT </t>
        </is>
      </c>
      <c r="S578" t="n">
        <v>1</v>
      </c>
      <c r="T578" t="n">
        <v>8</v>
      </c>
      <c r="V578" t="inlineStr">
        <is>
          <t>2005-10-08</t>
        </is>
      </c>
      <c r="W578" t="inlineStr">
        <is>
          <t>1991-08-14</t>
        </is>
      </c>
      <c r="X578" t="inlineStr">
        <is>
          <t>1991-08-14</t>
        </is>
      </c>
      <c r="Y578" t="n">
        <v>177</v>
      </c>
      <c r="Z578" t="n">
        <v>161</v>
      </c>
      <c r="AA578" t="n">
        <v>224</v>
      </c>
      <c r="AB578" t="n">
        <v>3</v>
      </c>
      <c r="AC578" t="n">
        <v>4</v>
      </c>
      <c r="AD578" t="n">
        <v>27</v>
      </c>
      <c r="AE578" t="n">
        <v>32</v>
      </c>
      <c r="AF578" t="n">
        <v>10</v>
      </c>
      <c r="AG578" t="n">
        <v>11</v>
      </c>
      <c r="AH578" t="n">
        <v>8</v>
      </c>
      <c r="AI578" t="n">
        <v>8</v>
      </c>
      <c r="AJ578" t="n">
        <v>21</v>
      </c>
      <c r="AK578" t="n">
        <v>24</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HYPERLINK("https://creighton-primo.hosted.exlibrisgroup.com/primo-explore/search?tab=default_tab&amp;search_scope=EVERYTHING&amp;vid=01CRU&amp;lang=en_US&amp;offset=0&amp;query=any,contains,991003102929702656","Catalog Record")</f>
        <v/>
      </c>
      <c r="AT578">
        <f>HYPERLINK("http://www.worldcat.org/oclc/652237","WorldCat Record")</f>
        <v/>
      </c>
      <c r="AU578" t="inlineStr">
        <is>
          <t>1606922:eng</t>
        </is>
      </c>
      <c r="AV578" t="inlineStr">
        <is>
          <t>652237</t>
        </is>
      </c>
      <c r="AW578" t="inlineStr">
        <is>
          <t>991003102929702656</t>
        </is>
      </c>
      <c r="AX578" t="inlineStr">
        <is>
          <t>991003102929702656</t>
        </is>
      </c>
      <c r="AY578" t="inlineStr">
        <is>
          <t>2262866200002656</t>
        </is>
      </c>
      <c r="AZ578" t="inlineStr">
        <is>
          <t>BOOK</t>
        </is>
      </c>
      <c r="BC578" t="inlineStr">
        <is>
          <t>32285000712975</t>
        </is>
      </c>
      <c r="BD578" t="inlineStr">
        <is>
          <t>893428446</t>
        </is>
      </c>
    </row>
    <row r="579">
      <c r="A579" t="inlineStr">
        <is>
          <t>No</t>
        </is>
      </c>
      <c r="B579" t="inlineStr">
        <is>
          <t>BT301 .F55</t>
        </is>
      </c>
      <c r="C579" t="inlineStr">
        <is>
          <t>0                      BT 0301000F  55</t>
        </is>
      </c>
      <c r="D579" t="inlineStr">
        <is>
          <t>The life of Christ : a historical, critical, and apologetic exposition / by the Rev. L. C. Fillion ; translated by the Rev. Newton Thompson. S. T. D.</t>
        </is>
      </c>
      <c r="E579" t="inlineStr">
        <is>
          <t>V.1</t>
        </is>
      </c>
      <c r="F579" t="inlineStr">
        <is>
          <t>Yes</t>
        </is>
      </c>
      <c r="G579" t="inlineStr">
        <is>
          <t>1</t>
        </is>
      </c>
      <c r="H579" t="inlineStr">
        <is>
          <t>No</t>
        </is>
      </c>
      <c r="I579" t="inlineStr">
        <is>
          <t>No</t>
        </is>
      </c>
      <c r="J579" t="inlineStr">
        <is>
          <t>0</t>
        </is>
      </c>
      <c r="K579" t="inlineStr">
        <is>
          <t>Fillion, L.-Cl. (Louis-Claude), 1843-1927.</t>
        </is>
      </c>
      <c r="L579" t="inlineStr">
        <is>
          <t>St. Louis, Mo. and London, B. Herder book co., 1928-29.</t>
        </is>
      </c>
      <c r="M579" t="inlineStr">
        <is>
          <t>1928</t>
        </is>
      </c>
      <c r="O579" t="inlineStr">
        <is>
          <t>eng</t>
        </is>
      </c>
      <c r="P579" t="inlineStr">
        <is>
          <t>___</t>
        </is>
      </c>
      <c r="R579" t="inlineStr">
        <is>
          <t xml:space="preserve">BT </t>
        </is>
      </c>
      <c r="S579" t="n">
        <v>5</v>
      </c>
      <c r="T579" t="n">
        <v>8</v>
      </c>
      <c r="U579" t="inlineStr">
        <is>
          <t>2005-10-08</t>
        </is>
      </c>
      <c r="V579" t="inlineStr">
        <is>
          <t>2005-10-08</t>
        </is>
      </c>
      <c r="W579" t="inlineStr">
        <is>
          <t>1991-08-14</t>
        </is>
      </c>
      <c r="X579" t="inlineStr">
        <is>
          <t>1991-08-14</t>
        </is>
      </c>
      <c r="Y579" t="n">
        <v>177</v>
      </c>
      <c r="Z579" t="n">
        <v>161</v>
      </c>
      <c r="AA579" t="n">
        <v>224</v>
      </c>
      <c r="AB579" t="n">
        <v>3</v>
      </c>
      <c r="AC579" t="n">
        <v>4</v>
      </c>
      <c r="AD579" t="n">
        <v>27</v>
      </c>
      <c r="AE579" t="n">
        <v>32</v>
      </c>
      <c r="AF579" t="n">
        <v>10</v>
      </c>
      <c r="AG579" t="n">
        <v>11</v>
      </c>
      <c r="AH579" t="n">
        <v>8</v>
      </c>
      <c r="AI579" t="n">
        <v>8</v>
      </c>
      <c r="AJ579" t="n">
        <v>21</v>
      </c>
      <c r="AK579" t="n">
        <v>24</v>
      </c>
      <c r="AL579" t="n">
        <v>0</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HYPERLINK("https://creighton-primo.hosted.exlibrisgroup.com/primo-explore/search?tab=default_tab&amp;search_scope=EVERYTHING&amp;vid=01CRU&amp;lang=en_US&amp;offset=0&amp;query=any,contains,991003102929702656","Catalog Record")</f>
        <v/>
      </c>
      <c r="AT579">
        <f>HYPERLINK("http://www.worldcat.org/oclc/652237","WorldCat Record")</f>
        <v/>
      </c>
      <c r="AU579" t="inlineStr">
        <is>
          <t>1606922:eng</t>
        </is>
      </c>
      <c r="AV579" t="inlineStr">
        <is>
          <t>652237</t>
        </is>
      </c>
      <c r="AW579" t="inlineStr">
        <is>
          <t>991003102929702656</t>
        </is>
      </c>
      <c r="AX579" t="inlineStr">
        <is>
          <t>991003102929702656</t>
        </is>
      </c>
      <c r="AY579" t="inlineStr">
        <is>
          <t>2262866200002656</t>
        </is>
      </c>
      <c r="AZ579" t="inlineStr">
        <is>
          <t>BOOK</t>
        </is>
      </c>
      <c r="BC579" t="inlineStr">
        <is>
          <t>32285000712959</t>
        </is>
      </c>
      <c r="BD579" t="inlineStr">
        <is>
          <t>893445535</t>
        </is>
      </c>
    </row>
    <row r="580">
      <c r="A580" t="inlineStr">
        <is>
          <t>No</t>
        </is>
      </c>
      <c r="B580" t="inlineStr">
        <is>
          <t>BT301 .F55</t>
        </is>
      </c>
      <c r="C580" t="inlineStr">
        <is>
          <t>0                      BT 0301000F  55</t>
        </is>
      </c>
      <c r="D580" t="inlineStr">
        <is>
          <t>The life of Christ : a historical, critical, and apologetic exposition / by the Rev. L. C. Fillion ; translated by the Rev. Newton Thompson. S. T. D.</t>
        </is>
      </c>
      <c r="E580" t="inlineStr">
        <is>
          <t>V.2</t>
        </is>
      </c>
      <c r="F580" t="inlineStr">
        <is>
          <t>Yes</t>
        </is>
      </c>
      <c r="G580" t="inlineStr">
        <is>
          <t>1</t>
        </is>
      </c>
      <c r="H580" t="inlineStr">
        <is>
          <t>No</t>
        </is>
      </c>
      <c r="I580" t="inlineStr">
        <is>
          <t>No</t>
        </is>
      </c>
      <c r="J580" t="inlineStr">
        <is>
          <t>0</t>
        </is>
      </c>
      <c r="K580" t="inlineStr">
        <is>
          <t>Fillion, L.-Cl. (Louis-Claude), 1843-1927.</t>
        </is>
      </c>
      <c r="L580" t="inlineStr">
        <is>
          <t>St. Louis, Mo. and London, B. Herder book co., 1928-29.</t>
        </is>
      </c>
      <c r="M580" t="inlineStr">
        <is>
          <t>1928</t>
        </is>
      </c>
      <c r="O580" t="inlineStr">
        <is>
          <t>eng</t>
        </is>
      </c>
      <c r="P580" t="inlineStr">
        <is>
          <t>___</t>
        </is>
      </c>
      <c r="R580" t="inlineStr">
        <is>
          <t xml:space="preserve">BT </t>
        </is>
      </c>
      <c r="S580" t="n">
        <v>2</v>
      </c>
      <c r="T580" t="n">
        <v>8</v>
      </c>
      <c r="V580" t="inlineStr">
        <is>
          <t>2005-10-08</t>
        </is>
      </c>
      <c r="W580" t="inlineStr">
        <is>
          <t>1991-08-14</t>
        </is>
      </c>
      <c r="X580" t="inlineStr">
        <is>
          <t>1991-08-14</t>
        </is>
      </c>
      <c r="Y580" t="n">
        <v>177</v>
      </c>
      <c r="Z580" t="n">
        <v>161</v>
      </c>
      <c r="AA580" t="n">
        <v>224</v>
      </c>
      <c r="AB580" t="n">
        <v>3</v>
      </c>
      <c r="AC580" t="n">
        <v>4</v>
      </c>
      <c r="AD580" t="n">
        <v>27</v>
      </c>
      <c r="AE580" t="n">
        <v>32</v>
      </c>
      <c r="AF580" t="n">
        <v>10</v>
      </c>
      <c r="AG580" t="n">
        <v>11</v>
      </c>
      <c r="AH580" t="n">
        <v>8</v>
      </c>
      <c r="AI580" t="n">
        <v>8</v>
      </c>
      <c r="AJ580" t="n">
        <v>21</v>
      </c>
      <c r="AK580" t="n">
        <v>24</v>
      </c>
      <c r="AL580" t="n">
        <v>0</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HYPERLINK("https://creighton-primo.hosted.exlibrisgroup.com/primo-explore/search?tab=default_tab&amp;search_scope=EVERYTHING&amp;vid=01CRU&amp;lang=en_US&amp;offset=0&amp;query=any,contains,991003102929702656","Catalog Record")</f>
        <v/>
      </c>
      <c r="AT580">
        <f>HYPERLINK("http://www.worldcat.org/oclc/652237","WorldCat Record")</f>
        <v/>
      </c>
      <c r="AU580" t="inlineStr">
        <is>
          <t>1606922:eng</t>
        </is>
      </c>
      <c r="AV580" t="inlineStr">
        <is>
          <t>652237</t>
        </is>
      </c>
      <c r="AW580" t="inlineStr">
        <is>
          <t>991003102929702656</t>
        </is>
      </c>
      <c r="AX580" t="inlineStr">
        <is>
          <t>991003102929702656</t>
        </is>
      </c>
      <c r="AY580" t="inlineStr">
        <is>
          <t>2262866200002656</t>
        </is>
      </c>
      <c r="AZ580" t="inlineStr">
        <is>
          <t>BOOK</t>
        </is>
      </c>
      <c r="BC580" t="inlineStr">
        <is>
          <t>32285000712967</t>
        </is>
      </c>
      <c r="BD580" t="inlineStr">
        <is>
          <t>893428447</t>
        </is>
      </c>
    </row>
    <row r="581">
      <c r="A581" t="inlineStr">
        <is>
          <t>No</t>
        </is>
      </c>
      <c r="B581" t="inlineStr">
        <is>
          <t>BT301 .G66</t>
        </is>
      </c>
      <c r="C581" t="inlineStr">
        <is>
          <t>0                      BT 0301000G  66</t>
        </is>
      </c>
      <c r="D581" t="inlineStr">
        <is>
          <t>The word incarnate; a harmony of the gospels / by the Most Reverend Alban Goodier.</t>
        </is>
      </c>
      <c r="F581" t="inlineStr">
        <is>
          <t>No</t>
        </is>
      </c>
      <c r="G581" t="inlineStr">
        <is>
          <t>1</t>
        </is>
      </c>
      <c r="H581" t="inlineStr">
        <is>
          <t>No</t>
        </is>
      </c>
      <c r="I581" t="inlineStr">
        <is>
          <t>No</t>
        </is>
      </c>
      <c r="J581" t="inlineStr">
        <is>
          <t>0</t>
        </is>
      </c>
      <c r="K581" t="inlineStr">
        <is>
          <t>Bible. Gospels. English. Douai. 1934.</t>
        </is>
      </c>
      <c r="L581" t="inlineStr">
        <is>
          <t>London: Burns Oates &amp; Washbourne, ltd., [1934]</t>
        </is>
      </c>
      <c r="M581" t="inlineStr">
        <is>
          <t>1934</t>
        </is>
      </c>
      <c r="O581" t="inlineStr">
        <is>
          <t>eng</t>
        </is>
      </c>
      <c r="P581" t="inlineStr">
        <is>
          <t>xxk</t>
        </is>
      </c>
      <c r="R581" t="inlineStr">
        <is>
          <t xml:space="preserve">BT </t>
        </is>
      </c>
      <c r="S581" t="n">
        <v>1</v>
      </c>
      <c r="T581" t="n">
        <v>1</v>
      </c>
      <c r="U581" t="inlineStr">
        <is>
          <t>1995-10-08</t>
        </is>
      </c>
      <c r="V581" t="inlineStr">
        <is>
          <t>1995-10-08</t>
        </is>
      </c>
      <c r="W581" t="inlineStr">
        <is>
          <t>1991-08-14</t>
        </is>
      </c>
      <c r="X581" t="inlineStr">
        <is>
          <t>1991-08-14</t>
        </is>
      </c>
      <c r="Y581" t="n">
        <v>79</v>
      </c>
      <c r="Z581" t="n">
        <v>65</v>
      </c>
      <c r="AA581" t="n">
        <v>66</v>
      </c>
      <c r="AB581" t="n">
        <v>1</v>
      </c>
      <c r="AC581" t="n">
        <v>1</v>
      </c>
      <c r="AD581" t="n">
        <v>17</v>
      </c>
      <c r="AE581" t="n">
        <v>17</v>
      </c>
      <c r="AF581" t="n">
        <v>4</v>
      </c>
      <c r="AG581" t="n">
        <v>4</v>
      </c>
      <c r="AH581" t="n">
        <v>5</v>
      </c>
      <c r="AI581" t="n">
        <v>5</v>
      </c>
      <c r="AJ581" t="n">
        <v>13</v>
      </c>
      <c r="AK581" t="n">
        <v>13</v>
      </c>
      <c r="AL581" t="n">
        <v>0</v>
      </c>
      <c r="AM581" t="n">
        <v>0</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HYPERLINK("https://creighton-primo.hosted.exlibrisgroup.com/primo-explore/search?tab=default_tab&amp;search_scope=EVERYTHING&amp;vid=01CRU&amp;lang=en_US&amp;offset=0&amp;query=any,contains,991004500809702656","Catalog Record")</f>
        <v/>
      </c>
      <c r="AT581">
        <f>HYPERLINK("http://www.worldcat.org/oclc/3716553","WorldCat Record")</f>
        <v/>
      </c>
      <c r="AU581" t="inlineStr">
        <is>
          <t>1376383109:eng</t>
        </is>
      </c>
      <c r="AV581" t="inlineStr">
        <is>
          <t>3716553</t>
        </is>
      </c>
      <c r="AW581" t="inlineStr">
        <is>
          <t>991004500809702656</t>
        </is>
      </c>
      <c r="AX581" t="inlineStr">
        <is>
          <t>991004500809702656</t>
        </is>
      </c>
      <c r="AY581" t="inlineStr">
        <is>
          <t>2265763990002656</t>
        </is>
      </c>
      <c r="AZ581" t="inlineStr">
        <is>
          <t>BOOK</t>
        </is>
      </c>
      <c r="BC581" t="inlineStr">
        <is>
          <t>32285000713015</t>
        </is>
      </c>
      <c r="BD581" t="inlineStr">
        <is>
          <t>893628193</t>
        </is>
      </c>
    </row>
    <row r="582">
      <c r="A582" t="inlineStr">
        <is>
          <t>No</t>
        </is>
      </c>
      <c r="B582" t="inlineStr">
        <is>
          <t>BT301 .K65 1932</t>
        </is>
      </c>
      <c r="C582" t="inlineStr">
        <is>
          <t>0                      BT 0301000K  65          1932</t>
        </is>
      </c>
      <c r="D582" t="inlineStr">
        <is>
          <t>Jesus and his apostles / by Felix Klein. Translated by W.P.Baines.</t>
        </is>
      </c>
      <c r="F582" t="inlineStr">
        <is>
          <t>No</t>
        </is>
      </c>
      <c r="G582" t="inlineStr">
        <is>
          <t>1</t>
        </is>
      </c>
      <c r="H582" t="inlineStr">
        <is>
          <t>No</t>
        </is>
      </c>
      <c r="I582" t="inlineStr">
        <is>
          <t>No</t>
        </is>
      </c>
      <c r="J582" t="inlineStr">
        <is>
          <t>0</t>
        </is>
      </c>
      <c r="K582" t="inlineStr">
        <is>
          <t>Klein, Felix, 1849-1925.</t>
        </is>
      </c>
      <c r="L582" t="inlineStr">
        <is>
          <t>London ; New York : Longmans, Green, 1932.</t>
        </is>
      </c>
      <c r="M582" t="inlineStr">
        <is>
          <t>1932</t>
        </is>
      </c>
      <c r="O582" t="inlineStr">
        <is>
          <t>eng</t>
        </is>
      </c>
      <c r="P582" t="inlineStr">
        <is>
          <t>___</t>
        </is>
      </c>
      <c r="R582" t="inlineStr">
        <is>
          <t xml:space="preserve">BT </t>
        </is>
      </c>
      <c r="S582" t="n">
        <v>1</v>
      </c>
      <c r="T582" t="n">
        <v>1</v>
      </c>
      <c r="U582" t="inlineStr">
        <is>
          <t>2002-02-25</t>
        </is>
      </c>
      <c r="V582" t="inlineStr">
        <is>
          <t>2002-02-25</t>
        </is>
      </c>
      <c r="W582" t="inlineStr">
        <is>
          <t>1991-08-14</t>
        </is>
      </c>
      <c r="X582" t="inlineStr">
        <is>
          <t>1991-08-14</t>
        </is>
      </c>
      <c r="Y582" t="n">
        <v>79</v>
      </c>
      <c r="Z582" t="n">
        <v>63</v>
      </c>
      <c r="AA582" t="n">
        <v>64</v>
      </c>
      <c r="AB582" t="n">
        <v>2</v>
      </c>
      <c r="AC582" t="n">
        <v>2</v>
      </c>
      <c r="AD582" t="n">
        <v>14</v>
      </c>
      <c r="AE582" t="n">
        <v>14</v>
      </c>
      <c r="AF582" t="n">
        <v>2</v>
      </c>
      <c r="AG582" t="n">
        <v>2</v>
      </c>
      <c r="AH582" t="n">
        <v>5</v>
      </c>
      <c r="AI582" t="n">
        <v>5</v>
      </c>
      <c r="AJ582" t="n">
        <v>12</v>
      </c>
      <c r="AK582" t="n">
        <v>12</v>
      </c>
      <c r="AL582" t="n">
        <v>0</v>
      </c>
      <c r="AM582" t="n">
        <v>0</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HYPERLINK("https://creighton-primo.hosted.exlibrisgroup.com/primo-explore/search?tab=default_tab&amp;search_scope=EVERYTHING&amp;vid=01CRU&amp;lang=en_US&amp;offset=0&amp;query=any,contains,991003138979702656","Catalog Record")</f>
        <v/>
      </c>
      <c r="AT582">
        <f>HYPERLINK("http://www.worldcat.org/oclc/680757","WorldCat Record")</f>
        <v/>
      </c>
      <c r="AU582" t="inlineStr">
        <is>
          <t>1863663120:eng</t>
        </is>
      </c>
      <c r="AV582" t="inlineStr">
        <is>
          <t>680757</t>
        </is>
      </c>
      <c r="AW582" t="inlineStr">
        <is>
          <t>991003138979702656</t>
        </is>
      </c>
      <c r="AX582" t="inlineStr">
        <is>
          <t>991003138979702656</t>
        </is>
      </c>
      <c r="AY582" t="inlineStr">
        <is>
          <t>2268428010002656</t>
        </is>
      </c>
      <c r="AZ582" t="inlineStr">
        <is>
          <t>BOOK</t>
        </is>
      </c>
      <c r="BC582" t="inlineStr">
        <is>
          <t>32285000713080</t>
        </is>
      </c>
      <c r="BD582" t="inlineStr">
        <is>
          <t>893704948</t>
        </is>
      </c>
    </row>
    <row r="583">
      <c r="A583" t="inlineStr">
        <is>
          <t>No</t>
        </is>
      </c>
      <c r="B583" t="inlineStr">
        <is>
          <t>BT301 .M13</t>
        </is>
      </c>
      <c r="C583" t="inlineStr">
        <is>
          <t>0                      BT 0301000M  13</t>
        </is>
      </c>
      <c r="D583" t="inlineStr">
        <is>
          <t>The life of Jesus Christ, according to the gospel history / By Rev. A. J. Maas.</t>
        </is>
      </c>
      <c r="F583" t="inlineStr">
        <is>
          <t>No</t>
        </is>
      </c>
      <c r="G583" t="inlineStr">
        <is>
          <t>1</t>
        </is>
      </c>
      <c r="H583" t="inlineStr">
        <is>
          <t>No</t>
        </is>
      </c>
      <c r="I583" t="inlineStr">
        <is>
          <t>No</t>
        </is>
      </c>
      <c r="J583" t="inlineStr">
        <is>
          <t>0</t>
        </is>
      </c>
      <c r="K583" t="inlineStr">
        <is>
          <t>Maas, A. J. (Anthony John), 1858-1927.</t>
        </is>
      </c>
      <c r="L583" t="inlineStr">
        <is>
          <t>St. Louis, B. Herder, 1891.</t>
        </is>
      </c>
      <c r="M583" t="inlineStr">
        <is>
          <t>1891</t>
        </is>
      </c>
      <c r="O583" t="inlineStr">
        <is>
          <t>eng</t>
        </is>
      </c>
      <c r="P583" t="inlineStr">
        <is>
          <t>mou</t>
        </is>
      </c>
      <c r="R583" t="inlineStr">
        <is>
          <t xml:space="preserve">BT </t>
        </is>
      </c>
      <c r="S583" t="n">
        <v>1</v>
      </c>
      <c r="T583" t="n">
        <v>1</v>
      </c>
      <c r="U583" t="inlineStr">
        <is>
          <t>2000-11-05</t>
        </is>
      </c>
      <c r="V583" t="inlineStr">
        <is>
          <t>2000-11-05</t>
        </is>
      </c>
      <c r="W583" t="inlineStr">
        <is>
          <t>1991-08-16</t>
        </is>
      </c>
      <c r="X583" t="inlineStr">
        <is>
          <t>1991-08-16</t>
        </is>
      </c>
      <c r="Y583" t="n">
        <v>29</v>
      </c>
      <c r="Z583" t="n">
        <v>28</v>
      </c>
      <c r="AA583" t="n">
        <v>134</v>
      </c>
      <c r="AB583" t="n">
        <v>1</v>
      </c>
      <c r="AC583" t="n">
        <v>2</v>
      </c>
      <c r="AD583" t="n">
        <v>10</v>
      </c>
      <c r="AE583" t="n">
        <v>23</v>
      </c>
      <c r="AF583" t="n">
        <v>2</v>
      </c>
      <c r="AG583" t="n">
        <v>5</v>
      </c>
      <c r="AH583" t="n">
        <v>5</v>
      </c>
      <c r="AI583" t="n">
        <v>8</v>
      </c>
      <c r="AJ583" t="n">
        <v>7</v>
      </c>
      <c r="AK583" t="n">
        <v>19</v>
      </c>
      <c r="AL583" t="n">
        <v>0</v>
      </c>
      <c r="AM583" t="n">
        <v>0</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HYPERLINK("https://creighton-primo.hosted.exlibrisgroup.com/primo-explore/search?tab=default_tab&amp;search_scope=EVERYTHING&amp;vid=01CRU&amp;lang=en_US&amp;offset=0&amp;query=any,contains,991004032549702656","Catalog Record")</f>
        <v/>
      </c>
      <c r="AT583">
        <f>HYPERLINK("http://www.worldcat.org/oclc/2160370","WorldCat Record")</f>
        <v/>
      </c>
      <c r="AU583" t="inlineStr">
        <is>
          <t>3924709:eng</t>
        </is>
      </c>
      <c r="AV583" t="inlineStr">
        <is>
          <t>2160370</t>
        </is>
      </c>
      <c r="AW583" t="inlineStr">
        <is>
          <t>991004032549702656</t>
        </is>
      </c>
      <c r="AX583" t="inlineStr">
        <is>
          <t>991004032549702656</t>
        </is>
      </c>
      <c r="AY583" t="inlineStr">
        <is>
          <t>2262766970002656</t>
        </is>
      </c>
      <c r="AZ583" t="inlineStr">
        <is>
          <t>BOOK</t>
        </is>
      </c>
      <c r="BC583" t="inlineStr">
        <is>
          <t>32285000713247</t>
        </is>
      </c>
      <c r="BD583" t="inlineStr">
        <is>
          <t>893806569</t>
        </is>
      </c>
    </row>
    <row r="584">
      <c r="A584" t="inlineStr">
        <is>
          <t>No</t>
        </is>
      </c>
      <c r="B584" t="inlineStr">
        <is>
          <t>BT301 .O97</t>
        </is>
      </c>
      <c r="C584" t="inlineStr">
        <is>
          <t>0                      BT 0301000O  97</t>
        </is>
      </c>
      <c r="D584" t="inlineStr">
        <is>
          <t>The greatest story ever told; a tale of the greatest life ever lived / by Fulton Oursler.</t>
        </is>
      </c>
      <c r="F584" t="inlineStr">
        <is>
          <t>No</t>
        </is>
      </c>
      <c r="G584" t="inlineStr">
        <is>
          <t>1</t>
        </is>
      </c>
      <c r="H584" t="inlineStr">
        <is>
          <t>No</t>
        </is>
      </c>
      <c r="I584" t="inlineStr">
        <is>
          <t>No</t>
        </is>
      </c>
      <c r="J584" t="inlineStr">
        <is>
          <t>0</t>
        </is>
      </c>
      <c r="K584" t="inlineStr">
        <is>
          <t>Oursler, Fulton, 1893-1952.</t>
        </is>
      </c>
      <c r="L584" t="inlineStr">
        <is>
          <t>Garden City, N.Y., Doubleday, 1949.</t>
        </is>
      </c>
      <c r="M584" t="inlineStr">
        <is>
          <t>1949</t>
        </is>
      </c>
      <c r="N584" t="inlineStr">
        <is>
          <t>[1st ed.]</t>
        </is>
      </c>
      <c r="O584" t="inlineStr">
        <is>
          <t>eng</t>
        </is>
      </c>
      <c r="P584" t="inlineStr">
        <is>
          <t>nyu</t>
        </is>
      </c>
      <c r="R584" t="inlineStr">
        <is>
          <t xml:space="preserve">BT </t>
        </is>
      </c>
      <c r="S584" t="n">
        <v>2</v>
      </c>
      <c r="T584" t="n">
        <v>2</v>
      </c>
      <c r="U584" t="inlineStr">
        <is>
          <t>1993-01-04</t>
        </is>
      </c>
      <c r="V584" t="inlineStr">
        <is>
          <t>1993-01-04</t>
        </is>
      </c>
      <c r="W584" t="inlineStr">
        <is>
          <t>1991-08-16</t>
        </is>
      </c>
      <c r="X584" t="inlineStr">
        <is>
          <t>1991-08-16</t>
        </is>
      </c>
      <c r="Y584" t="n">
        <v>1778</v>
      </c>
      <c r="Z584" t="n">
        <v>1709</v>
      </c>
      <c r="AA584" t="n">
        <v>2126</v>
      </c>
      <c r="AB584" t="n">
        <v>21</v>
      </c>
      <c r="AC584" t="n">
        <v>24</v>
      </c>
      <c r="AD584" t="n">
        <v>41</v>
      </c>
      <c r="AE584" t="n">
        <v>45</v>
      </c>
      <c r="AF584" t="n">
        <v>13</v>
      </c>
      <c r="AG584" t="n">
        <v>15</v>
      </c>
      <c r="AH584" t="n">
        <v>6</v>
      </c>
      <c r="AI584" t="n">
        <v>7</v>
      </c>
      <c r="AJ584" t="n">
        <v>23</v>
      </c>
      <c r="AK584" t="n">
        <v>24</v>
      </c>
      <c r="AL584" t="n">
        <v>10</v>
      </c>
      <c r="AM584" t="n">
        <v>10</v>
      </c>
      <c r="AN584" t="n">
        <v>0</v>
      </c>
      <c r="AO584" t="n">
        <v>0</v>
      </c>
      <c r="AP584" t="inlineStr">
        <is>
          <t>No</t>
        </is>
      </c>
      <c r="AQ584" t="inlineStr">
        <is>
          <t>Yes</t>
        </is>
      </c>
      <c r="AR584">
        <f>HYPERLINK("http://catalog.hathitrust.org/Record/001400538","HathiTrust Record")</f>
        <v/>
      </c>
      <c r="AS584">
        <f>HYPERLINK("https://creighton-primo.hosted.exlibrisgroup.com/primo-explore/search?tab=default_tab&amp;search_scope=EVERYTHING&amp;vid=01CRU&amp;lang=en_US&amp;offset=0&amp;query=any,contains,991002641969702656","Catalog Record")</f>
        <v/>
      </c>
      <c r="AT584">
        <f>HYPERLINK("http://www.worldcat.org/oclc/384680","WorldCat Record")</f>
        <v/>
      </c>
      <c r="AU584" t="inlineStr">
        <is>
          <t>478756:eng</t>
        </is>
      </c>
      <c r="AV584" t="inlineStr">
        <is>
          <t>384680</t>
        </is>
      </c>
      <c r="AW584" t="inlineStr">
        <is>
          <t>991002641969702656</t>
        </is>
      </c>
      <c r="AX584" t="inlineStr">
        <is>
          <t>991002641969702656</t>
        </is>
      </c>
      <c r="AY584" t="inlineStr">
        <is>
          <t>2258500100002656</t>
        </is>
      </c>
      <c r="AZ584" t="inlineStr">
        <is>
          <t>BOOK</t>
        </is>
      </c>
      <c r="BC584" t="inlineStr">
        <is>
          <t>32285000713296</t>
        </is>
      </c>
      <c r="BD584" t="inlineStr">
        <is>
          <t>893329343</t>
        </is>
      </c>
    </row>
    <row r="585">
      <c r="A585" t="inlineStr">
        <is>
          <t>No</t>
        </is>
      </c>
      <c r="B585" t="inlineStr">
        <is>
          <t>BT301 .P36 1923</t>
        </is>
      </c>
      <c r="C585" t="inlineStr">
        <is>
          <t>0                      BT 0301000P  36          1923</t>
        </is>
      </c>
      <c r="D585" t="inlineStr">
        <is>
          <t>Life of Christ / by Giovanni Papini, freely translated from the Italian, by Dorothy Canfield Fisher.</t>
        </is>
      </c>
      <c r="F585" t="inlineStr">
        <is>
          <t>No</t>
        </is>
      </c>
      <c r="G585" t="inlineStr">
        <is>
          <t>1</t>
        </is>
      </c>
      <c r="H585" t="inlineStr">
        <is>
          <t>No</t>
        </is>
      </c>
      <c r="I585" t="inlineStr">
        <is>
          <t>No</t>
        </is>
      </c>
      <c r="J585" t="inlineStr">
        <is>
          <t>0</t>
        </is>
      </c>
      <c r="K585" t="inlineStr">
        <is>
          <t>Papini, Giovanni, 1881-1956.</t>
        </is>
      </c>
      <c r="L585" t="inlineStr">
        <is>
          <t>New York, Harcourt, Brace and company [c1923]</t>
        </is>
      </c>
      <c r="M585" t="inlineStr">
        <is>
          <t>1923</t>
        </is>
      </c>
      <c r="O585" t="inlineStr">
        <is>
          <t>eng</t>
        </is>
      </c>
      <c r="P585" t="inlineStr">
        <is>
          <t>nyu</t>
        </is>
      </c>
      <c r="Q585" t="inlineStr">
        <is>
          <t>The European library, ed. by J. E. Springarn</t>
        </is>
      </c>
      <c r="R585" t="inlineStr">
        <is>
          <t xml:space="preserve">BT </t>
        </is>
      </c>
      <c r="S585" t="n">
        <v>2</v>
      </c>
      <c r="T585" t="n">
        <v>2</v>
      </c>
      <c r="U585" t="inlineStr">
        <is>
          <t>1994-02-28</t>
        </is>
      </c>
      <c r="V585" t="inlineStr">
        <is>
          <t>1994-02-28</t>
        </is>
      </c>
      <c r="W585" t="inlineStr">
        <is>
          <t>1991-08-16</t>
        </is>
      </c>
      <c r="X585" t="inlineStr">
        <is>
          <t>1991-08-16</t>
        </is>
      </c>
      <c r="Y585" t="n">
        <v>1044</v>
      </c>
      <c r="Z585" t="n">
        <v>974</v>
      </c>
      <c r="AA585" t="n">
        <v>1105</v>
      </c>
      <c r="AB585" t="n">
        <v>8</v>
      </c>
      <c r="AC585" t="n">
        <v>9</v>
      </c>
      <c r="AD585" t="n">
        <v>41</v>
      </c>
      <c r="AE585" t="n">
        <v>44</v>
      </c>
      <c r="AF585" t="n">
        <v>17</v>
      </c>
      <c r="AG585" t="n">
        <v>18</v>
      </c>
      <c r="AH585" t="n">
        <v>7</v>
      </c>
      <c r="AI585" t="n">
        <v>8</v>
      </c>
      <c r="AJ585" t="n">
        <v>22</v>
      </c>
      <c r="AK585" t="n">
        <v>24</v>
      </c>
      <c r="AL585" t="n">
        <v>5</v>
      </c>
      <c r="AM585" t="n">
        <v>6</v>
      </c>
      <c r="AN585" t="n">
        <v>0</v>
      </c>
      <c r="AO585" t="n">
        <v>0</v>
      </c>
      <c r="AP585" t="inlineStr">
        <is>
          <t>Yes</t>
        </is>
      </c>
      <c r="AQ585" t="inlineStr">
        <is>
          <t>No</t>
        </is>
      </c>
      <c r="AR585">
        <f>HYPERLINK("http://catalog.hathitrust.org/Record/001412194","HathiTrust Record")</f>
        <v/>
      </c>
      <c r="AS585">
        <f>HYPERLINK("https://creighton-primo.hosted.exlibrisgroup.com/primo-explore/search?tab=default_tab&amp;search_scope=EVERYTHING&amp;vid=01CRU&amp;lang=en_US&amp;offset=0&amp;query=any,contains,991002665849702656","Catalog Record")</f>
        <v/>
      </c>
      <c r="AT585">
        <f>HYPERLINK("http://www.worldcat.org/oclc/393140","WorldCat Record")</f>
        <v/>
      </c>
      <c r="AU585" t="inlineStr">
        <is>
          <t>3372420129:eng</t>
        </is>
      </c>
      <c r="AV585" t="inlineStr">
        <is>
          <t>393140</t>
        </is>
      </c>
      <c r="AW585" t="inlineStr">
        <is>
          <t>991002665849702656</t>
        </is>
      </c>
      <c r="AX585" t="inlineStr">
        <is>
          <t>991002665849702656</t>
        </is>
      </c>
      <c r="AY585" t="inlineStr">
        <is>
          <t>2263686590002656</t>
        </is>
      </c>
      <c r="AZ585" t="inlineStr">
        <is>
          <t>BOOK</t>
        </is>
      </c>
      <c r="BC585" t="inlineStr">
        <is>
          <t>32285000713304</t>
        </is>
      </c>
      <c r="BD585" t="inlineStr">
        <is>
          <t>893804867</t>
        </is>
      </c>
    </row>
    <row r="586">
      <c r="A586" t="inlineStr">
        <is>
          <t>No</t>
        </is>
      </c>
      <c r="B586" t="inlineStr">
        <is>
          <t>BT301 .S4 1908</t>
        </is>
      </c>
      <c r="C586" t="inlineStr">
        <is>
          <t>0                      BT 0301000S  4           1908</t>
        </is>
      </c>
      <c r="D586" t="inlineStr">
        <is>
          <t>Christ among men : or, Characteristics of Jesus, as seen in the Gospel / translated by L. M. Ward from 'Jesus' by Abbé Sertillanges.</t>
        </is>
      </c>
      <c r="F586" t="inlineStr">
        <is>
          <t>No</t>
        </is>
      </c>
      <c r="G586" t="inlineStr">
        <is>
          <t>1</t>
        </is>
      </c>
      <c r="H586" t="inlineStr">
        <is>
          <t>No</t>
        </is>
      </c>
      <c r="I586" t="inlineStr">
        <is>
          <t>No</t>
        </is>
      </c>
      <c r="J586" t="inlineStr">
        <is>
          <t>0</t>
        </is>
      </c>
      <c r="K586" t="inlineStr">
        <is>
          <t>Sertillanges, A.-D., 1863-1948.</t>
        </is>
      </c>
      <c r="L586" t="inlineStr">
        <is>
          <t>London : R. &amp; T. Washbourne ; New York : Benziger, 1908.</t>
        </is>
      </c>
      <c r="M586" t="inlineStr">
        <is>
          <t>1908</t>
        </is>
      </c>
      <c r="O586" t="inlineStr">
        <is>
          <t>eng</t>
        </is>
      </c>
      <c r="P586" t="inlineStr">
        <is>
          <t>enk</t>
        </is>
      </c>
      <c r="R586" t="inlineStr">
        <is>
          <t xml:space="preserve">BT </t>
        </is>
      </c>
      <c r="S586" t="n">
        <v>1</v>
      </c>
      <c r="T586" t="n">
        <v>1</v>
      </c>
      <c r="U586" t="inlineStr">
        <is>
          <t>1995-10-11</t>
        </is>
      </c>
      <c r="V586" t="inlineStr">
        <is>
          <t>1995-10-11</t>
        </is>
      </c>
      <c r="W586" t="inlineStr">
        <is>
          <t>1991-08-16</t>
        </is>
      </c>
      <c r="X586" t="inlineStr">
        <is>
          <t>1991-08-16</t>
        </is>
      </c>
      <c r="Y586" t="n">
        <v>21</v>
      </c>
      <c r="Z586" t="n">
        <v>15</v>
      </c>
      <c r="AA586" t="n">
        <v>37</v>
      </c>
      <c r="AB586" t="n">
        <v>1</v>
      </c>
      <c r="AC586" t="n">
        <v>1</v>
      </c>
      <c r="AD586" t="n">
        <v>4</v>
      </c>
      <c r="AE586" t="n">
        <v>4</v>
      </c>
      <c r="AF586" t="n">
        <v>1</v>
      </c>
      <c r="AG586" t="n">
        <v>1</v>
      </c>
      <c r="AH586" t="n">
        <v>0</v>
      </c>
      <c r="AI586" t="n">
        <v>0</v>
      </c>
      <c r="AJ586" t="n">
        <v>4</v>
      </c>
      <c r="AK586" t="n">
        <v>4</v>
      </c>
      <c r="AL586" t="n">
        <v>0</v>
      </c>
      <c r="AM586" t="n">
        <v>0</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HYPERLINK("https://creighton-primo.hosted.exlibrisgroup.com/primo-explore/search?tab=default_tab&amp;search_scope=EVERYTHING&amp;vid=01CRU&amp;lang=en_US&amp;offset=0&amp;query=any,contains,991004829019702656","Catalog Record")</f>
        <v/>
      </c>
      <c r="AT586">
        <f>HYPERLINK("http://www.worldcat.org/oclc/5385431","WorldCat Record")</f>
        <v/>
      </c>
      <c r="AU586" t="inlineStr">
        <is>
          <t>4160571324:eng</t>
        </is>
      </c>
      <c r="AV586" t="inlineStr">
        <is>
          <t>5385431</t>
        </is>
      </c>
      <c r="AW586" t="inlineStr">
        <is>
          <t>991004829019702656</t>
        </is>
      </c>
      <c r="AX586" t="inlineStr">
        <is>
          <t>991004829019702656</t>
        </is>
      </c>
      <c r="AY586" t="inlineStr">
        <is>
          <t>2270895070002656</t>
        </is>
      </c>
      <c r="AZ586" t="inlineStr">
        <is>
          <t>BOOK</t>
        </is>
      </c>
      <c r="BC586" t="inlineStr">
        <is>
          <t>32285000713387</t>
        </is>
      </c>
      <c r="BD586" t="inlineStr">
        <is>
          <t>893795311</t>
        </is>
      </c>
    </row>
    <row r="587">
      <c r="A587" t="inlineStr">
        <is>
          <t>No</t>
        </is>
      </c>
      <c r="B587" t="inlineStr">
        <is>
          <t>BT301 .T28 1955</t>
        </is>
      </c>
      <c r="C587" t="inlineStr">
        <is>
          <t>0                      BT 0301000T  28          1955</t>
        </is>
      </c>
      <c r="D587" t="inlineStr">
        <is>
          <t>The life and ministry of Jesus / by Vincent Taylor.</t>
        </is>
      </c>
      <c r="F587" t="inlineStr">
        <is>
          <t>No</t>
        </is>
      </c>
      <c r="G587" t="inlineStr">
        <is>
          <t>1</t>
        </is>
      </c>
      <c r="H587" t="inlineStr">
        <is>
          <t>No</t>
        </is>
      </c>
      <c r="I587" t="inlineStr">
        <is>
          <t>No</t>
        </is>
      </c>
      <c r="J587" t="inlineStr">
        <is>
          <t>0</t>
        </is>
      </c>
      <c r="K587" t="inlineStr">
        <is>
          <t>Taylor, Vincent, 1887-1968.</t>
        </is>
      </c>
      <c r="L587" t="inlineStr">
        <is>
          <t>Nashville, Abingdon Press [c1955]</t>
        </is>
      </c>
      <c r="M587" t="inlineStr">
        <is>
          <t>1955</t>
        </is>
      </c>
      <c r="O587" t="inlineStr">
        <is>
          <t>eng</t>
        </is>
      </c>
      <c r="P587" t="inlineStr">
        <is>
          <t>tnu</t>
        </is>
      </c>
      <c r="R587" t="inlineStr">
        <is>
          <t xml:space="preserve">BT </t>
        </is>
      </c>
      <c r="S587" t="n">
        <v>7</v>
      </c>
      <c r="T587" t="n">
        <v>7</v>
      </c>
      <c r="U587" t="inlineStr">
        <is>
          <t>2009-03-01</t>
        </is>
      </c>
      <c r="V587" t="inlineStr">
        <is>
          <t>2009-03-01</t>
        </is>
      </c>
      <c r="W587" t="inlineStr">
        <is>
          <t>1991-08-16</t>
        </is>
      </c>
      <c r="X587" t="inlineStr">
        <is>
          <t>1991-08-16</t>
        </is>
      </c>
      <c r="Y587" t="n">
        <v>500</v>
      </c>
      <c r="Z587" t="n">
        <v>481</v>
      </c>
      <c r="AA587" t="n">
        <v>556</v>
      </c>
      <c r="AB587" t="n">
        <v>6</v>
      </c>
      <c r="AC587" t="n">
        <v>6</v>
      </c>
      <c r="AD587" t="n">
        <v>24</v>
      </c>
      <c r="AE587" t="n">
        <v>31</v>
      </c>
      <c r="AF587" t="n">
        <v>8</v>
      </c>
      <c r="AG587" t="n">
        <v>11</v>
      </c>
      <c r="AH587" t="n">
        <v>4</v>
      </c>
      <c r="AI587" t="n">
        <v>5</v>
      </c>
      <c r="AJ587" t="n">
        <v>10</v>
      </c>
      <c r="AK587" t="n">
        <v>16</v>
      </c>
      <c r="AL587" t="n">
        <v>4</v>
      </c>
      <c r="AM587" t="n">
        <v>4</v>
      </c>
      <c r="AN587" t="n">
        <v>0</v>
      </c>
      <c r="AO587" t="n">
        <v>0</v>
      </c>
      <c r="AP587" t="inlineStr">
        <is>
          <t>No</t>
        </is>
      </c>
      <c r="AQ587" t="inlineStr">
        <is>
          <t>No</t>
        </is>
      </c>
      <c r="AR587">
        <f>HYPERLINK("http://catalog.hathitrust.org/Record/006762101","HathiTrust Record")</f>
        <v/>
      </c>
      <c r="AS587">
        <f>HYPERLINK("https://creighton-primo.hosted.exlibrisgroup.com/primo-explore/search?tab=default_tab&amp;search_scope=EVERYTHING&amp;vid=01CRU&amp;lang=en_US&amp;offset=0&amp;query=any,contains,991002990439702656","Catalog Record")</f>
        <v/>
      </c>
      <c r="AT587">
        <f>HYPERLINK("http://www.worldcat.org/oclc/560317","WorldCat Record")</f>
        <v/>
      </c>
      <c r="AU587" t="inlineStr">
        <is>
          <t>1633060:eng</t>
        </is>
      </c>
      <c r="AV587" t="inlineStr">
        <is>
          <t>560317</t>
        </is>
      </c>
      <c r="AW587" t="inlineStr">
        <is>
          <t>991002990439702656</t>
        </is>
      </c>
      <c r="AX587" t="inlineStr">
        <is>
          <t>991002990439702656</t>
        </is>
      </c>
      <c r="AY587" t="inlineStr">
        <is>
          <t>2256706100002656</t>
        </is>
      </c>
      <c r="AZ587" t="inlineStr">
        <is>
          <t>BOOK</t>
        </is>
      </c>
      <c r="BC587" t="inlineStr">
        <is>
          <t>32285000713445</t>
        </is>
      </c>
      <c r="BD587" t="inlineStr">
        <is>
          <t>893440795</t>
        </is>
      </c>
    </row>
    <row r="588">
      <c r="A588" t="inlineStr">
        <is>
          <t>No</t>
        </is>
      </c>
      <c r="B588" t="inlineStr">
        <is>
          <t>BT301 .W476</t>
        </is>
      </c>
      <c r="C588" t="inlineStr">
        <is>
          <t>0                      BT 0301000W  476</t>
        </is>
      </c>
      <c r="D588" t="inlineStr">
        <is>
          <t>The life of Jesus Christ in the land of Israel and among its people / by Dr. Franz Michel Willam; translated and adapted into English from the fourth revised and enlarged German edition; edited by Rev. Newton Thompson, S. T. D.</t>
        </is>
      </c>
      <c r="F588" t="inlineStr">
        <is>
          <t>No</t>
        </is>
      </c>
      <c r="G588" t="inlineStr">
        <is>
          <t>1</t>
        </is>
      </c>
      <c r="H588" t="inlineStr">
        <is>
          <t>No</t>
        </is>
      </c>
      <c r="I588" t="inlineStr">
        <is>
          <t>No</t>
        </is>
      </c>
      <c r="J588" t="inlineStr">
        <is>
          <t>0</t>
        </is>
      </c>
      <c r="K588" t="inlineStr">
        <is>
          <t>Willam, Franz Michel, 1894-</t>
        </is>
      </c>
      <c r="L588" t="inlineStr">
        <is>
          <t>St. Louis, Mo., London, B. Herder book co., 1936.</t>
        </is>
      </c>
      <c r="M588" t="inlineStr">
        <is>
          <t>1936</t>
        </is>
      </c>
      <c r="O588" t="inlineStr">
        <is>
          <t>eng</t>
        </is>
      </c>
      <c r="P588" t="inlineStr">
        <is>
          <t>mou</t>
        </is>
      </c>
      <c r="R588" t="inlineStr">
        <is>
          <t xml:space="preserve">BT </t>
        </is>
      </c>
      <c r="S588" t="n">
        <v>2</v>
      </c>
      <c r="T588" t="n">
        <v>2</v>
      </c>
      <c r="U588" t="inlineStr">
        <is>
          <t>2003-10-30</t>
        </is>
      </c>
      <c r="V588" t="inlineStr">
        <is>
          <t>2003-10-30</t>
        </is>
      </c>
      <c r="W588" t="inlineStr">
        <is>
          <t>1991-08-16</t>
        </is>
      </c>
      <c r="X588" t="inlineStr">
        <is>
          <t>1991-08-16</t>
        </is>
      </c>
      <c r="Y588" t="n">
        <v>131</v>
      </c>
      <c r="Z588" t="n">
        <v>120</v>
      </c>
      <c r="AA588" t="n">
        <v>145</v>
      </c>
      <c r="AB588" t="n">
        <v>3</v>
      </c>
      <c r="AC588" t="n">
        <v>3</v>
      </c>
      <c r="AD588" t="n">
        <v>23</v>
      </c>
      <c r="AE588" t="n">
        <v>26</v>
      </c>
      <c r="AF588" t="n">
        <v>7</v>
      </c>
      <c r="AG588" t="n">
        <v>7</v>
      </c>
      <c r="AH588" t="n">
        <v>6</v>
      </c>
      <c r="AI588" t="n">
        <v>7</v>
      </c>
      <c r="AJ588" t="n">
        <v>19</v>
      </c>
      <c r="AK588" t="n">
        <v>22</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HYPERLINK("https://creighton-primo.hosted.exlibrisgroup.com/primo-explore/search?tab=default_tab&amp;search_scope=EVERYTHING&amp;vid=01CRU&amp;lang=en_US&amp;offset=0&amp;query=any,contains,991003973949702656","Catalog Record")</f>
        <v/>
      </c>
      <c r="AT588">
        <f>HYPERLINK("http://www.worldcat.org/oclc/1996278","WorldCat Record")</f>
        <v/>
      </c>
      <c r="AU588" t="inlineStr">
        <is>
          <t>368644889:eng</t>
        </is>
      </c>
      <c r="AV588" t="inlineStr">
        <is>
          <t>1996278</t>
        </is>
      </c>
      <c r="AW588" t="inlineStr">
        <is>
          <t>991003973949702656</t>
        </is>
      </c>
      <c r="AX588" t="inlineStr">
        <is>
          <t>991003973949702656</t>
        </is>
      </c>
      <c r="AY588" t="inlineStr">
        <is>
          <t>2260680520002656</t>
        </is>
      </c>
      <c r="AZ588" t="inlineStr">
        <is>
          <t>BOOK</t>
        </is>
      </c>
      <c r="BC588" t="inlineStr">
        <is>
          <t>32285000713460</t>
        </is>
      </c>
      <c r="BD588" t="inlineStr">
        <is>
          <t>893618061</t>
        </is>
      </c>
    </row>
    <row r="589">
      <c r="A589" t="inlineStr">
        <is>
          <t>No</t>
        </is>
      </c>
      <c r="B589" t="inlineStr">
        <is>
          <t>BT301.2 .B25 1977</t>
        </is>
      </c>
      <c r="C589" t="inlineStr">
        <is>
          <t>0                      BT 0301200B  25          1977</t>
        </is>
      </c>
      <c r="D589" t="inlineStr">
        <is>
          <t>Jesus of Nazareth / William Barclay ; based on the film directed by Franco Zeffirelli, from the script by Anthony Burgess, Suso Cecchi d'Amico and Franco Zeffirelli ; photographs by Paul Ronald.</t>
        </is>
      </c>
      <c r="F589" t="inlineStr">
        <is>
          <t>No</t>
        </is>
      </c>
      <c r="G589" t="inlineStr">
        <is>
          <t>1</t>
        </is>
      </c>
      <c r="H589" t="inlineStr">
        <is>
          <t>No</t>
        </is>
      </c>
      <c r="I589" t="inlineStr">
        <is>
          <t>No</t>
        </is>
      </c>
      <c r="J589" t="inlineStr">
        <is>
          <t>0</t>
        </is>
      </c>
      <c r="K589" t="inlineStr">
        <is>
          <t>Barclay, William, 1907-1978.</t>
        </is>
      </c>
      <c r="L589" t="inlineStr">
        <is>
          <t>London ; Cleveland : Collins, 1977.</t>
        </is>
      </c>
      <c r="M589" t="inlineStr">
        <is>
          <t>1977</t>
        </is>
      </c>
      <c r="O589" t="inlineStr">
        <is>
          <t>eng</t>
        </is>
      </c>
      <c r="P589" t="inlineStr">
        <is>
          <t>enk</t>
        </is>
      </c>
      <c r="R589" t="inlineStr">
        <is>
          <t xml:space="preserve">BT </t>
        </is>
      </c>
      <c r="S589" t="n">
        <v>4</v>
      </c>
      <c r="T589" t="n">
        <v>4</v>
      </c>
      <c r="U589" t="inlineStr">
        <is>
          <t>2002-02-18</t>
        </is>
      </c>
      <c r="V589" t="inlineStr">
        <is>
          <t>2002-02-18</t>
        </is>
      </c>
      <c r="W589" t="inlineStr">
        <is>
          <t>1990-11-02</t>
        </is>
      </c>
      <c r="X589" t="inlineStr">
        <is>
          <t>1990-11-02</t>
        </is>
      </c>
      <c r="Y589" t="n">
        <v>844</v>
      </c>
      <c r="Z589" t="n">
        <v>734</v>
      </c>
      <c r="AA589" t="n">
        <v>860</v>
      </c>
      <c r="AB589" t="n">
        <v>10</v>
      </c>
      <c r="AC589" t="n">
        <v>12</v>
      </c>
      <c r="AD589" t="n">
        <v>18</v>
      </c>
      <c r="AE589" t="n">
        <v>20</v>
      </c>
      <c r="AF589" t="n">
        <v>7</v>
      </c>
      <c r="AG589" t="n">
        <v>7</v>
      </c>
      <c r="AH589" t="n">
        <v>4</v>
      </c>
      <c r="AI589" t="n">
        <v>4</v>
      </c>
      <c r="AJ589" t="n">
        <v>10</v>
      </c>
      <c r="AK589" t="n">
        <v>11</v>
      </c>
      <c r="AL589" t="n">
        <v>2</v>
      </c>
      <c r="AM589" t="n">
        <v>3</v>
      </c>
      <c r="AN589" t="n">
        <v>0</v>
      </c>
      <c r="AO589" t="n">
        <v>0</v>
      </c>
      <c r="AP589" t="inlineStr">
        <is>
          <t>No</t>
        </is>
      </c>
      <c r="AQ589" t="inlineStr">
        <is>
          <t>Yes</t>
        </is>
      </c>
      <c r="AR589">
        <f>HYPERLINK("http://catalog.hathitrust.org/Record/102038894","HathiTrust Record")</f>
        <v/>
      </c>
      <c r="AS589">
        <f>HYPERLINK("https://creighton-primo.hosted.exlibrisgroup.com/primo-explore/search?tab=default_tab&amp;search_scope=EVERYTHING&amp;vid=01CRU&amp;lang=en_US&amp;offset=0&amp;query=any,contains,991004262839702656","Catalog Record")</f>
        <v/>
      </c>
      <c r="AT589">
        <f>HYPERLINK("http://www.worldcat.org/oclc/2852982","WorldCat Record")</f>
        <v/>
      </c>
      <c r="AU589" t="inlineStr">
        <is>
          <t>9248833062:eng</t>
        </is>
      </c>
      <c r="AV589" t="inlineStr">
        <is>
          <t>2852982</t>
        </is>
      </c>
      <c r="AW589" t="inlineStr">
        <is>
          <t>991004262839702656</t>
        </is>
      </c>
      <c r="AX589" t="inlineStr">
        <is>
          <t>991004262839702656</t>
        </is>
      </c>
      <c r="AY589" t="inlineStr">
        <is>
          <t>2265395450002656</t>
        </is>
      </c>
      <c r="AZ589" t="inlineStr">
        <is>
          <t>BOOK</t>
        </is>
      </c>
      <c r="BB589" t="inlineStr">
        <is>
          <t>9780002506533</t>
        </is>
      </c>
      <c r="BC589" t="inlineStr">
        <is>
          <t>32285000296581</t>
        </is>
      </c>
      <c r="BD589" t="inlineStr">
        <is>
          <t>893318997</t>
        </is>
      </c>
    </row>
    <row r="590">
      <c r="A590" t="inlineStr">
        <is>
          <t>No</t>
        </is>
      </c>
      <c r="B590" t="inlineStr">
        <is>
          <t>BT301.2 .B26 1966</t>
        </is>
      </c>
      <c r="C590" t="inlineStr">
        <is>
          <t>0                      BT 0301200B  26          1966</t>
        </is>
      </c>
      <c r="D590" t="inlineStr">
        <is>
          <t>The life of Jesus for everyman / William Barclay.</t>
        </is>
      </c>
      <c r="F590" t="inlineStr">
        <is>
          <t>No</t>
        </is>
      </c>
      <c r="G590" t="inlineStr">
        <is>
          <t>1</t>
        </is>
      </c>
      <c r="H590" t="inlineStr">
        <is>
          <t>No</t>
        </is>
      </c>
      <c r="I590" t="inlineStr">
        <is>
          <t>No</t>
        </is>
      </c>
      <c r="J590" t="inlineStr">
        <is>
          <t>0</t>
        </is>
      </c>
      <c r="K590" t="inlineStr">
        <is>
          <t>Barclay, William, 1907-1978.</t>
        </is>
      </c>
      <c r="L590" t="inlineStr">
        <is>
          <t>New York : Harper &amp; Row, [1966, c1965]</t>
        </is>
      </c>
      <c r="M590" t="inlineStr">
        <is>
          <t>1966</t>
        </is>
      </c>
      <c r="O590" t="inlineStr">
        <is>
          <t>eng</t>
        </is>
      </c>
      <c r="P590" t="inlineStr">
        <is>
          <t>nyu</t>
        </is>
      </c>
      <c r="R590" t="inlineStr">
        <is>
          <t xml:space="preserve">BT </t>
        </is>
      </c>
      <c r="S590" t="n">
        <v>1</v>
      </c>
      <c r="T590" t="n">
        <v>1</v>
      </c>
      <c r="U590" t="inlineStr">
        <is>
          <t>2010-07-01</t>
        </is>
      </c>
      <c r="V590" t="inlineStr">
        <is>
          <t>2010-07-01</t>
        </is>
      </c>
      <c r="W590" t="inlineStr">
        <is>
          <t>2010-07-01</t>
        </is>
      </c>
      <c r="X590" t="inlineStr">
        <is>
          <t>2010-07-01</t>
        </is>
      </c>
      <c r="Y590" t="n">
        <v>150</v>
      </c>
      <c r="Z590" t="n">
        <v>143</v>
      </c>
      <c r="AA590" t="n">
        <v>180</v>
      </c>
      <c r="AB590" t="n">
        <v>1</v>
      </c>
      <c r="AC590" t="n">
        <v>2</v>
      </c>
      <c r="AD590" t="n">
        <v>4</v>
      </c>
      <c r="AE590" t="n">
        <v>5</v>
      </c>
      <c r="AF590" t="n">
        <v>3</v>
      </c>
      <c r="AG590" t="n">
        <v>4</v>
      </c>
      <c r="AH590" t="n">
        <v>1</v>
      </c>
      <c r="AI590" t="n">
        <v>1</v>
      </c>
      <c r="AJ590" t="n">
        <v>2</v>
      </c>
      <c r="AK590" t="n">
        <v>3</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HYPERLINK("https://creighton-primo.hosted.exlibrisgroup.com/primo-explore/search?tab=default_tab&amp;search_scope=EVERYTHING&amp;vid=01CRU&amp;lang=en_US&amp;offset=0&amp;query=any,contains,991000017689702656","Catalog Record")</f>
        <v/>
      </c>
      <c r="AT590">
        <f>HYPERLINK("http://www.worldcat.org/oclc/2950667","WorldCat Record")</f>
        <v/>
      </c>
      <c r="AU590" t="inlineStr">
        <is>
          <t>5476150:eng</t>
        </is>
      </c>
      <c r="AV590" t="inlineStr">
        <is>
          <t>2950667</t>
        </is>
      </c>
      <c r="AW590" t="inlineStr">
        <is>
          <t>991000017689702656</t>
        </is>
      </c>
      <c r="AX590" t="inlineStr">
        <is>
          <t>991000017689702656</t>
        </is>
      </c>
      <c r="AY590" t="inlineStr">
        <is>
          <t>2269739570002656</t>
        </is>
      </c>
      <c r="AZ590" t="inlineStr">
        <is>
          <t>BOOK</t>
        </is>
      </c>
      <c r="BB590" t="inlineStr">
        <is>
          <t>9780060604042</t>
        </is>
      </c>
      <c r="BC590" t="inlineStr">
        <is>
          <t>32285005589493</t>
        </is>
      </c>
      <c r="BD590" t="inlineStr">
        <is>
          <t>893261332</t>
        </is>
      </c>
    </row>
    <row r="591">
      <c r="A591" t="inlineStr">
        <is>
          <t>No</t>
        </is>
      </c>
      <c r="B591" t="inlineStr">
        <is>
          <t>BT301.2 .B47</t>
        </is>
      </c>
      <c r="C591" t="inlineStr">
        <is>
          <t>0                      BT 0301200B  47</t>
        </is>
      </c>
      <c r="D591" t="inlineStr">
        <is>
          <t>The mystery of Jesus / Pierre R. Bernard.</t>
        </is>
      </c>
      <c r="E591" t="inlineStr">
        <is>
          <t>V.1</t>
        </is>
      </c>
      <c r="F591" t="inlineStr">
        <is>
          <t>Yes</t>
        </is>
      </c>
      <c r="G591" t="inlineStr">
        <is>
          <t>1</t>
        </is>
      </c>
      <c r="H591" t="inlineStr">
        <is>
          <t>No</t>
        </is>
      </c>
      <c r="I591" t="inlineStr">
        <is>
          <t>No</t>
        </is>
      </c>
      <c r="J591" t="inlineStr">
        <is>
          <t>0</t>
        </is>
      </c>
      <c r="K591" t="inlineStr">
        <is>
          <t>Bernard, Pierre R.</t>
        </is>
      </c>
      <c r="L591" t="inlineStr">
        <is>
          <t>Staten Island, N.Y., Alba House, [1966]</t>
        </is>
      </c>
      <c r="M591" t="inlineStr">
        <is>
          <t>1966</t>
        </is>
      </c>
      <c r="O591" t="inlineStr">
        <is>
          <t>eng</t>
        </is>
      </c>
      <c r="P591" t="inlineStr">
        <is>
          <t>___</t>
        </is>
      </c>
      <c r="R591" t="inlineStr">
        <is>
          <t xml:space="preserve">BT </t>
        </is>
      </c>
      <c r="S591" t="n">
        <v>0</v>
      </c>
      <c r="T591" t="n">
        <v>1</v>
      </c>
      <c r="V591" t="inlineStr">
        <is>
          <t>2000-09-22</t>
        </is>
      </c>
      <c r="W591" t="inlineStr">
        <is>
          <t>1991-08-16</t>
        </is>
      </c>
      <c r="X591" t="inlineStr">
        <is>
          <t>1991-08-16</t>
        </is>
      </c>
      <c r="Y591" t="n">
        <v>207</v>
      </c>
      <c r="Z591" t="n">
        <v>183</v>
      </c>
      <c r="AA591" t="n">
        <v>189</v>
      </c>
      <c r="AB591" t="n">
        <v>2</v>
      </c>
      <c r="AC591" t="n">
        <v>2</v>
      </c>
      <c r="AD591" t="n">
        <v>30</v>
      </c>
      <c r="AE591" t="n">
        <v>30</v>
      </c>
      <c r="AF591" t="n">
        <v>11</v>
      </c>
      <c r="AG591" t="n">
        <v>11</v>
      </c>
      <c r="AH591" t="n">
        <v>9</v>
      </c>
      <c r="AI591" t="n">
        <v>9</v>
      </c>
      <c r="AJ591" t="n">
        <v>22</v>
      </c>
      <c r="AK591" t="n">
        <v>22</v>
      </c>
      <c r="AL591" t="n">
        <v>0</v>
      </c>
      <c r="AM591" t="n">
        <v>0</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HYPERLINK("https://creighton-primo.hosted.exlibrisgroup.com/primo-explore/search?tab=default_tab&amp;search_scope=EVERYTHING&amp;vid=01CRU&amp;lang=en_US&amp;offset=0&amp;query=any,contains,991002643879702656","Catalog Record")</f>
        <v/>
      </c>
      <c r="AT591">
        <f>HYPERLINK("http://www.worldcat.org/oclc/385136","WorldCat Record")</f>
        <v/>
      </c>
      <c r="AU591" t="inlineStr">
        <is>
          <t>3373438076:eng</t>
        </is>
      </c>
      <c r="AV591" t="inlineStr">
        <is>
          <t>385136</t>
        </is>
      </c>
      <c r="AW591" t="inlineStr">
        <is>
          <t>991002643879702656</t>
        </is>
      </c>
      <c r="AX591" t="inlineStr">
        <is>
          <t>991002643879702656</t>
        </is>
      </c>
      <c r="AY591" t="inlineStr">
        <is>
          <t>2258868540002656</t>
        </is>
      </c>
      <c r="AZ591" t="inlineStr">
        <is>
          <t>BOOK</t>
        </is>
      </c>
      <c r="BC591" t="inlineStr">
        <is>
          <t>32285000713486</t>
        </is>
      </c>
      <c r="BD591" t="inlineStr">
        <is>
          <t>893716711</t>
        </is>
      </c>
    </row>
    <row r="592">
      <c r="A592" t="inlineStr">
        <is>
          <t>No</t>
        </is>
      </c>
      <c r="B592" t="inlineStr">
        <is>
          <t>BT301.2 .B47</t>
        </is>
      </c>
      <c r="C592" t="inlineStr">
        <is>
          <t>0                      BT 0301200B  47</t>
        </is>
      </c>
      <c r="D592" t="inlineStr">
        <is>
          <t>The mystery of Jesus / Pierre R. Bernard.</t>
        </is>
      </c>
      <c r="E592" t="inlineStr">
        <is>
          <t>V.2</t>
        </is>
      </c>
      <c r="F592" t="inlineStr">
        <is>
          <t>Yes</t>
        </is>
      </c>
      <c r="G592" t="inlineStr">
        <is>
          <t>1</t>
        </is>
      </c>
      <c r="H592" t="inlineStr">
        <is>
          <t>No</t>
        </is>
      </c>
      <c r="I592" t="inlineStr">
        <is>
          <t>No</t>
        </is>
      </c>
      <c r="J592" t="inlineStr">
        <is>
          <t>0</t>
        </is>
      </c>
      <c r="K592" t="inlineStr">
        <is>
          <t>Bernard, Pierre R.</t>
        </is>
      </c>
      <c r="L592" t="inlineStr">
        <is>
          <t>Staten Island, N.Y., Alba House, [1966]</t>
        </is>
      </c>
      <c r="M592" t="inlineStr">
        <is>
          <t>1966</t>
        </is>
      </c>
      <c r="O592" t="inlineStr">
        <is>
          <t>eng</t>
        </is>
      </c>
      <c r="P592" t="inlineStr">
        <is>
          <t>___</t>
        </is>
      </c>
      <c r="R592" t="inlineStr">
        <is>
          <t xml:space="preserve">BT </t>
        </is>
      </c>
      <c r="S592" t="n">
        <v>1</v>
      </c>
      <c r="T592" t="n">
        <v>1</v>
      </c>
      <c r="U592" t="inlineStr">
        <is>
          <t>2000-09-22</t>
        </is>
      </c>
      <c r="V592" t="inlineStr">
        <is>
          <t>2000-09-22</t>
        </is>
      </c>
      <c r="W592" t="inlineStr">
        <is>
          <t>1991-08-16</t>
        </is>
      </c>
      <c r="X592" t="inlineStr">
        <is>
          <t>1991-08-16</t>
        </is>
      </c>
      <c r="Y592" t="n">
        <v>207</v>
      </c>
      <c r="Z592" t="n">
        <v>183</v>
      </c>
      <c r="AA592" t="n">
        <v>189</v>
      </c>
      <c r="AB592" t="n">
        <v>2</v>
      </c>
      <c r="AC592" t="n">
        <v>2</v>
      </c>
      <c r="AD592" t="n">
        <v>30</v>
      </c>
      <c r="AE592" t="n">
        <v>30</v>
      </c>
      <c r="AF592" t="n">
        <v>11</v>
      </c>
      <c r="AG592" t="n">
        <v>11</v>
      </c>
      <c r="AH592" t="n">
        <v>9</v>
      </c>
      <c r="AI592" t="n">
        <v>9</v>
      </c>
      <c r="AJ592" t="n">
        <v>22</v>
      </c>
      <c r="AK592" t="n">
        <v>22</v>
      </c>
      <c r="AL592" t="n">
        <v>0</v>
      </c>
      <c r="AM592" t="n">
        <v>0</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HYPERLINK("https://creighton-primo.hosted.exlibrisgroup.com/primo-explore/search?tab=default_tab&amp;search_scope=EVERYTHING&amp;vid=01CRU&amp;lang=en_US&amp;offset=0&amp;query=any,contains,991002643879702656","Catalog Record")</f>
        <v/>
      </c>
      <c r="AT592">
        <f>HYPERLINK("http://www.worldcat.org/oclc/385136","WorldCat Record")</f>
        <v/>
      </c>
      <c r="AU592" t="inlineStr">
        <is>
          <t>3373438076:eng</t>
        </is>
      </c>
      <c r="AV592" t="inlineStr">
        <is>
          <t>385136</t>
        </is>
      </c>
      <c r="AW592" t="inlineStr">
        <is>
          <t>991002643879702656</t>
        </is>
      </c>
      <c r="AX592" t="inlineStr">
        <is>
          <t>991002643879702656</t>
        </is>
      </c>
      <c r="AY592" t="inlineStr">
        <is>
          <t>2258868540002656</t>
        </is>
      </c>
      <c r="AZ592" t="inlineStr">
        <is>
          <t>BOOK</t>
        </is>
      </c>
      <c r="BC592" t="inlineStr">
        <is>
          <t>32285000713494</t>
        </is>
      </c>
      <c r="BD592" t="inlineStr">
        <is>
          <t>893721551</t>
        </is>
      </c>
    </row>
    <row r="593">
      <c r="A593" t="inlineStr">
        <is>
          <t>No</t>
        </is>
      </c>
      <c r="B593" t="inlineStr">
        <is>
          <t>BT301.2 .B67</t>
        </is>
      </c>
      <c r="C593" t="inlineStr">
        <is>
          <t>0                      BT 0301200B  67</t>
        </is>
      </c>
      <c r="D593" t="inlineStr">
        <is>
          <t>Jesus of Nazareth / by Günther Bornkamm. Translated by Irene and Fraser McLuskey with James M. Robinson.</t>
        </is>
      </c>
      <c r="F593" t="inlineStr">
        <is>
          <t>No</t>
        </is>
      </c>
      <c r="G593" t="inlineStr">
        <is>
          <t>1</t>
        </is>
      </c>
      <c r="H593" t="inlineStr">
        <is>
          <t>No</t>
        </is>
      </c>
      <c r="I593" t="inlineStr">
        <is>
          <t>No</t>
        </is>
      </c>
      <c r="J593" t="inlineStr">
        <is>
          <t>0</t>
        </is>
      </c>
      <c r="K593" t="inlineStr">
        <is>
          <t>Bornkamm, Günther.</t>
        </is>
      </c>
      <c r="L593" t="inlineStr">
        <is>
          <t>New York, Harper [1960]</t>
        </is>
      </c>
      <c r="M593" t="inlineStr">
        <is>
          <t>1960</t>
        </is>
      </c>
      <c r="O593" t="inlineStr">
        <is>
          <t>eng</t>
        </is>
      </c>
      <c r="P593" t="inlineStr">
        <is>
          <t>nyu</t>
        </is>
      </c>
      <c r="R593" t="inlineStr">
        <is>
          <t xml:space="preserve">BT </t>
        </is>
      </c>
      <c r="S593" t="n">
        <v>7</v>
      </c>
      <c r="T593" t="n">
        <v>7</v>
      </c>
      <c r="U593" t="inlineStr">
        <is>
          <t>2009-03-18</t>
        </is>
      </c>
      <c r="V593" t="inlineStr">
        <is>
          <t>2009-03-18</t>
        </is>
      </c>
      <c r="W593" t="inlineStr">
        <is>
          <t>1991-08-16</t>
        </is>
      </c>
      <c r="X593" t="inlineStr">
        <is>
          <t>1991-08-16</t>
        </is>
      </c>
      <c r="Y593" t="n">
        <v>1185</v>
      </c>
      <c r="Z593" t="n">
        <v>1112</v>
      </c>
      <c r="AA593" t="n">
        <v>1268</v>
      </c>
      <c r="AB593" t="n">
        <v>11</v>
      </c>
      <c r="AC593" t="n">
        <v>15</v>
      </c>
      <c r="AD593" t="n">
        <v>52</v>
      </c>
      <c r="AE593" t="n">
        <v>59</v>
      </c>
      <c r="AF593" t="n">
        <v>21</v>
      </c>
      <c r="AG593" t="n">
        <v>25</v>
      </c>
      <c r="AH593" t="n">
        <v>9</v>
      </c>
      <c r="AI593" t="n">
        <v>9</v>
      </c>
      <c r="AJ593" t="n">
        <v>27</v>
      </c>
      <c r="AK593" t="n">
        <v>28</v>
      </c>
      <c r="AL593" t="n">
        <v>8</v>
      </c>
      <c r="AM593" t="n">
        <v>11</v>
      </c>
      <c r="AN593" t="n">
        <v>0</v>
      </c>
      <c r="AO593" t="n">
        <v>0</v>
      </c>
      <c r="AP593" t="inlineStr">
        <is>
          <t>No</t>
        </is>
      </c>
      <c r="AQ593" t="inlineStr">
        <is>
          <t>Yes</t>
        </is>
      </c>
      <c r="AR593">
        <f>HYPERLINK("http://catalog.hathitrust.org/Record/001412208","HathiTrust Record")</f>
        <v/>
      </c>
      <c r="AS593">
        <f>HYPERLINK("https://creighton-primo.hosted.exlibrisgroup.com/primo-explore/search?tab=default_tab&amp;search_scope=EVERYTHING&amp;vid=01CRU&amp;lang=en_US&amp;offset=0&amp;query=any,contains,991002298679702656","Catalog Record")</f>
        <v/>
      </c>
      <c r="AT593">
        <f>HYPERLINK("http://www.worldcat.org/oclc/316834","WorldCat Record")</f>
        <v/>
      </c>
      <c r="AU593" t="inlineStr">
        <is>
          <t>403689:eng</t>
        </is>
      </c>
      <c r="AV593" t="inlineStr">
        <is>
          <t>316834</t>
        </is>
      </c>
      <c r="AW593" t="inlineStr">
        <is>
          <t>991002298679702656</t>
        </is>
      </c>
      <c r="AX593" t="inlineStr">
        <is>
          <t>991002298679702656</t>
        </is>
      </c>
      <c r="AY593" t="inlineStr">
        <is>
          <t>2269389500002656</t>
        </is>
      </c>
      <c r="AZ593" t="inlineStr">
        <is>
          <t>BOOK</t>
        </is>
      </c>
      <c r="BC593" t="inlineStr">
        <is>
          <t>32285000713502</t>
        </is>
      </c>
      <c r="BD593" t="inlineStr">
        <is>
          <t>893534948</t>
        </is>
      </c>
    </row>
    <row r="594">
      <c r="A594" t="inlineStr">
        <is>
          <t>No</t>
        </is>
      </c>
      <c r="B594" t="inlineStr">
        <is>
          <t>BT301.2 .B6963</t>
        </is>
      </c>
      <c r="C594" t="inlineStr">
        <is>
          <t>0                      BT 0301200B  6963</t>
        </is>
      </c>
      <c r="D594" t="inlineStr">
        <is>
          <t>The history of Jesus Christ / by R.L. Bruckberger. Pref. by Eugène Cardinal Tisserant. Translated from the French by Denver Lindley.</t>
        </is>
      </c>
      <c r="F594" t="inlineStr">
        <is>
          <t>No</t>
        </is>
      </c>
      <c r="G594" t="inlineStr">
        <is>
          <t>1</t>
        </is>
      </c>
      <c r="H594" t="inlineStr">
        <is>
          <t>No</t>
        </is>
      </c>
      <c r="I594" t="inlineStr">
        <is>
          <t>No</t>
        </is>
      </c>
      <c r="J594" t="inlineStr">
        <is>
          <t>0</t>
        </is>
      </c>
      <c r="K594" t="inlineStr">
        <is>
          <t>Bruckberger, R.-L. (Raymond-Léopold), 1907-1998.</t>
        </is>
      </c>
      <c r="L594" t="inlineStr">
        <is>
          <t>New York, Viking Press [1965]</t>
        </is>
      </c>
      <c r="M594" t="inlineStr">
        <is>
          <t>1965</t>
        </is>
      </c>
      <c r="O594" t="inlineStr">
        <is>
          <t>eng</t>
        </is>
      </c>
      <c r="P594" t="inlineStr">
        <is>
          <t>nyu</t>
        </is>
      </c>
      <c r="R594" t="inlineStr">
        <is>
          <t xml:space="preserve">BT </t>
        </is>
      </c>
      <c r="S594" t="n">
        <v>9</v>
      </c>
      <c r="T594" t="n">
        <v>9</v>
      </c>
      <c r="U594" t="inlineStr">
        <is>
          <t>2000-09-17</t>
        </is>
      </c>
      <c r="V594" t="inlineStr">
        <is>
          <t>2000-09-17</t>
        </is>
      </c>
      <c r="W594" t="inlineStr">
        <is>
          <t>1991-08-16</t>
        </is>
      </c>
      <c r="X594" t="inlineStr">
        <is>
          <t>1991-08-16</t>
        </is>
      </c>
      <c r="Y594" t="n">
        <v>585</v>
      </c>
      <c r="Z594" t="n">
        <v>551</v>
      </c>
      <c r="AA594" t="n">
        <v>552</v>
      </c>
      <c r="AB594" t="n">
        <v>4</v>
      </c>
      <c r="AC594" t="n">
        <v>4</v>
      </c>
      <c r="AD594" t="n">
        <v>29</v>
      </c>
      <c r="AE594" t="n">
        <v>29</v>
      </c>
      <c r="AF594" t="n">
        <v>9</v>
      </c>
      <c r="AG594" t="n">
        <v>9</v>
      </c>
      <c r="AH594" t="n">
        <v>6</v>
      </c>
      <c r="AI594" t="n">
        <v>6</v>
      </c>
      <c r="AJ594" t="n">
        <v>22</v>
      </c>
      <c r="AK594" t="n">
        <v>22</v>
      </c>
      <c r="AL594" t="n">
        <v>2</v>
      </c>
      <c r="AM594" t="n">
        <v>2</v>
      </c>
      <c r="AN594" t="n">
        <v>0</v>
      </c>
      <c r="AO594" t="n">
        <v>0</v>
      </c>
      <c r="AP594" t="inlineStr">
        <is>
          <t>No</t>
        </is>
      </c>
      <c r="AQ594" t="inlineStr">
        <is>
          <t>Yes</t>
        </is>
      </c>
      <c r="AR594">
        <f>HYPERLINK("http://catalog.hathitrust.org/Record/007117965","HathiTrust Record")</f>
        <v/>
      </c>
      <c r="AS594">
        <f>HYPERLINK("https://creighton-primo.hosted.exlibrisgroup.com/primo-explore/search?tab=default_tab&amp;search_scope=EVERYTHING&amp;vid=01CRU&amp;lang=en_US&amp;offset=0&amp;query=any,contains,991003630189702656","Catalog Record")</f>
        <v/>
      </c>
      <c r="AT594">
        <f>HYPERLINK("http://www.worldcat.org/oclc/1221920","WorldCat Record")</f>
        <v/>
      </c>
      <c r="AU594" t="inlineStr">
        <is>
          <t>350539737:eng</t>
        </is>
      </c>
      <c r="AV594" t="inlineStr">
        <is>
          <t>1221920</t>
        </is>
      </c>
      <c r="AW594" t="inlineStr">
        <is>
          <t>991003630189702656</t>
        </is>
      </c>
      <c r="AX594" t="inlineStr">
        <is>
          <t>991003630189702656</t>
        </is>
      </c>
      <c r="AY594" t="inlineStr">
        <is>
          <t>2260525940002656</t>
        </is>
      </c>
      <c r="AZ594" t="inlineStr">
        <is>
          <t>BOOK</t>
        </is>
      </c>
      <c r="BC594" t="inlineStr">
        <is>
          <t>32285000713510</t>
        </is>
      </c>
      <c r="BD594" t="inlineStr">
        <is>
          <t>893234381</t>
        </is>
      </c>
    </row>
    <row r="595">
      <c r="A595" t="inlineStr">
        <is>
          <t>No</t>
        </is>
      </c>
      <c r="B595" t="inlineStr">
        <is>
          <t>BT301.2 .F45</t>
        </is>
      </c>
      <c r="C595" t="inlineStr">
        <is>
          <t>0                      BT 0301200F  45</t>
        </is>
      </c>
      <c r="D595" t="inlineStr">
        <is>
          <t>Jesus of Nazareth / Hilarin Felder. Translated by Berchmans Bittle.</t>
        </is>
      </c>
      <c r="F595" t="inlineStr">
        <is>
          <t>No</t>
        </is>
      </c>
      <c r="G595" t="inlineStr">
        <is>
          <t>1</t>
        </is>
      </c>
      <c r="H595" t="inlineStr">
        <is>
          <t>No</t>
        </is>
      </c>
      <c r="I595" t="inlineStr">
        <is>
          <t>No</t>
        </is>
      </c>
      <c r="J595" t="inlineStr">
        <is>
          <t>0</t>
        </is>
      </c>
      <c r="K595" t="inlineStr">
        <is>
          <t>Felder, Hilarin, 1867-1951.</t>
        </is>
      </c>
      <c r="L595" t="inlineStr">
        <is>
          <t>Milwaukee, Bruce Pub. Co. [1953]</t>
        </is>
      </c>
      <c r="M595" t="inlineStr">
        <is>
          <t>1953</t>
        </is>
      </c>
      <c r="O595" t="inlineStr">
        <is>
          <t>eng</t>
        </is>
      </c>
      <c r="P595" t="inlineStr">
        <is>
          <t>wiu</t>
        </is>
      </c>
      <c r="R595" t="inlineStr">
        <is>
          <t xml:space="preserve">BT </t>
        </is>
      </c>
      <c r="S595" t="n">
        <v>5</v>
      </c>
      <c r="T595" t="n">
        <v>5</v>
      </c>
      <c r="U595" t="inlineStr">
        <is>
          <t>2000-09-10</t>
        </is>
      </c>
      <c r="V595" t="inlineStr">
        <is>
          <t>2000-09-10</t>
        </is>
      </c>
      <c r="W595" t="inlineStr">
        <is>
          <t>1991-08-16</t>
        </is>
      </c>
      <c r="X595" t="inlineStr">
        <is>
          <t>1991-08-16</t>
        </is>
      </c>
      <c r="Y595" t="n">
        <v>143</v>
      </c>
      <c r="Z595" t="n">
        <v>125</v>
      </c>
      <c r="AA595" t="n">
        <v>130</v>
      </c>
      <c r="AB595" t="n">
        <v>3</v>
      </c>
      <c r="AC595" t="n">
        <v>3</v>
      </c>
      <c r="AD595" t="n">
        <v>21</v>
      </c>
      <c r="AE595" t="n">
        <v>21</v>
      </c>
      <c r="AF595" t="n">
        <v>4</v>
      </c>
      <c r="AG595" t="n">
        <v>4</v>
      </c>
      <c r="AH595" t="n">
        <v>5</v>
      </c>
      <c r="AI595" t="n">
        <v>5</v>
      </c>
      <c r="AJ595" t="n">
        <v>19</v>
      </c>
      <c r="AK595" t="n">
        <v>19</v>
      </c>
      <c r="AL595" t="n">
        <v>0</v>
      </c>
      <c r="AM595" t="n">
        <v>0</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HYPERLINK("https://creighton-primo.hosted.exlibrisgroup.com/primo-explore/search?tab=default_tab&amp;search_scope=EVERYTHING&amp;vid=01CRU&amp;lang=en_US&amp;offset=0&amp;query=any,contains,991003132739702656","Catalog Record")</f>
        <v/>
      </c>
      <c r="AT595">
        <f>HYPERLINK("http://www.worldcat.org/oclc/675454","WorldCat Record")</f>
        <v/>
      </c>
      <c r="AU595" t="inlineStr">
        <is>
          <t>4160540457:eng</t>
        </is>
      </c>
      <c r="AV595" t="inlineStr">
        <is>
          <t>675454</t>
        </is>
      </c>
      <c r="AW595" t="inlineStr">
        <is>
          <t>991003132739702656</t>
        </is>
      </c>
      <c r="AX595" t="inlineStr">
        <is>
          <t>991003132739702656</t>
        </is>
      </c>
      <c r="AY595" t="inlineStr">
        <is>
          <t>2267359920002656</t>
        </is>
      </c>
      <c r="AZ595" t="inlineStr">
        <is>
          <t>BOOK</t>
        </is>
      </c>
      <c r="BC595" t="inlineStr">
        <is>
          <t>32285000713544</t>
        </is>
      </c>
      <c r="BD595" t="inlineStr">
        <is>
          <t>893598297</t>
        </is>
      </c>
    </row>
    <row r="596">
      <c r="A596" t="inlineStr">
        <is>
          <t>No</t>
        </is>
      </c>
      <c r="B596" t="inlineStr">
        <is>
          <t>BT301.2 .F57</t>
        </is>
      </c>
      <c r="C596" t="inlineStr">
        <is>
          <t>0                      BT 0301200F  57</t>
        </is>
      </c>
      <c r="D596" t="inlineStr">
        <is>
          <t>Jesus and his contemporaries / by Edmund Flood.</t>
        </is>
      </c>
      <c r="F596" t="inlineStr">
        <is>
          <t>No</t>
        </is>
      </c>
      <c r="G596" t="inlineStr">
        <is>
          <t>1</t>
        </is>
      </c>
      <c r="H596" t="inlineStr">
        <is>
          <t>No</t>
        </is>
      </c>
      <c r="I596" t="inlineStr">
        <is>
          <t>No</t>
        </is>
      </c>
      <c r="J596" t="inlineStr">
        <is>
          <t>0</t>
        </is>
      </c>
      <c r="K596" t="inlineStr">
        <is>
          <t>Flood, Edmund.</t>
        </is>
      </c>
      <c r="L596" t="inlineStr">
        <is>
          <t>Glen Rock, N.J., Paulist Press [1968]</t>
        </is>
      </c>
      <c r="M596" t="inlineStr">
        <is>
          <t>1968</t>
        </is>
      </c>
      <c r="O596" t="inlineStr">
        <is>
          <t>eng</t>
        </is>
      </c>
      <c r="P596" t="inlineStr">
        <is>
          <t>nju</t>
        </is>
      </c>
      <c r="Q596" t="inlineStr">
        <is>
          <t>Deus books</t>
        </is>
      </c>
      <c r="R596" t="inlineStr">
        <is>
          <t xml:space="preserve">BT </t>
        </is>
      </c>
      <c r="S596" t="n">
        <v>6</v>
      </c>
      <c r="T596" t="n">
        <v>6</v>
      </c>
      <c r="U596" t="inlineStr">
        <is>
          <t>2001-09-26</t>
        </is>
      </c>
      <c r="V596" t="inlineStr">
        <is>
          <t>2001-09-26</t>
        </is>
      </c>
      <c r="W596" t="inlineStr">
        <is>
          <t>1991-08-16</t>
        </is>
      </c>
      <c r="X596" t="inlineStr">
        <is>
          <t>1991-08-16</t>
        </is>
      </c>
      <c r="Y596" t="n">
        <v>93</v>
      </c>
      <c r="Z596" t="n">
        <v>81</v>
      </c>
      <c r="AA596" t="n">
        <v>81</v>
      </c>
      <c r="AB596" t="n">
        <v>2</v>
      </c>
      <c r="AC596" t="n">
        <v>2</v>
      </c>
      <c r="AD596" t="n">
        <v>15</v>
      </c>
      <c r="AE596" t="n">
        <v>15</v>
      </c>
      <c r="AF596" t="n">
        <v>5</v>
      </c>
      <c r="AG596" t="n">
        <v>5</v>
      </c>
      <c r="AH596" t="n">
        <v>3</v>
      </c>
      <c r="AI596" t="n">
        <v>3</v>
      </c>
      <c r="AJ596" t="n">
        <v>9</v>
      </c>
      <c r="AK596" t="n">
        <v>9</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HYPERLINK("https://creighton-primo.hosted.exlibrisgroup.com/primo-explore/search?tab=default_tab&amp;search_scope=EVERYTHING&amp;vid=01CRU&amp;lang=en_US&amp;offset=0&amp;query=any,contains,991002808289702656","Catalog Record")</f>
        <v/>
      </c>
      <c r="AT596">
        <f>HYPERLINK("http://www.worldcat.org/oclc/451422","WorldCat Record")</f>
        <v/>
      </c>
      <c r="AU596" t="inlineStr">
        <is>
          <t>3769037166:eng</t>
        </is>
      </c>
      <c r="AV596" t="inlineStr">
        <is>
          <t>451422</t>
        </is>
      </c>
      <c r="AW596" t="inlineStr">
        <is>
          <t>991002808289702656</t>
        </is>
      </c>
      <c r="AX596" t="inlineStr">
        <is>
          <t>991002808289702656</t>
        </is>
      </c>
      <c r="AY596" t="inlineStr">
        <is>
          <t>2261149080002656</t>
        </is>
      </c>
      <c r="AZ596" t="inlineStr">
        <is>
          <t>BOOK</t>
        </is>
      </c>
      <c r="BC596" t="inlineStr">
        <is>
          <t>32285000713551</t>
        </is>
      </c>
      <c r="BD596" t="inlineStr">
        <is>
          <t>893604062</t>
        </is>
      </c>
    </row>
    <row r="597">
      <c r="A597" t="inlineStr">
        <is>
          <t>No</t>
        </is>
      </c>
      <c r="B597" t="inlineStr">
        <is>
          <t>BT301.2 .G64 1986</t>
        </is>
      </c>
      <c r="C597" t="inlineStr">
        <is>
          <t>0                      BT 0301200G  64          1986</t>
        </is>
      </c>
      <c r="D597" t="inlineStr">
        <is>
          <t>The mission and ministry of Jesus / Donald Goergen.</t>
        </is>
      </c>
      <c r="F597" t="inlineStr">
        <is>
          <t>No</t>
        </is>
      </c>
      <c r="G597" t="inlineStr">
        <is>
          <t>1</t>
        </is>
      </c>
      <c r="H597" t="inlineStr">
        <is>
          <t>No</t>
        </is>
      </c>
      <c r="I597" t="inlineStr">
        <is>
          <t>No</t>
        </is>
      </c>
      <c r="J597" t="inlineStr">
        <is>
          <t>0</t>
        </is>
      </c>
      <c r="K597" t="inlineStr">
        <is>
          <t>Goergen, Donald.</t>
        </is>
      </c>
      <c r="L597" t="inlineStr">
        <is>
          <t>Wilmington, Del. : M. Glazier, c1986.</t>
        </is>
      </c>
      <c r="M597" t="inlineStr">
        <is>
          <t>1986</t>
        </is>
      </c>
      <c r="O597" t="inlineStr">
        <is>
          <t>eng</t>
        </is>
      </c>
      <c r="P597" t="inlineStr">
        <is>
          <t>deu</t>
        </is>
      </c>
      <c r="Q597" t="inlineStr">
        <is>
          <t>A theology of Jesus ; v. 1</t>
        </is>
      </c>
      <c r="R597" t="inlineStr">
        <is>
          <t xml:space="preserve">BT </t>
        </is>
      </c>
      <c r="S597" t="n">
        <v>9</v>
      </c>
      <c r="T597" t="n">
        <v>9</v>
      </c>
      <c r="U597" t="inlineStr">
        <is>
          <t>2001-07-25</t>
        </is>
      </c>
      <c r="V597" t="inlineStr">
        <is>
          <t>2001-07-25</t>
        </is>
      </c>
      <c r="W597" t="inlineStr">
        <is>
          <t>1991-08-16</t>
        </is>
      </c>
      <c r="X597" t="inlineStr">
        <is>
          <t>1991-08-16</t>
        </is>
      </c>
      <c r="Y597" t="n">
        <v>220</v>
      </c>
      <c r="Z597" t="n">
        <v>183</v>
      </c>
      <c r="AA597" t="n">
        <v>218</v>
      </c>
      <c r="AB597" t="n">
        <v>1</v>
      </c>
      <c r="AC597" t="n">
        <v>1</v>
      </c>
      <c r="AD597" t="n">
        <v>22</v>
      </c>
      <c r="AE597" t="n">
        <v>23</v>
      </c>
      <c r="AF597" t="n">
        <v>6</v>
      </c>
      <c r="AG597" t="n">
        <v>7</v>
      </c>
      <c r="AH597" t="n">
        <v>5</v>
      </c>
      <c r="AI597" t="n">
        <v>5</v>
      </c>
      <c r="AJ597" t="n">
        <v>15</v>
      </c>
      <c r="AK597" t="n">
        <v>16</v>
      </c>
      <c r="AL597" t="n">
        <v>0</v>
      </c>
      <c r="AM597" t="n">
        <v>0</v>
      </c>
      <c r="AN597" t="n">
        <v>0</v>
      </c>
      <c r="AO597" t="n">
        <v>0</v>
      </c>
      <c r="AP597" t="inlineStr">
        <is>
          <t>No</t>
        </is>
      </c>
      <c r="AQ597" t="inlineStr">
        <is>
          <t>Yes</t>
        </is>
      </c>
      <c r="AR597">
        <f>HYPERLINK("http://catalog.hathitrust.org/Record/011231422","HathiTrust Record")</f>
        <v/>
      </c>
      <c r="AS597">
        <f>HYPERLINK("https://creighton-primo.hosted.exlibrisgroup.com/primo-explore/search?tab=default_tab&amp;search_scope=EVERYTHING&amp;vid=01CRU&amp;lang=en_US&amp;offset=0&amp;query=any,contains,991000942829702656","Catalog Record")</f>
        <v/>
      </c>
      <c r="AT597">
        <f>HYPERLINK("http://www.worldcat.org/oclc/14415910","WorldCat Record")</f>
        <v/>
      </c>
      <c r="AU597" t="inlineStr">
        <is>
          <t>354386:eng</t>
        </is>
      </c>
      <c r="AV597" t="inlineStr">
        <is>
          <t>14415910</t>
        </is>
      </c>
      <c r="AW597" t="inlineStr">
        <is>
          <t>991000942829702656</t>
        </is>
      </c>
      <c r="AX597" t="inlineStr">
        <is>
          <t>991000942829702656</t>
        </is>
      </c>
      <c r="AY597" t="inlineStr">
        <is>
          <t>2262733860002656</t>
        </is>
      </c>
      <c r="AZ597" t="inlineStr">
        <is>
          <t>BOOK</t>
        </is>
      </c>
      <c r="BB597" t="inlineStr">
        <is>
          <t>9780894536038</t>
        </is>
      </c>
      <c r="BC597" t="inlineStr">
        <is>
          <t>32285000713569</t>
        </is>
      </c>
      <c r="BD597" t="inlineStr">
        <is>
          <t>893419910</t>
        </is>
      </c>
    </row>
    <row r="598">
      <c r="A598" t="inlineStr">
        <is>
          <t>No</t>
        </is>
      </c>
      <c r="B598" t="inlineStr">
        <is>
          <t>BT301.2 .G88 1970</t>
        </is>
      </c>
      <c r="C598" t="inlineStr">
        <is>
          <t>0                      BT 0301200G  88          1970</t>
        </is>
      </c>
      <c r="D598" t="inlineStr">
        <is>
          <t>A shorter life of Christ / Donald Guthrie.</t>
        </is>
      </c>
      <c r="F598" t="inlineStr">
        <is>
          <t>No</t>
        </is>
      </c>
      <c r="G598" t="inlineStr">
        <is>
          <t>1</t>
        </is>
      </c>
      <c r="H598" t="inlineStr">
        <is>
          <t>No</t>
        </is>
      </c>
      <c r="I598" t="inlineStr">
        <is>
          <t>No</t>
        </is>
      </c>
      <c r="J598" t="inlineStr">
        <is>
          <t>0</t>
        </is>
      </c>
      <c r="K598" t="inlineStr">
        <is>
          <t>Guthrie, Donald, 1916-1992.</t>
        </is>
      </c>
      <c r="L598" t="inlineStr">
        <is>
          <t>Grand Rapids : Zondervan Pub. House, 1970.</t>
        </is>
      </c>
      <c r="M598" t="inlineStr">
        <is>
          <t>1970</t>
        </is>
      </c>
      <c r="O598" t="inlineStr">
        <is>
          <t>eng</t>
        </is>
      </c>
      <c r="P598" t="inlineStr">
        <is>
          <t>miu</t>
        </is>
      </c>
      <c r="Q598" t="inlineStr">
        <is>
          <t>Contemporary evangelical perspectives</t>
        </is>
      </c>
      <c r="R598" t="inlineStr">
        <is>
          <t xml:space="preserve">BT </t>
        </is>
      </c>
      <c r="S598" t="n">
        <v>1</v>
      </c>
      <c r="T598" t="n">
        <v>1</v>
      </c>
      <c r="U598" t="inlineStr">
        <is>
          <t>2009-01-12</t>
        </is>
      </c>
      <c r="V598" t="inlineStr">
        <is>
          <t>2009-01-12</t>
        </is>
      </c>
      <c r="W598" t="inlineStr">
        <is>
          <t>2009-01-12</t>
        </is>
      </c>
      <c r="X598" t="inlineStr">
        <is>
          <t>2009-01-12</t>
        </is>
      </c>
      <c r="Y598" t="n">
        <v>260</v>
      </c>
      <c r="Z598" t="n">
        <v>229</v>
      </c>
      <c r="AA598" t="n">
        <v>244</v>
      </c>
      <c r="AB598" t="n">
        <v>2</v>
      </c>
      <c r="AC598" t="n">
        <v>2</v>
      </c>
      <c r="AD598" t="n">
        <v>7</v>
      </c>
      <c r="AE598" t="n">
        <v>8</v>
      </c>
      <c r="AF598" t="n">
        <v>4</v>
      </c>
      <c r="AG598" t="n">
        <v>5</v>
      </c>
      <c r="AH598" t="n">
        <v>0</v>
      </c>
      <c r="AI598" t="n">
        <v>1</v>
      </c>
      <c r="AJ598" t="n">
        <v>2</v>
      </c>
      <c r="AK598" t="n">
        <v>2</v>
      </c>
      <c r="AL598" t="n">
        <v>1</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HYPERLINK("https://creighton-primo.hosted.exlibrisgroup.com/primo-explore/search?tab=default_tab&amp;search_scope=EVERYTHING&amp;vid=01CRU&amp;lang=en_US&amp;offset=0&amp;query=any,contains,991005289749702656","Catalog Record")</f>
        <v/>
      </c>
      <c r="AT598">
        <f>HYPERLINK("http://www.worldcat.org/oclc/101237","WorldCat Record")</f>
        <v/>
      </c>
      <c r="AU598" t="inlineStr">
        <is>
          <t>1175548037:eng</t>
        </is>
      </c>
      <c r="AV598" t="inlineStr">
        <is>
          <t>101237</t>
        </is>
      </c>
      <c r="AW598" t="inlineStr">
        <is>
          <t>991005289749702656</t>
        </is>
      </c>
      <c r="AX598" t="inlineStr">
        <is>
          <t>991005289749702656</t>
        </is>
      </c>
      <c r="AY598" t="inlineStr">
        <is>
          <t>2261277160002656</t>
        </is>
      </c>
      <c r="AZ598" t="inlineStr">
        <is>
          <t>BOOK</t>
        </is>
      </c>
      <c r="BB598" t="inlineStr">
        <is>
          <t>9780310254416</t>
        </is>
      </c>
      <c r="BC598" t="inlineStr">
        <is>
          <t>32285005477194</t>
        </is>
      </c>
      <c r="BD598" t="inlineStr">
        <is>
          <t>893431189</t>
        </is>
      </c>
    </row>
    <row r="599">
      <c r="A599" t="inlineStr">
        <is>
          <t>No</t>
        </is>
      </c>
      <c r="B599" t="inlineStr">
        <is>
          <t>BT301.2 .K34</t>
        </is>
      </c>
      <c r="C599" t="inlineStr">
        <is>
          <t>0                      BT 0301200K  34</t>
        </is>
      </c>
      <c r="D599" t="inlineStr">
        <is>
          <t>Jesus and the power of Satan / by James Kallas.</t>
        </is>
      </c>
      <c r="F599" t="inlineStr">
        <is>
          <t>No</t>
        </is>
      </c>
      <c r="G599" t="inlineStr">
        <is>
          <t>1</t>
        </is>
      </c>
      <c r="H599" t="inlineStr">
        <is>
          <t>No</t>
        </is>
      </c>
      <c r="I599" t="inlineStr">
        <is>
          <t>No</t>
        </is>
      </c>
      <c r="J599" t="inlineStr">
        <is>
          <t>0</t>
        </is>
      </c>
      <c r="K599" t="inlineStr">
        <is>
          <t>Kallas, James G.</t>
        </is>
      </c>
      <c r="L599" t="inlineStr">
        <is>
          <t>Philadelphia, Westminster Press [1968]</t>
        </is>
      </c>
      <c r="M599" t="inlineStr">
        <is>
          <t>1968</t>
        </is>
      </c>
      <c r="O599" t="inlineStr">
        <is>
          <t>eng</t>
        </is>
      </c>
      <c r="P599" t="inlineStr">
        <is>
          <t>pau</t>
        </is>
      </c>
      <c r="R599" t="inlineStr">
        <is>
          <t xml:space="preserve">BT </t>
        </is>
      </c>
      <c r="S599" t="n">
        <v>5</v>
      </c>
      <c r="T599" t="n">
        <v>5</v>
      </c>
      <c r="U599" t="inlineStr">
        <is>
          <t>2002-03-23</t>
        </is>
      </c>
      <c r="V599" t="inlineStr">
        <is>
          <t>2002-03-23</t>
        </is>
      </c>
      <c r="W599" t="inlineStr">
        <is>
          <t>1990-04-30</t>
        </is>
      </c>
      <c r="X599" t="inlineStr">
        <is>
          <t>1990-04-30</t>
        </is>
      </c>
      <c r="Y599" t="n">
        <v>271</v>
      </c>
      <c r="Z599" t="n">
        <v>245</v>
      </c>
      <c r="AA599" t="n">
        <v>249</v>
      </c>
      <c r="AB599" t="n">
        <v>2</v>
      </c>
      <c r="AC599" t="n">
        <v>2</v>
      </c>
      <c r="AD599" t="n">
        <v>14</v>
      </c>
      <c r="AE599" t="n">
        <v>14</v>
      </c>
      <c r="AF599" t="n">
        <v>6</v>
      </c>
      <c r="AG599" t="n">
        <v>6</v>
      </c>
      <c r="AH599" t="n">
        <v>2</v>
      </c>
      <c r="AI599" t="n">
        <v>2</v>
      </c>
      <c r="AJ599" t="n">
        <v>9</v>
      </c>
      <c r="AK599" t="n">
        <v>9</v>
      </c>
      <c r="AL599" t="n">
        <v>1</v>
      </c>
      <c r="AM599" t="n">
        <v>1</v>
      </c>
      <c r="AN599" t="n">
        <v>0</v>
      </c>
      <c r="AO599" t="n">
        <v>0</v>
      </c>
      <c r="AP599" t="inlineStr">
        <is>
          <t>No</t>
        </is>
      </c>
      <c r="AQ599" t="inlineStr">
        <is>
          <t>Yes</t>
        </is>
      </c>
      <c r="AR599">
        <f>HYPERLINK("http://catalog.hathitrust.org/Record/001412212","HathiTrust Record")</f>
        <v/>
      </c>
      <c r="AS599">
        <f>HYPERLINK("https://creighton-primo.hosted.exlibrisgroup.com/primo-explore/search?tab=default_tab&amp;search_scope=EVERYTHING&amp;vid=01CRU&amp;lang=en_US&amp;offset=0&amp;query=any,contains,991002502209702656","Catalog Record")</f>
        <v/>
      </c>
      <c r="AT599">
        <f>HYPERLINK("http://www.worldcat.org/oclc/364515","WorldCat Record")</f>
        <v/>
      </c>
      <c r="AU599" t="inlineStr">
        <is>
          <t>1422482:eng</t>
        </is>
      </c>
      <c r="AV599" t="inlineStr">
        <is>
          <t>364515</t>
        </is>
      </c>
      <c r="AW599" t="inlineStr">
        <is>
          <t>991002502209702656</t>
        </is>
      </c>
      <c r="AX599" t="inlineStr">
        <is>
          <t>991002502209702656</t>
        </is>
      </c>
      <c r="AY599" t="inlineStr">
        <is>
          <t>2265575780002656</t>
        </is>
      </c>
      <c r="AZ599" t="inlineStr">
        <is>
          <t>BOOK</t>
        </is>
      </c>
      <c r="BC599" t="inlineStr">
        <is>
          <t>32285000128131</t>
        </is>
      </c>
      <c r="BD599" t="inlineStr">
        <is>
          <t>893498192</t>
        </is>
      </c>
    </row>
    <row r="600">
      <c r="A600" t="inlineStr">
        <is>
          <t>No</t>
        </is>
      </c>
      <c r="B600" t="inlineStr">
        <is>
          <t>BT301.2 .L24</t>
        </is>
      </c>
      <c r="C600" t="inlineStr">
        <is>
          <t>0                      BT 0301200L  24</t>
        </is>
      </c>
      <c r="D600" t="inlineStr">
        <is>
          <t>The man from Galilee : a life of Jesus / [by] George M. Lamsa.</t>
        </is>
      </c>
      <c r="F600" t="inlineStr">
        <is>
          <t>No</t>
        </is>
      </c>
      <c r="G600" t="inlineStr">
        <is>
          <t>1</t>
        </is>
      </c>
      <c r="H600" t="inlineStr">
        <is>
          <t>No</t>
        </is>
      </c>
      <c r="I600" t="inlineStr">
        <is>
          <t>No</t>
        </is>
      </c>
      <c r="J600" t="inlineStr">
        <is>
          <t>0</t>
        </is>
      </c>
      <c r="K600" t="inlineStr">
        <is>
          <t>Lamsa, George M. (George Mamishisho), 1892-1975.</t>
        </is>
      </c>
      <c r="L600" t="inlineStr">
        <is>
          <t>Garden City, N.Y., Doubleday, 1970.</t>
        </is>
      </c>
      <c r="M600" t="inlineStr">
        <is>
          <t>1970</t>
        </is>
      </c>
      <c r="N600" t="inlineStr">
        <is>
          <t>[1st ed.]</t>
        </is>
      </c>
      <c r="O600" t="inlineStr">
        <is>
          <t>eng</t>
        </is>
      </c>
      <c r="P600" t="inlineStr">
        <is>
          <t>nyu</t>
        </is>
      </c>
      <c r="R600" t="inlineStr">
        <is>
          <t xml:space="preserve">BT </t>
        </is>
      </c>
      <c r="S600" t="n">
        <v>1</v>
      </c>
      <c r="T600" t="n">
        <v>1</v>
      </c>
      <c r="U600" t="inlineStr">
        <is>
          <t>2000-09-20</t>
        </is>
      </c>
      <c r="V600" t="inlineStr">
        <is>
          <t>2000-09-20</t>
        </is>
      </c>
      <c r="W600" t="inlineStr">
        <is>
          <t>1991-08-16</t>
        </is>
      </c>
      <c r="X600" t="inlineStr">
        <is>
          <t>1991-08-16</t>
        </is>
      </c>
      <c r="Y600" t="n">
        <v>570</v>
      </c>
      <c r="Z600" t="n">
        <v>550</v>
      </c>
      <c r="AA600" t="n">
        <v>551</v>
      </c>
      <c r="AB600" t="n">
        <v>4</v>
      </c>
      <c r="AC600" t="n">
        <v>4</v>
      </c>
      <c r="AD600" t="n">
        <v>30</v>
      </c>
      <c r="AE600" t="n">
        <v>30</v>
      </c>
      <c r="AF600" t="n">
        <v>12</v>
      </c>
      <c r="AG600" t="n">
        <v>12</v>
      </c>
      <c r="AH600" t="n">
        <v>7</v>
      </c>
      <c r="AI600" t="n">
        <v>7</v>
      </c>
      <c r="AJ600" t="n">
        <v>14</v>
      </c>
      <c r="AK600" t="n">
        <v>14</v>
      </c>
      <c r="AL600" t="n">
        <v>3</v>
      </c>
      <c r="AM600" t="n">
        <v>3</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HYPERLINK("https://creighton-primo.hosted.exlibrisgroup.com/primo-explore/search?tab=default_tab&amp;search_scope=EVERYTHING&amp;vid=01CRU&amp;lang=en_US&amp;offset=0&amp;query=any,contains,991000539799702656","Catalog Record")</f>
        <v/>
      </c>
      <c r="AT600">
        <f>HYPERLINK("http://www.worldcat.org/oclc/90379","WorldCat Record")</f>
        <v/>
      </c>
      <c r="AU600" t="inlineStr">
        <is>
          <t>294268177:eng</t>
        </is>
      </c>
      <c r="AV600" t="inlineStr">
        <is>
          <t>90379</t>
        </is>
      </c>
      <c r="AW600" t="inlineStr">
        <is>
          <t>991000539799702656</t>
        </is>
      </c>
      <c r="AX600" t="inlineStr">
        <is>
          <t>991000539799702656</t>
        </is>
      </c>
      <c r="AY600" t="inlineStr">
        <is>
          <t>2266261990002656</t>
        </is>
      </c>
      <c r="AZ600" t="inlineStr">
        <is>
          <t>BOOK</t>
        </is>
      </c>
      <c r="BC600" t="inlineStr">
        <is>
          <t>32285000713601</t>
        </is>
      </c>
      <c r="BD600" t="inlineStr">
        <is>
          <t>893620564</t>
        </is>
      </c>
    </row>
    <row r="601">
      <c r="A601" t="inlineStr">
        <is>
          <t>No</t>
        </is>
      </c>
      <c r="B601" t="inlineStr">
        <is>
          <t>BT301.2 .L2613</t>
        </is>
      </c>
      <c r="C601" t="inlineStr">
        <is>
          <t>0                      BT 0301200L  2613</t>
        </is>
      </c>
      <c r="D601" t="inlineStr">
        <is>
          <t>Finding Jesus through the Gospels : history and hermeneutics / René Latourelle ; translated by Aloysius Owen.</t>
        </is>
      </c>
      <c r="F601" t="inlineStr">
        <is>
          <t>No</t>
        </is>
      </c>
      <c r="G601" t="inlineStr">
        <is>
          <t>1</t>
        </is>
      </c>
      <c r="H601" t="inlineStr">
        <is>
          <t>No</t>
        </is>
      </c>
      <c r="I601" t="inlineStr">
        <is>
          <t>No</t>
        </is>
      </c>
      <c r="J601" t="inlineStr">
        <is>
          <t>0</t>
        </is>
      </c>
      <c r="K601" t="inlineStr">
        <is>
          <t>Latourelle, René.</t>
        </is>
      </c>
      <c r="L601" t="inlineStr">
        <is>
          <t>New York : Alba House, c1979.</t>
        </is>
      </c>
      <c r="M601" t="inlineStr">
        <is>
          <t>1979</t>
        </is>
      </c>
      <c r="O601" t="inlineStr">
        <is>
          <t>eng</t>
        </is>
      </c>
      <c r="P601" t="inlineStr">
        <is>
          <t>nyu</t>
        </is>
      </c>
      <c r="R601" t="inlineStr">
        <is>
          <t xml:space="preserve">BT </t>
        </is>
      </c>
      <c r="S601" t="n">
        <v>5</v>
      </c>
      <c r="T601" t="n">
        <v>5</v>
      </c>
      <c r="U601" t="inlineStr">
        <is>
          <t>2000-09-13</t>
        </is>
      </c>
      <c r="V601" t="inlineStr">
        <is>
          <t>2000-09-13</t>
        </is>
      </c>
      <c r="W601" t="inlineStr">
        <is>
          <t>1991-08-16</t>
        </is>
      </c>
      <c r="X601" t="inlineStr">
        <is>
          <t>1991-08-16</t>
        </is>
      </c>
      <c r="Y601" t="n">
        <v>224</v>
      </c>
      <c r="Z601" t="n">
        <v>178</v>
      </c>
      <c r="AA601" t="n">
        <v>178</v>
      </c>
      <c r="AB601" t="n">
        <v>2</v>
      </c>
      <c r="AC601" t="n">
        <v>2</v>
      </c>
      <c r="AD601" t="n">
        <v>23</v>
      </c>
      <c r="AE601" t="n">
        <v>23</v>
      </c>
      <c r="AF601" t="n">
        <v>6</v>
      </c>
      <c r="AG601" t="n">
        <v>6</v>
      </c>
      <c r="AH601" t="n">
        <v>7</v>
      </c>
      <c r="AI601" t="n">
        <v>7</v>
      </c>
      <c r="AJ601" t="n">
        <v>18</v>
      </c>
      <c r="AK601" t="n">
        <v>18</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HYPERLINK("https://creighton-primo.hosted.exlibrisgroup.com/primo-explore/search?tab=default_tab&amp;search_scope=EVERYTHING&amp;vid=01CRU&amp;lang=en_US&amp;offset=0&amp;query=any,contains,991004649459702656","Catalog Record")</f>
        <v/>
      </c>
      <c r="AT601">
        <f>HYPERLINK("http://www.worldcat.org/oclc/4493329","WorldCat Record")</f>
        <v/>
      </c>
      <c r="AU601" t="inlineStr">
        <is>
          <t>890045366:eng</t>
        </is>
      </c>
      <c r="AV601" t="inlineStr">
        <is>
          <t>4493329</t>
        </is>
      </c>
      <c r="AW601" t="inlineStr">
        <is>
          <t>991004649459702656</t>
        </is>
      </c>
      <c r="AX601" t="inlineStr">
        <is>
          <t>991004649459702656</t>
        </is>
      </c>
      <c r="AY601" t="inlineStr">
        <is>
          <t>2260881280002656</t>
        </is>
      </c>
      <c r="AZ601" t="inlineStr">
        <is>
          <t>BOOK</t>
        </is>
      </c>
      <c r="BB601" t="inlineStr">
        <is>
          <t>9780818903793</t>
        </is>
      </c>
      <c r="BC601" t="inlineStr">
        <is>
          <t>32285000713619</t>
        </is>
      </c>
      <c r="BD601" t="inlineStr">
        <is>
          <t>893253931</t>
        </is>
      </c>
    </row>
    <row r="602">
      <c r="A602" t="inlineStr">
        <is>
          <t>No</t>
        </is>
      </c>
      <c r="B602" t="inlineStr">
        <is>
          <t>BT301.2 .L3713</t>
        </is>
      </c>
      <c r="C602" t="inlineStr">
        <is>
          <t>0                      BT 0301200L  3713</t>
        </is>
      </c>
      <c r="D602" t="inlineStr">
        <is>
          <t>Jesus, history and culture of the New Testament : a pictorial narration / [Translated by Stella Musulin, Robert Mahoney, and Angela Zerbe.</t>
        </is>
      </c>
      <c r="F602" t="inlineStr">
        <is>
          <t>No</t>
        </is>
      </c>
      <c r="G602" t="inlineStr">
        <is>
          <t>1</t>
        </is>
      </c>
      <c r="H602" t="inlineStr">
        <is>
          <t>No</t>
        </is>
      </c>
      <c r="I602" t="inlineStr">
        <is>
          <t>No</t>
        </is>
      </c>
      <c r="J602" t="inlineStr">
        <is>
          <t>0</t>
        </is>
      </c>
      <c r="K602" t="inlineStr">
        <is>
          <t>Lessing, Erich.</t>
        </is>
      </c>
      <c r="L602" t="inlineStr">
        <is>
          <t>New York, Herder and Herder, 1971]</t>
        </is>
      </c>
      <c r="M602" t="inlineStr">
        <is>
          <t>1971</t>
        </is>
      </c>
      <c r="O602" t="inlineStr">
        <is>
          <t>eng</t>
        </is>
      </c>
      <c r="P602" t="inlineStr">
        <is>
          <t>nyu</t>
        </is>
      </c>
      <c r="R602" t="inlineStr">
        <is>
          <t xml:space="preserve">BT </t>
        </is>
      </c>
      <c r="S602" t="n">
        <v>4</v>
      </c>
      <c r="T602" t="n">
        <v>4</v>
      </c>
      <c r="U602" t="inlineStr">
        <is>
          <t>2004-02-16</t>
        </is>
      </c>
      <c r="V602" t="inlineStr">
        <is>
          <t>2004-02-16</t>
        </is>
      </c>
      <c r="W602" t="inlineStr">
        <is>
          <t>1991-08-16</t>
        </is>
      </c>
      <c r="X602" t="inlineStr">
        <is>
          <t>1991-08-16</t>
        </is>
      </c>
      <c r="Y602" t="n">
        <v>280</v>
      </c>
      <c r="Z602" t="n">
        <v>255</v>
      </c>
      <c r="AA602" t="n">
        <v>255</v>
      </c>
      <c r="AB602" t="n">
        <v>4</v>
      </c>
      <c r="AC602" t="n">
        <v>4</v>
      </c>
      <c r="AD602" t="n">
        <v>12</v>
      </c>
      <c r="AE602" t="n">
        <v>12</v>
      </c>
      <c r="AF602" t="n">
        <v>4</v>
      </c>
      <c r="AG602" t="n">
        <v>4</v>
      </c>
      <c r="AH602" t="n">
        <v>2</v>
      </c>
      <c r="AI602" t="n">
        <v>2</v>
      </c>
      <c r="AJ602" t="n">
        <v>8</v>
      </c>
      <c r="AK602" t="n">
        <v>8</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HYPERLINK("https://creighton-primo.hosted.exlibrisgroup.com/primo-explore/search?tab=default_tab&amp;search_scope=EVERYTHING&amp;vid=01CRU&amp;lang=en_US&amp;offset=0&amp;query=any,contains,991002006029702656","Catalog Record")</f>
        <v/>
      </c>
      <c r="AT602">
        <f>HYPERLINK("http://www.worldcat.org/oclc/258122","WorldCat Record")</f>
        <v/>
      </c>
      <c r="AU602" t="inlineStr">
        <is>
          <t>474363396:eng</t>
        </is>
      </c>
      <c r="AV602" t="inlineStr">
        <is>
          <t>258122</t>
        </is>
      </c>
      <c r="AW602" t="inlineStr">
        <is>
          <t>991002006029702656</t>
        </is>
      </c>
      <c r="AX602" t="inlineStr">
        <is>
          <t>991002006029702656</t>
        </is>
      </c>
      <c r="AY602" t="inlineStr">
        <is>
          <t>2271414860002656</t>
        </is>
      </c>
      <c r="AZ602" t="inlineStr">
        <is>
          <t>BOOK</t>
        </is>
      </c>
      <c r="BC602" t="inlineStr">
        <is>
          <t>32285000713627</t>
        </is>
      </c>
      <c r="BD602" t="inlineStr">
        <is>
          <t>893697242</t>
        </is>
      </c>
    </row>
    <row r="603">
      <c r="A603" t="inlineStr">
        <is>
          <t>No</t>
        </is>
      </c>
      <c r="B603" t="inlineStr">
        <is>
          <t>BT301.2 .M83 1975</t>
        </is>
      </c>
      <c r="C603" t="inlineStr">
        <is>
          <t>0                      BT 0301200M  83          1975</t>
        </is>
      </c>
      <c r="D603" t="inlineStr">
        <is>
          <t>Jesus, the man who lives / Malcolm Muggeridge.</t>
        </is>
      </c>
      <c r="F603" t="inlineStr">
        <is>
          <t>No</t>
        </is>
      </c>
      <c r="G603" t="inlineStr">
        <is>
          <t>1</t>
        </is>
      </c>
      <c r="H603" t="inlineStr">
        <is>
          <t>No</t>
        </is>
      </c>
      <c r="I603" t="inlineStr">
        <is>
          <t>No</t>
        </is>
      </c>
      <c r="J603" t="inlineStr">
        <is>
          <t>0</t>
        </is>
      </c>
      <c r="K603" t="inlineStr">
        <is>
          <t>Muggeridge, Malcolm, 1903-1990.</t>
        </is>
      </c>
      <c r="L603" t="inlineStr">
        <is>
          <t>New York : Harper &amp; Row, 1975.</t>
        </is>
      </c>
      <c r="M603" t="inlineStr">
        <is>
          <t>1975</t>
        </is>
      </c>
      <c r="O603" t="inlineStr">
        <is>
          <t>eng</t>
        </is>
      </c>
      <c r="P603" t="inlineStr">
        <is>
          <t>nyu</t>
        </is>
      </c>
      <c r="R603" t="inlineStr">
        <is>
          <t xml:space="preserve">BT </t>
        </is>
      </c>
      <c r="S603" t="n">
        <v>3</v>
      </c>
      <c r="T603" t="n">
        <v>3</v>
      </c>
      <c r="U603" t="inlineStr">
        <is>
          <t>1994-10-06</t>
        </is>
      </c>
      <c r="V603" t="inlineStr">
        <is>
          <t>1994-10-06</t>
        </is>
      </c>
      <c r="W603" t="inlineStr">
        <is>
          <t>1991-08-16</t>
        </is>
      </c>
      <c r="X603" t="inlineStr">
        <is>
          <t>1991-08-16</t>
        </is>
      </c>
      <c r="Y603" t="n">
        <v>752</v>
      </c>
      <c r="Z603" t="n">
        <v>715</v>
      </c>
      <c r="AA603" t="n">
        <v>894</v>
      </c>
      <c r="AB603" t="n">
        <v>8</v>
      </c>
      <c r="AC603" t="n">
        <v>10</v>
      </c>
      <c r="AD603" t="n">
        <v>26</v>
      </c>
      <c r="AE603" t="n">
        <v>32</v>
      </c>
      <c r="AF603" t="n">
        <v>13</v>
      </c>
      <c r="AG603" t="n">
        <v>13</v>
      </c>
      <c r="AH603" t="n">
        <v>4</v>
      </c>
      <c r="AI603" t="n">
        <v>6</v>
      </c>
      <c r="AJ603" t="n">
        <v>15</v>
      </c>
      <c r="AK603" t="n">
        <v>17</v>
      </c>
      <c r="AL603" t="n">
        <v>2</v>
      </c>
      <c r="AM603" t="n">
        <v>4</v>
      </c>
      <c r="AN603" t="n">
        <v>0</v>
      </c>
      <c r="AO603" t="n">
        <v>0</v>
      </c>
      <c r="AP603" t="inlineStr">
        <is>
          <t>No</t>
        </is>
      </c>
      <c r="AQ603" t="inlineStr">
        <is>
          <t>Yes</t>
        </is>
      </c>
      <c r="AR603">
        <f>HYPERLINK("http://catalog.hathitrust.org/Record/000731479","HathiTrust Record")</f>
        <v/>
      </c>
      <c r="AS603">
        <f>HYPERLINK("https://creighton-primo.hosted.exlibrisgroup.com/primo-explore/search?tab=default_tab&amp;search_scope=EVERYTHING&amp;vid=01CRU&amp;lang=en_US&amp;offset=0&amp;query=any,contains,991004274179702656","Catalog Record")</f>
        <v/>
      </c>
      <c r="AT603">
        <f>HYPERLINK("http://www.worldcat.org/oclc/2888903","WorldCat Record")</f>
        <v/>
      </c>
      <c r="AU603" t="inlineStr">
        <is>
          <t>198943144:eng</t>
        </is>
      </c>
      <c r="AV603" t="inlineStr">
        <is>
          <t>2888903</t>
        </is>
      </c>
      <c r="AW603" t="inlineStr">
        <is>
          <t>991004274179702656</t>
        </is>
      </c>
      <c r="AX603" t="inlineStr">
        <is>
          <t>991004274179702656</t>
        </is>
      </c>
      <c r="AY603" t="inlineStr">
        <is>
          <t>2257815450002656</t>
        </is>
      </c>
      <c r="AZ603" t="inlineStr">
        <is>
          <t>BOOK</t>
        </is>
      </c>
      <c r="BB603" t="inlineStr">
        <is>
          <t>9780060660390</t>
        </is>
      </c>
      <c r="BC603" t="inlineStr">
        <is>
          <t>32285000713635</t>
        </is>
      </c>
      <c r="BD603" t="inlineStr">
        <is>
          <t>893229143</t>
        </is>
      </c>
    </row>
    <row r="604">
      <c r="A604" t="inlineStr">
        <is>
          <t>No</t>
        </is>
      </c>
      <c r="B604" t="inlineStr">
        <is>
          <t>BT301.2 .P38 1975</t>
        </is>
      </c>
      <c r="C604" t="inlineStr">
        <is>
          <t>0                      BT 0301200P  38          1975</t>
        </is>
      </c>
      <c r="D604" t="inlineStr">
        <is>
          <t>In the footsteps of Jesus / Wolfgang E. Pax ; photography by David Harris ; edited by Mordecai Raanan ; designed by Paul Kor ; editorial board, Paul S. Colbi ... [et al.]. --</t>
        </is>
      </c>
      <c r="F604" t="inlineStr">
        <is>
          <t>No</t>
        </is>
      </c>
      <c r="G604" t="inlineStr">
        <is>
          <t>1</t>
        </is>
      </c>
      <c r="H604" t="inlineStr">
        <is>
          <t>No</t>
        </is>
      </c>
      <c r="I604" t="inlineStr">
        <is>
          <t>No</t>
        </is>
      </c>
      <c r="J604" t="inlineStr">
        <is>
          <t>0</t>
        </is>
      </c>
      <c r="K604" t="inlineStr">
        <is>
          <t>Pax, Wolfgang E.</t>
        </is>
      </c>
      <c r="L604" t="inlineStr">
        <is>
          <t>New York : L. Amiel, 1975.</t>
        </is>
      </c>
      <c r="M604" t="inlineStr">
        <is>
          <t>1975</t>
        </is>
      </c>
      <c r="O604" t="inlineStr">
        <is>
          <t>eng</t>
        </is>
      </c>
      <c r="P604" t="inlineStr">
        <is>
          <t>nyu</t>
        </is>
      </c>
      <c r="R604" t="inlineStr">
        <is>
          <t xml:space="preserve">BT </t>
        </is>
      </c>
      <c r="S604" t="n">
        <v>5</v>
      </c>
      <c r="T604" t="n">
        <v>5</v>
      </c>
      <c r="U604" t="inlineStr">
        <is>
          <t>1995-01-24</t>
        </is>
      </c>
      <c r="V604" t="inlineStr">
        <is>
          <t>1995-01-24</t>
        </is>
      </c>
      <c r="W604" t="inlineStr">
        <is>
          <t>1991-08-16</t>
        </is>
      </c>
      <c r="X604" t="inlineStr">
        <is>
          <t>1991-08-16</t>
        </is>
      </c>
      <c r="Y604" t="n">
        <v>251</v>
      </c>
      <c r="Z604" t="n">
        <v>242</v>
      </c>
      <c r="AA604" t="n">
        <v>697</v>
      </c>
      <c r="AB604" t="n">
        <v>5</v>
      </c>
      <c r="AC604" t="n">
        <v>12</v>
      </c>
      <c r="AD604" t="n">
        <v>8</v>
      </c>
      <c r="AE604" t="n">
        <v>29</v>
      </c>
      <c r="AF604" t="n">
        <v>2</v>
      </c>
      <c r="AG604" t="n">
        <v>12</v>
      </c>
      <c r="AH604" t="n">
        <v>1</v>
      </c>
      <c r="AI604" t="n">
        <v>3</v>
      </c>
      <c r="AJ604" t="n">
        <v>5</v>
      </c>
      <c r="AK604" t="n">
        <v>15</v>
      </c>
      <c r="AL604" t="n">
        <v>1</v>
      </c>
      <c r="AM604" t="n">
        <v>5</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HYPERLINK("https://creighton-primo.hosted.exlibrisgroup.com/primo-explore/search?tab=default_tab&amp;search_scope=EVERYTHING&amp;vid=01CRU&amp;lang=en_US&amp;offset=0&amp;query=any,contains,991004229989702656","Catalog Record")</f>
        <v/>
      </c>
      <c r="AT604">
        <f>HYPERLINK("http://www.worldcat.org/oclc/2744586","WorldCat Record")</f>
        <v/>
      </c>
      <c r="AU604" t="inlineStr">
        <is>
          <t>1285093:eng</t>
        </is>
      </c>
      <c r="AV604" t="inlineStr">
        <is>
          <t>2744586</t>
        </is>
      </c>
      <c r="AW604" t="inlineStr">
        <is>
          <t>991004229989702656</t>
        </is>
      </c>
      <c r="AX604" t="inlineStr">
        <is>
          <t>991004229989702656</t>
        </is>
      </c>
      <c r="AY604" t="inlineStr">
        <is>
          <t>2260576100002656</t>
        </is>
      </c>
      <c r="AZ604" t="inlineStr">
        <is>
          <t>BOOK</t>
        </is>
      </c>
      <c r="BB604" t="inlineStr">
        <is>
          <t>9780814806302</t>
        </is>
      </c>
      <c r="BC604" t="inlineStr">
        <is>
          <t>32285000713643</t>
        </is>
      </c>
      <c r="BD604" t="inlineStr">
        <is>
          <t>893712302</t>
        </is>
      </c>
    </row>
    <row r="605">
      <c r="A605" t="inlineStr">
        <is>
          <t>No</t>
        </is>
      </c>
      <c r="B605" t="inlineStr">
        <is>
          <t>BT301.2 .R4</t>
        </is>
      </c>
      <c r="C605" t="inlineStr">
        <is>
          <t>0                      BT 0301200R  4</t>
        </is>
      </c>
      <c r="D605" t="inlineStr">
        <is>
          <t>Jesus in the church's Gospels; modern scholarship and the earliest sources / [by] John Reumann.</t>
        </is>
      </c>
      <c r="F605" t="inlineStr">
        <is>
          <t>No</t>
        </is>
      </c>
      <c r="G605" t="inlineStr">
        <is>
          <t>1</t>
        </is>
      </c>
      <c r="H605" t="inlineStr">
        <is>
          <t>No</t>
        </is>
      </c>
      <c r="I605" t="inlineStr">
        <is>
          <t>No</t>
        </is>
      </c>
      <c r="J605" t="inlineStr">
        <is>
          <t>0</t>
        </is>
      </c>
      <c r="K605" t="inlineStr">
        <is>
          <t>Reumann, John.</t>
        </is>
      </c>
      <c r="L605" t="inlineStr">
        <is>
          <t>Philadelphia, Fortress Press [1968]</t>
        </is>
      </c>
      <c r="M605" t="inlineStr">
        <is>
          <t>1968</t>
        </is>
      </c>
      <c r="O605" t="inlineStr">
        <is>
          <t>eng</t>
        </is>
      </c>
      <c r="P605" t="inlineStr">
        <is>
          <t>pau</t>
        </is>
      </c>
      <c r="R605" t="inlineStr">
        <is>
          <t xml:space="preserve">BT </t>
        </is>
      </c>
      <c r="S605" t="n">
        <v>5</v>
      </c>
      <c r="T605" t="n">
        <v>5</v>
      </c>
      <c r="U605" t="inlineStr">
        <is>
          <t>1996-04-09</t>
        </is>
      </c>
      <c r="V605" t="inlineStr">
        <is>
          <t>1996-04-09</t>
        </is>
      </c>
      <c r="W605" t="inlineStr">
        <is>
          <t>1991-08-16</t>
        </is>
      </c>
      <c r="X605" t="inlineStr">
        <is>
          <t>1991-08-16</t>
        </is>
      </c>
      <c r="Y605" t="n">
        <v>460</v>
      </c>
      <c r="Z605" t="n">
        <v>393</v>
      </c>
      <c r="AA605" t="n">
        <v>494</v>
      </c>
      <c r="AB605" t="n">
        <v>4</v>
      </c>
      <c r="AC605" t="n">
        <v>6</v>
      </c>
      <c r="AD605" t="n">
        <v>36</v>
      </c>
      <c r="AE605" t="n">
        <v>41</v>
      </c>
      <c r="AF605" t="n">
        <v>13</v>
      </c>
      <c r="AG605" t="n">
        <v>14</v>
      </c>
      <c r="AH605" t="n">
        <v>9</v>
      </c>
      <c r="AI605" t="n">
        <v>10</v>
      </c>
      <c r="AJ605" t="n">
        <v>22</v>
      </c>
      <c r="AK605" t="n">
        <v>23</v>
      </c>
      <c r="AL605" t="n">
        <v>2</v>
      </c>
      <c r="AM605" t="n">
        <v>4</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HYPERLINK("https://creighton-primo.hosted.exlibrisgroup.com/primo-explore/search?tab=default_tab&amp;search_scope=EVERYTHING&amp;vid=01CRU&amp;lang=en_US&amp;offset=0&amp;query=any,contains,991002769509702656","Catalog Record")</f>
        <v/>
      </c>
      <c r="AT605">
        <f>HYPERLINK("http://www.worldcat.org/oclc/436373","WorldCat Record")</f>
        <v/>
      </c>
      <c r="AU605" t="inlineStr">
        <is>
          <t>1103024850:eng</t>
        </is>
      </c>
      <c r="AV605" t="inlineStr">
        <is>
          <t>436373</t>
        </is>
      </c>
      <c r="AW605" t="inlineStr">
        <is>
          <t>991002769509702656</t>
        </is>
      </c>
      <c r="AX605" t="inlineStr">
        <is>
          <t>991002769509702656</t>
        </is>
      </c>
      <c r="AY605" t="inlineStr">
        <is>
          <t>2268824200002656</t>
        </is>
      </c>
      <c r="AZ605" t="inlineStr">
        <is>
          <t>BOOK</t>
        </is>
      </c>
      <c r="BC605" t="inlineStr">
        <is>
          <t>32285000713650</t>
        </is>
      </c>
      <c r="BD605" t="inlineStr">
        <is>
          <t>893704489</t>
        </is>
      </c>
    </row>
    <row r="606">
      <c r="A606" t="inlineStr">
        <is>
          <t>No</t>
        </is>
      </c>
      <c r="B606" t="inlineStr">
        <is>
          <t>BT301.2 .S44 1972</t>
        </is>
      </c>
      <c r="C606" t="inlineStr">
        <is>
          <t>0                      BT 0301200S  44          1972</t>
        </is>
      </c>
      <c r="D606" t="inlineStr">
        <is>
          <t>Portrait of Jesus : the life of Christ in poetry and prose / edited by Peter Seymour ; illustrated with famous paintings and drawings.</t>
        </is>
      </c>
      <c r="F606" t="inlineStr">
        <is>
          <t>No</t>
        </is>
      </c>
      <c r="G606" t="inlineStr">
        <is>
          <t>1</t>
        </is>
      </c>
      <c r="H606" t="inlineStr">
        <is>
          <t>No</t>
        </is>
      </c>
      <c r="I606" t="inlineStr">
        <is>
          <t>No</t>
        </is>
      </c>
      <c r="J606" t="inlineStr">
        <is>
          <t>0</t>
        </is>
      </c>
      <c r="K606" t="inlineStr">
        <is>
          <t>Seymour, Peter, 1933-2013.</t>
        </is>
      </c>
      <c r="L606" t="inlineStr">
        <is>
          <t>[Kansas City, Mo.] : Hallmark Crown Editions, [1973, c1972]</t>
        </is>
      </c>
      <c r="M606" t="inlineStr">
        <is>
          <t>1973</t>
        </is>
      </c>
      <c r="O606" t="inlineStr">
        <is>
          <t>eng</t>
        </is>
      </c>
      <c r="P606" t="inlineStr">
        <is>
          <t>mou</t>
        </is>
      </c>
      <c r="R606" t="inlineStr">
        <is>
          <t xml:space="preserve">BT </t>
        </is>
      </c>
      <c r="S606" t="n">
        <v>5</v>
      </c>
      <c r="T606" t="n">
        <v>5</v>
      </c>
      <c r="U606" t="inlineStr">
        <is>
          <t>1995-12-11</t>
        </is>
      </c>
      <c r="V606" t="inlineStr">
        <is>
          <t>1995-12-11</t>
        </is>
      </c>
      <c r="W606" t="inlineStr">
        <is>
          <t>1994-06-21</t>
        </is>
      </c>
      <c r="X606" t="inlineStr">
        <is>
          <t>1994-06-21</t>
        </is>
      </c>
      <c r="Y606" t="n">
        <v>147</v>
      </c>
      <c r="Z606" t="n">
        <v>142</v>
      </c>
      <c r="AA606" t="n">
        <v>155</v>
      </c>
      <c r="AB606" t="n">
        <v>2</v>
      </c>
      <c r="AC606" t="n">
        <v>2</v>
      </c>
      <c r="AD606" t="n">
        <v>7</v>
      </c>
      <c r="AE606" t="n">
        <v>7</v>
      </c>
      <c r="AF606" t="n">
        <v>2</v>
      </c>
      <c r="AG606" t="n">
        <v>2</v>
      </c>
      <c r="AH606" t="n">
        <v>2</v>
      </c>
      <c r="AI606" t="n">
        <v>2</v>
      </c>
      <c r="AJ606" t="n">
        <v>5</v>
      </c>
      <c r="AK606" t="n">
        <v>5</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HYPERLINK("https://creighton-primo.hosted.exlibrisgroup.com/primo-explore/search?tab=default_tab&amp;search_scope=EVERYTHING&amp;vid=01CRU&amp;lang=en_US&amp;offset=0&amp;query=any,contains,991003198909702656","Catalog Record")</f>
        <v/>
      </c>
      <c r="AT606">
        <f>HYPERLINK("http://www.worldcat.org/oclc/723935","WorldCat Record")</f>
        <v/>
      </c>
      <c r="AU606" t="inlineStr">
        <is>
          <t>4162903636:eng</t>
        </is>
      </c>
      <c r="AV606" t="inlineStr">
        <is>
          <t>723935</t>
        </is>
      </c>
      <c r="AW606" t="inlineStr">
        <is>
          <t>991003198909702656</t>
        </is>
      </c>
      <c r="AX606" t="inlineStr">
        <is>
          <t>991003198909702656</t>
        </is>
      </c>
      <c r="AY606" t="inlineStr">
        <is>
          <t>2255678040002656</t>
        </is>
      </c>
      <c r="AZ606" t="inlineStr">
        <is>
          <t>BOOK</t>
        </is>
      </c>
      <c r="BB606" t="inlineStr">
        <is>
          <t>9780875291468</t>
        </is>
      </c>
      <c r="BC606" t="inlineStr">
        <is>
          <t>32285001916856</t>
        </is>
      </c>
      <c r="BD606" t="inlineStr">
        <is>
          <t>893227781</t>
        </is>
      </c>
    </row>
    <row r="607">
      <c r="A607" t="inlineStr">
        <is>
          <t>No</t>
        </is>
      </c>
      <c r="B607" t="inlineStr">
        <is>
          <t>BT301.2 .S57 1962</t>
        </is>
      </c>
      <c r="C607" t="inlineStr">
        <is>
          <t>0                      BT 0301200S  57          1962</t>
        </is>
      </c>
      <c r="D607" t="inlineStr">
        <is>
          <t>Christ the Lord / Gerard S. Sloyan.</t>
        </is>
      </c>
      <c r="F607" t="inlineStr">
        <is>
          <t>No</t>
        </is>
      </c>
      <c r="G607" t="inlineStr">
        <is>
          <t>1</t>
        </is>
      </c>
      <c r="H607" t="inlineStr">
        <is>
          <t>No</t>
        </is>
      </c>
      <c r="I607" t="inlineStr">
        <is>
          <t>No</t>
        </is>
      </c>
      <c r="J607" t="inlineStr">
        <is>
          <t>0</t>
        </is>
      </c>
      <c r="K607" t="inlineStr">
        <is>
          <t>Sloyan, Gerard S., 1919-</t>
        </is>
      </c>
      <c r="L607" t="inlineStr">
        <is>
          <t>[New York] : Herder and Herder, [1962]</t>
        </is>
      </c>
      <c r="M607" t="inlineStr">
        <is>
          <t>1962</t>
        </is>
      </c>
      <c r="O607" t="inlineStr">
        <is>
          <t>eng</t>
        </is>
      </c>
      <c r="P607" t="inlineStr">
        <is>
          <t>nyu</t>
        </is>
      </c>
      <c r="R607" t="inlineStr">
        <is>
          <t xml:space="preserve">BT </t>
        </is>
      </c>
      <c r="S607" t="n">
        <v>2</v>
      </c>
      <c r="T607" t="n">
        <v>2</v>
      </c>
      <c r="U607" t="inlineStr">
        <is>
          <t>2004-03-25</t>
        </is>
      </c>
      <c r="V607" t="inlineStr">
        <is>
          <t>2004-03-25</t>
        </is>
      </c>
      <c r="W607" t="inlineStr">
        <is>
          <t>1991-08-16</t>
        </is>
      </c>
      <c r="X607" t="inlineStr">
        <is>
          <t>1991-08-16</t>
        </is>
      </c>
      <c r="Y607" t="n">
        <v>209</v>
      </c>
      <c r="Z607" t="n">
        <v>185</v>
      </c>
      <c r="AA607" t="n">
        <v>237</v>
      </c>
      <c r="AB607" t="n">
        <v>2</v>
      </c>
      <c r="AC607" t="n">
        <v>2</v>
      </c>
      <c r="AD607" t="n">
        <v>24</v>
      </c>
      <c r="AE607" t="n">
        <v>29</v>
      </c>
      <c r="AF607" t="n">
        <v>7</v>
      </c>
      <c r="AG607" t="n">
        <v>8</v>
      </c>
      <c r="AH607" t="n">
        <v>6</v>
      </c>
      <c r="AI607" t="n">
        <v>8</v>
      </c>
      <c r="AJ607" t="n">
        <v>21</v>
      </c>
      <c r="AK607" t="n">
        <v>25</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HYPERLINK("https://creighton-primo.hosted.exlibrisgroup.com/primo-explore/search?tab=default_tab&amp;search_scope=EVERYTHING&amp;vid=01CRU&amp;lang=en_US&amp;offset=0&amp;query=any,contains,991004180559702656","Catalog Record")</f>
        <v/>
      </c>
      <c r="AT607">
        <f>HYPERLINK("http://www.worldcat.org/oclc/2603194","WorldCat Record")</f>
        <v/>
      </c>
      <c r="AU607" t="inlineStr">
        <is>
          <t>3855313152:eng</t>
        </is>
      </c>
      <c r="AV607" t="inlineStr">
        <is>
          <t>2603194</t>
        </is>
      </c>
      <c r="AW607" t="inlineStr">
        <is>
          <t>991004180559702656</t>
        </is>
      </c>
      <c r="AX607" t="inlineStr">
        <is>
          <t>991004180559702656</t>
        </is>
      </c>
      <c r="AY607" t="inlineStr">
        <is>
          <t>2269377860002656</t>
        </is>
      </c>
      <c r="AZ607" t="inlineStr">
        <is>
          <t>BOOK</t>
        </is>
      </c>
      <c r="BC607" t="inlineStr">
        <is>
          <t>32285000713684</t>
        </is>
      </c>
      <c r="BD607" t="inlineStr">
        <is>
          <t>893442311</t>
        </is>
      </c>
    </row>
    <row r="608">
      <c r="A608" t="inlineStr">
        <is>
          <t>No</t>
        </is>
      </c>
      <c r="B608" t="inlineStr">
        <is>
          <t>BT301.2 .S683</t>
        </is>
      </c>
      <c r="C608" t="inlineStr">
        <is>
          <t>0                      BT 0301200S  683</t>
        </is>
      </c>
      <c r="D608" t="inlineStr">
        <is>
          <t>Jesus and his story / Ethelbert Stauffer. Translated from the German by Richard and Clara Winston</t>
        </is>
      </c>
      <c r="F608" t="inlineStr">
        <is>
          <t>No</t>
        </is>
      </c>
      <c r="G608" t="inlineStr">
        <is>
          <t>1</t>
        </is>
      </c>
      <c r="H608" t="inlineStr">
        <is>
          <t>No</t>
        </is>
      </c>
      <c r="I608" t="inlineStr">
        <is>
          <t>No</t>
        </is>
      </c>
      <c r="J608" t="inlineStr">
        <is>
          <t>0</t>
        </is>
      </c>
      <c r="K608" t="inlineStr">
        <is>
          <t>Stauffer, Ethelbert, 1902-1979.</t>
        </is>
      </c>
      <c r="L608" t="inlineStr">
        <is>
          <t>New York : Knopf, 1960 [c1959]</t>
        </is>
      </c>
      <c r="M608" t="inlineStr">
        <is>
          <t>1960</t>
        </is>
      </c>
      <c r="N608" t="inlineStr">
        <is>
          <t>[1st American ed.]</t>
        </is>
      </c>
      <c r="O608" t="inlineStr">
        <is>
          <t>eng</t>
        </is>
      </c>
      <c r="P608" t="inlineStr">
        <is>
          <t>nyu</t>
        </is>
      </c>
      <c r="R608" t="inlineStr">
        <is>
          <t xml:space="preserve">BT </t>
        </is>
      </c>
      <c r="S608" t="n">
        <v>7</v>
      </c>
      <c r="T608" t="n">
        <v>7</v>
      </c>
      <c r="U608" t="inlineStr">
        <is>
          <t>2009-04-08</t>
        </is>
      </c>
      <c r="V608" t="inlineStr">
        <is>
          <t>2009-04-08</t>
        </is>
      </c>
      <c r="W608" t="inlineStr">
        <is>
          <t>1991-08-16</t>
        </is>
      </c>
      <c r="X608" t="inlineStr">
        <is>
          <t>1991-08-16</t>
        </is>
      </c>
      <c r="Y608" t="n">
        <v>520</v>
      </c>
      <c r="Z608" t="n">
        <v>482</v>
      </c>
      <c r="AA608" t="n">
        <v>521</v>
      </c>
      <c r="AB608" t="n">
        <v>4</v>
      </c>
      <c r="AC608" t="n">
        <v>4</v>
      </c>
      <c r="AD608" t="n">
        <v>20</v>
      </c>
      <c r="AE608" t="n">
        <v>22</v>
      </c>
      <c r="AF608" t="n">
        <v>11</v>
      </c>
      <c r="AG608" t="n">
        <v>12</v>
      </c>
      <c r="AH608" t="n">
        <v>6</v>
      </c>
      <c r="AI608" t="n">
        <v>6</v>
      </c>
      <c r="AJ608" t="n">
        <v>8</v>
      </c>
      <c r="AK608" t="n">
        <v>10</v>
      </c>
      <c r="AL608" t="n">
        <v>0</v>
      </c>
      <c r="AM608" t="n">
        <v>0</v>
      </c>
      <c r="AN608" t="n">
        <v>0</v>
      </c>
      <c r="AO608" t="n">
        <v>0</v>
      </c>
      <c r="AP608" t="inlineStr">
        <is>
          <t>No</t>
        </is>
      </c>
      <c r="AQ608" t="inlineStr">
        <is>
          <t>Yes</t>
        </is>
      </c>
      <c r="AR608">
        <f>HYPERLINK("http://catalog.hathitrust.org/Record/006762108","HathiTrust Record")</f>
        <v/>
      </c>
      <c r="AS608">
        <f>HYPERLINK("https://creighton-primo.hosted.exlibrisgroup.com/primo-explore/search?tab=default_tab&amp;search_scope=EVERYTHING&amp;vid=01CRU&amp;lang=en_US&amp;offset=0&amp;query=any,contains,991001095009702656","Catalog Record")</f>
        <v/>
      </c>
      <c r="AT608">
        <f>HYPERLINK("http://www.worldcat.org/oclc/182742","WorldCat Record")</f>
        <v/>
      </c>
      <c r="AU608" t="inlineStr">
        <is>
          <t>138490208:eng</t>
        </is>
      </c>
      <c r="AV608" t="inlineStr">
        <is>
          <t>182742</t>
        </is>
      </c>
      <c r="AW608" t="inlineStr">
        <is>
          <t>991001095009702656</t>
        </is>
      </c>
      <c r="AX608" t="inlineStr">
        <is>
          <t>991001095009702656</t>
        </is>
      </c>
      <c r="AY608" t="inlineStr">
        <is>
          <t>2271301540002656</t>
        </is>
      </c>
      <c r="AZ608" t="inlineStr">
        <is>
          <t>BOOK</t>
        </is>
      </c>
      <c r="BC608" t="inlineStr">
        <is>
          <t>32285000713692</t>
        </is>
      </c>
      <c r="BD608" t="inlineStr">
        <is>
          <t>893626566</t>
        </is>
      </c>
    </row>
    <row r="609">
      <c r="A609" t="inlineStr">
        <is>
          <t>No</t>
        </is>
      </c>
      <c r="B609" t="inlineStr">
        <is>
          <t>BT301.2 .T45 1950</t>
        </is>
      </c>
      <c r="C609" t="inlineStr">
        <is>
          <t>0                      BT 0301200T  45          1950</t>
        </is>
      </c>
      <c r="D609" t="inlineStr">
        <is>
          <t>Pattern divine ; or, Our Lord's hidden life / by Patrick J. Temple.</t>
        </is>
      </c>
      <c r="F609" t="inlineStr">
        <is>
          <t>No</t>
        </is>
      </c>
      <c r="G609" t="inlineStr">
        <is>
          <t>1</t>
        </is>
      </c>
      <c r="H609" t="inlineStr">
        <is>
          <t>No</t>
        </is>
      </c>
      <c r="I609" t="inlineStr">
        <is>
          <t>No</t>
        </is>
      </c>
      <c r="J609" t="inlineStr">
        <is>
          <t>0</t>
        </is>
      </c>
      <c r="K609" t="inlineStr">
        <is>
          <t>Temple, P. J. (Patrick Joseph), 1889-1972.</t>
        </is>
      </c>
      <c r="L609" t="inlineStr">
        <is>
          <t>St. Louis ; London : Herder, 1950.</t>
        </is>
      </c>
      <c r="M609" t="inlineStr">
        <is>
          <t>1950</t>
        </is>
      </c>
      <c r="O609" t="inlineStr">
        <is>
          <t>eng</t>
        </is>
      </c>
      <c r="P609" t="inlineStr">
        <is>
          <t>___</t>
        </is>
      </c>
      <c r="R609" t="inlineStr">
        <is>
          <t xml:space="preserve">BT </t>
        </is>
      </c>
      <c r="S609" t="n">
        <v>1</v>
      </c>
      <c r="T609" t="n">
        <v>1</v>
      </c>
      <c r="U609" t="inlineStr">
        <is>
          <t>1993-11-19</t>
        </is>
      </c>
      <c r="V609" t="inlineStr">
        <is>
          <t>1993-11-19</t>
        </is>
      </c>
      <c r="W609" t="inlineStr">
        <is>
          <t>1991-08-16</t>
        </is>
      </c>
      <c r="X609" t="inlineStr">
        <is>
          <t>1991-08-16</t>
        </is>
      </c>
      <c r="Y609" t="n">
        <v>119</v>
      </c>
      <c r="Z609" t="n">
        <v>111</v>
      </c>
      <c r="AA609" t="n">
        <v>117</v>
      </c>
      <c r="AB609" t="n">
        <v>2</v>
      </c>
      <c r="AC609" t="n">
        <v>2</v>
      </c>
      <c r="AD609" t="n">
        <v>21</v>
      </c>
      <c r="AE609" t="n">
        <v>21</v>
      </c>
      <c r="AF609" t="n">
        <v>6</v>
      </c>
      <c r="AG609" t="n">
        <v>6</v>
      </c>
      <c r="AH609" t="n">
        <v>6</v>
      </c>
      <c r="AI609" t="n">
        <v>6</v>
      </c>
      <c r="AJ609" t="n">
        <v>16</v>
      </c>
      <c r="AK609" t="n">
        <v>16</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HYPERLINK("https://creighton-primo.hosted.exlibrisgroup.com/primo-explore/search?tab=default_tab&amp;search_scope=EVERYTHING&amp;vid=01CRU&amp;lang=en_US&amp;offset=0&amp;query=any,contains,991003138639702656","Catalog Record")</f>
        <v/>
      </c>
      <c r="AT609">
        <f>HYPERLINK("http://www.worldcat.org/oclc/680218","WorldCat Record")</f>
        <v/>
      </c>
      <c r="AU609" t="inlineStr">
        <is>
          <t>1928498039:eng</t>
        </is>
      </c>
      <c r="AV609" t="inlineStr">
        <is>
          <t>680218</t>
        </is>
      </c>
      <c r="AW609" t="inlineStr">
        <is>
          <t>991003138639702656</t>
        </is>
      </c>
      <c r="AX609" t="inlineStr">
        <is>
          <t>991003138639702656</t>
        </is>
      </c>
      <c r="AY609" t="inlineStr">
        <is>
          <t>2268604220002656</t>
        </is>
      </c>
      <c r="AZ609" t="inlineStr">
        <is>
          <t>BOOK</t>
        </is>
      </c>
      <c r="BC609" t="inlineStr">
        <is>
          <t>32285000713700</t>
        </is>
      </c>
      <c r="BD609" t="inlineStr">
        <is>
          <t>893262643</t>
        </is>
      </c>
    </row>
    <row r="610">
      <c r="A610" t="inlineStr">
        <is>
          <t>No</t>
        </is>
      </c>
      <c r="B610" t="inlineStr">
        <is>
          <t>BT301.2 .W54 1993</t>
        </is>
      </c>
      <c r="C610" t="inlineStr">
        <is>
          <t>0                      BT 0301200W  54          1993</t>
        </is>
      </c>
      <c r="D610" t="inlineStr">
        <is>
          <t>The gospel according to Mary: a New Testament for women / Miriam Therese Winter.</t>
        </is>
      </c>
      <c r="F610" t="inlineStr">
        <is>
          <t>No</t>
        </is>
      </c>
      <c r="G610" t="inlineStr">
        <is>
          <t>1</t>
        </is>
      </c>
      <c r="H610" t="inlineStr">
        <is>
          <t>No</t>
        </is>
      </c>
      <c r="I610" t="inlineStr">
        <is>
          <t>No</t>
        </is>
      </c>
      <c r="J610" t="inlineStr">
        <is>
          <t>0</t>
        </is>
      </c>
      <c r="K610" t="inlineStr">
        <is>
          <t>Winter, Miriam Therese.</t>
        </is>
      </c>
      <c r="L610" t="inlineStr">
        <is>
          <t>New York : Crossroad, 1993.</t>
        </is>
      </c>
      <c r="M610" t="inlineStr">
        <is>
          <t>1993</t>
        </is>
      </c>
      <c r="O610" t="inlineStr">
        <is>
          <t>eng</t>
        </is>
      </c>
      <c r="P610" t="inlineStr">
        <is>
          <t>nyu</t>
        </is>
      </c>
      <c r="R610" t="inlineStr">
        <is>
          <t xml:space="preserve">BT </t>
        </is>
      </c>
      <c r="S610" t="n">
        <v>3</v>
      </c>
      <c r="T610" t="n">
        <v>3</v>
      </c>
      <c r="U610" t="inlineStr">
        <is>
          <t>2008-12-05</t>
        </is>
      </c>
      <c r="V610" t="inlineStr">
        <is>
          <t>2008-12-05</t>
        </is>
      </c>
      <c r="W610" t="inlineStr">
        <is>
          <t>2003-01-20</t>
        </is>
      </c>
      <c r="X610" t="inlineStr">
        <is>
          <t>2003-01-20</t>
        </is>
      </c>
      <c r="Y610" t="n">
        <v>551</v>
      </c>
      <c r="Z610" t="n">
        <v>497</v>
      </c>
      <c r="AA610" t="n">
        <v>534</v>
      </c>
      <c r="AB610" t="n">
        <v>3</v>
      </c>
      <c r="AC610" t="n">
        <v>3</v>
      </c>
      <c r="AD610" t="n">
        <v>22</v>
      </c>
      <c r="AE610" t="n">
        <v>24</v>
      </c>
      <c r="AF610" t="n">
        <v>8</v>
      </c>
      <c r="AG610" t="n">
        <v>10</v>
      </c>
      <c r="AH610" t="n">
        <v>3</v>
      </c>
      <c r="AI610" t="n">
        <v>3</v>
      </c>
      <c r="AJ610" t="n">
        <v>14</v>
      </c>
      <c r="AK610" t="n">
        <v>14</v>
      </c>
      <c r="AL610" t="n">
        <v>1</v>
      </c>
      <c r="AM610" t="n">
        <v>1</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HYPERLINK("https://creighton-primo.hosted.exlibrisgroup.com/primo-explore/search?tab=default_tab&amp;search_scope=EVERYTHING&amp;vid=01CRU&amp;lang=en_US&amp;offset=0&amp;query=any,contains,991003975759702656","Catalog Record")</f>
        <v/>
      </c>
      <c r="AT610">
        <f>HYPERLINK("http://www.worldcat.org/oclc/27109213","WorldCat Record")</f>
        <v/>
      </c>
      <c r="AU610" t="inlineStr">
        <is>
          <t>356403:eng</t>
        </is>
      </c>
      <c r="AV610" t="inlineStr">
        <is>
          <t>27109213</t>
        </is>
      </c>
      <c r="AW610" t="inlineStr">
        <is>
          <t>991003975759702656</t>
        </is>
      </c>
      <c r="AX610" t="inlineStr">
        <is>
          <t>991003975759702656</t>
        </is>
      </c>
      <c r="AY610" t="inlineStr">
        <is>
          <t>2264108310002656</t>
        </is>
      </c>
      <c r="AZ610" t="inlineStr">
        <is>
          <t>BOOK</t>
        </is>
      </c>
      <c r="BB610" t="inlineStr">
        <is>
          <t>9780824511746</t>
        </is>
      </c>
      <c r="BC610" t="inlineStr">
        <is>
          <t>32285004694757</t>
        </is>
      </c>
      <c r="BD610" t="inlineStr">
        <is>
          <t>893712014</t>
        </is>
      </c>
    </row>
    <row r="611">
      <c r="A611" t="inlineStr">
        <is>
          <t>No</t>
        </is>
      </c>
      <c r="B611" t="inlineStr">
        <is>
          <t>BT303 .B3 1968</t>
        </is>
      </c>
      <c r="C611" t="inlineStr">
        <is>
          <t>0                      BT 0303000B  3           1968</t>
        </is>
      </c>
      <c r="D611" t="inlineStr">
        <is>
          <t>Jesus and the Gospel tradition / [by] C. K. Barrett.</t>
        </is>
      </c>
      <c r="F611" t="inlineStr">
        <is>
          <t>No</t>
        </is>
      </c>
      <c r="G611" t="inlineStr">
        <is>
          <t>1</t>
        </is>
      </c>
      <c r="H611" t="inlineStr">
        <is>
          <t>No</t>
        </is>
      </c>
      <c r="I611" t="inlineStr">
        <is>
          <t>No</t>
        </is>
      </c>
      <c r="J611" t="inlineStr">
        <is>
          <t>0</t>
        </is>
      </c>
      <c r="K611" t="inlineStr">
        <is>
          <t>Barrett, C. K. (Charles Kingsley), 1917-2011.</t>
        </is>
      </c>
      <c r="L611" t="inlineStr">
        <is>
          <t>Philadelphia : Fortress Press, 1968 [c1967]</t>
        </is>
      </c>
      <c r="M611" t="inlineStr">
        <is>
          <t>1968</t>
        </is>
      </c>
      <c r="O611" t="inlineStr">
        <is>
          <t>eng</t>
        </is>
      </c>
      <c r="P611" t="inlineStr">
        <is>
          <t>pau</t>
        </is>
      </c>
      <c r="R611" t="inlineStr">
        <is>
          <t xml:space="preserve">BT </t>
        </is>
      </c>
      <c r="S611" t="n">
        <v>3</v>
      </c>
      <c r="T611" t="n">
        <v>3</v>
      </c>
      <c r="U611" t="inlineStr">
        <is>
          <t>1997-04-10</t>
        </is>
      </c>
      <c r="V611" t="inlineStr">
        <is>
          <t>1997-04-10</t>
        </is>
      </c>
      <c r="W611" t="inlineStr">
        <is>
          <t>1991-08-16</t>
        </is>
      </c>
      <c r="X611" t="inlineStr">
        <is>
          <t>1991-08-16</t>
        </is>
      </c>
      <c r="Y611" t="n">
        <v>425</v>
      </c>
      <c r="Z611" t="n">
        <v>393</v>
      </c>
      <c r="AA611" t="n">
        <v>504</v>
      </c>
      <c r="AB611" t="n">
        <v>7</v>
      </c>
      <c r="AC611" t="n">
        <v>8</v>
      </c>
      <c r="AD611" t="n">
        <v>27</v>
      </c>
      <c r="AE611" t="n">
        <v>34</v>
      </c>
      <c r="AF611" t="n">
        <v>11</v>
      </c>
      <c r="AG611" t="n">
        <v>12</v>
      </c>
      <c r="AH611" t="n">
        <v>5</v>
      </c>
      <c r="AI611" t="n">
        <v>7</v>
      </c>
      <c r="AJ611" t="n">
        <v>14</v>
      </c>
      <c r="AK611" t="n">
        <v>18</v>
      </c>
      <c r="AL611" t="n">
        <v>5</v>
      </c>
      <c r="AM611" t="n">
        <v>6</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HYPERLINK("https://creighton-primo.hosted.exlibrisgroup.com/primo-explore/search?tab=default_tab&amp;search_scope=EVERYTHING&amp;vid=01CRU&amp;lang=en_US&amp;offset=0&amp;query=any,contains,991001214819702656","Catalog Record")</f>
        <v/>
      </c>
      <c r="AT611">
        <f>HYPERLINK("http://www.worldcat.org/oclc/193638","WorldCat Record")</f>
        <v/>
      </c>
      <c r="AU611" t="inlineStr">
        <is>
          <t>1357400:eng</t>
        </is>
      </c>
      <c r="AV611" t="inlineStr">
        <is>
          <t>193638</t>
        </is>
      </c>
      <c r="AW611" t="inlineStr">
        <is>
          <t>991001214819702656</t>
        </is>
      </c>
      <c r="AX611" t="inlineStr">
        <is>
          <t>991001214819702656</t>
        </is>
      </c>
      <c r="AY611" t="inlineStr">
        <is>
          <t>2268830600002656</t>
        </is>
      </c>
      <c r="AZ611" t="inlineStr">
        <is>
          <t>BOOK</t>
        </is>
      </c>
      <c r="BC611" t="inlineStr">
        <is>
          <t>32285000713767</t>
        </is>
      </c>
      <c r="BD611" t="inlineStr">
        <is>
          <t>893690436</t>
        </is>
      </c>
    </row>
    <row r="612">
      <c r="A612" t="inlineStr">
        <is>
          <t>No</t>
        </is>
      </c>
      <c r="B612" t="inlineStr">
        <is>
          <t>BT303 .B325 1991</t>
        </is>
      </c>
      <c r="C612" t="inlineStr">
        <is>
          <t>0                      BT 0303000B  325         1991</t>
        </is>
      </c>
      <c r="D612" t="inlineStr">
        <is>
          <t>Jesus &amp; the forgotten city : new light on Sepphoris and the urban world of Jesus / Richard A. Batey ; foreword by Paul L. Maier ; illustrated by J. Robert Teringo.</t>
        </is>
      </c>
      <c r="F612" t="inlineStr">
        <is>
          <t>No</t>
        </is>
      </c>
      <c r="G612" t="inlineStr">
        <is>
          <t>1</t>
        </is>
      </c>
      <c r="H612" t="inlineStr">
        <is>
          <t>No</t>
        </is>
      </c>
      <c r="I612" t="inlineStr">
        <is>
          <t>No</t>
        </is>
      </c>
      <c r="J612" t="inlineStr">
        <is>
          <t>0</t>
        </is>
      </c>
      <c r="K612" t="inlineStr">
        <is>
          <t>Batey, Richard A., 1933-</t>
        </is>
      </c>
      <c r="L612" t="inlineStr">
        <is>
          <t>Grand Rapids, Mich. : Baker Book House, c1991.</t>
        </is>
      </c>
      <c r="M612" t="inlineStr">
        <is>
          <t>1991</t>
        </is>
      </c>
      <c r="O612" t="inlineStr">
        <is>
          <t>eng</t>
        </is>
      </c>
      <c r="P612" t="inlineStr">
        <is>
          <t>miu</t>
        </is>
      </c>
      <c r="R612" t="inlineStr">
        <is>
          <t xml:space="preserve">BT </t>
        </is>
      </c>
      <c r="S612" t="n">
        <v>7</v>
      </c>
      <c r="T612" t="n">
        <v>7</v>
      </c>
      <c r="U612" t="inlineStr">
        <is>
          <t>1999-01-27</t>
        </is>
      </c>
      <c r="V612" t="inlineStr">
        <is>
          <t>1999-01-27</t>
        </is>
      </c>
      <c r="W612" t="inlineStr">
        <is>
          <t>1992-12-08</t>
        </is>
      </c>
      <c r="X612" t="inlineStr">
        <is>
          <t>1992-12-08</t>
        </is>
      </c>
      <c r="Y612" t="n">
        <v>309</v>
      </c>
      <c r="Z612" t="n">
        <v>261</v>
      </c>
      <c r="AA612" t="n">
        <v>268</v>
      </c>
      <c r="AB612" t="n">
        <v>6</v>
      </c>
      <c r="AC612" t="n">
        <v>6</v>
      </c>
      <c r="AD612" t="n">
        <v>15</v>
      </c>
      <c r="AE612" t="n">
        <v>15</v>
      </c>
      <c r="AF612" t="n">
        <v>7</v>
      </c>
      <c r="AG612" t="n">
        <v>7</v>
      </c>
      <c r="AH612" t="n">
        <v>2</v>
      </c>
      <c r="AI612" t="n">
        <v>2</v>
      </c>
      <c r="AJ612" t="n">
        <v>4</v>
      </c>
      <c r="AK612" t="n">
        <v>4</v>
      </c>
      <c r="AL612" t="n">
        <v>4</v>
      </c>
      <c r="AM612" t="n">
        <v>4</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HYPERLINK("https://creighton-primo.hosted.exlibrisgroup.com/primo-explore/search?tab=default_tab&amp;search_scope=EVERYTHING&amp;vid=01CRU&amp;lang=en_US&amp;offset=0&amp;query=any,contains,991001934119702656","Catalog Record")</f>
        <v/>
      </c>
      <c r="AT612">
        <f>HYPERLINK("http://www.worldcat.org/oclc/24430019","WorldCat Record")</f>
        <v/>
      </c>
      <c r="AU612" t="inlineStr">
        <is>
          <t>365509893:eng</t>
        </is>
      </c>
      <c r="AV612" t="inlineStr">
        <is>
          <t>24430019</t>
        </is>
      </c>
      <c r="AW612" t="inlineStr">
        <is>
          <t>991001934119702656</t>
        </is>
      </c>
      <c r="AX612" t="inlineStr">
        <is>
          <t>991001934119702656</t>
        </is>
      </c>
      <c r="AY612" t="inlineStr">
        <is>
          <t>2267931280002656</t>
        </is>
      </c>
      <c r="AZ612" t="inlineStr">
        <is>
          <t>BOOK</t>
        </is>
      </c>
      <c r="BB612" t="inlineStr">
        <is>
          <t>9780801010163</t>
        </is>
      </c>
      <c r="BC612" t="inlineStr">
        <is>
          <t>32285001401628</t>
        </is>
      </c>
      <c r="BD612" t="inlineStr">
        <is>
          <t>893898199</t>
        </is>
      </c>
    </row>
    <row r="613">
      <c r="A613" t="inlineStr">
        <is>
          <t>No</t>
        </is>
      </c>
      <c r="B613" t="inlineStr">
        <is>
          <t>BT303 .F62</t>
        </is>
      </c>
      <c r="C613" t="inlineStr">
        <is>
          <t>0                      BT 0303000F  62</t>
        </is>
      </c>
      <c r="D613" t="inlineStr">
        <is>
          <t>The Man from Nazareth as his contemporaries saw Him / by Harry Emreson Fosdick.</t>
        </is>
      </c>
      <c r="F613" t="inlineStr">
        <is>
          <t>No</t>
        </is>
      </c>
      <c r="G613" t="inlineStr">
        <is>
          <t>1</t>
        </is>
      </c>
      <c r="H613" t="inlineStr">
        <is>
          <t>No</t>
        </is>
      </c>
      <c r="I613" t="inlineStr">
        <is>
          <t>No</t>
        </is>
      </c>
      <c r="J613" t="inlineStr">
        <is>
          <t>0</t>
        </is>
      </c>
      <c r="K613" t="inlineStr">
        <is>
          <t>Fosdick, Harry Emerson, 1878-1969.</t>
        </is>
      </c>
      <c r="L613" t="inlineStr">
        <is>
          <t>New York : Harper, [1949]</t>
        </is>
      </c>
      <c r="M613" t="inlineStr">
        <is>
          <t>1949</t>
        </is>
      </c>
      <c r="N613" t="inlineStr">
        <is>
          <t>[1st ed.]</t>
        </is>
      </c>
      <c r="O613" t="inlineStr">
        <is>
          <t>eng</t>
        </is>
      </c>
      <c r="P613" t="inlineStr">
        <is>
          <t>nyu</t>
        </is>
      </c>
      <c r="R613" t="inlineStr">
        <is>
          <t xml:space="preserve">BT </t>
        </is>
      </c>
      <c r="S613" t="n">
        <v>9</v>
      </c>
      <c r="T613" t="n">
        <v>9</v>
      </c>
      <c r="U613" t="inlineStr">
        <is>
          <t>2001-02-07</t>
        </is>
      </c>
      <c r="V613" t="inlineStr">
        <is>
          <t>2001-02-07</t>
        </is>
      </c>
      <c r="W613" t="inlineStr">
        <is>
          <t>1991-08-16</t>
        </is>
      </c>
      <c r="X613" t="inlineStr">
        <is>
          <t>1991-08-16</t>
        </is>
      </c>
      <c r="Y613" t="n">
        <v>1372</v>
      </c>
      <c r="Z613" t="n">
        <v>1287</v>
      </c>
      <c r="AA613" t="n">
        <v>1369</v>
      </c>
      <c r="AB613" t="n">
        <v>12</v>
      </c>
      <c r="AC613" t="n">
        <v>13</v>
      </c>
      <c r="AD613" t="n">
        <v>32</v>
      </c>
      <c r="AE613" t="n">
        <v>36</v>
      </c>
      <c r="AF613" t="n">
        <v>12</v>
      </c>
      <c r="AG613" t="n">
        <v>12</v>
      </c>
      <c r="AH613" t="n">
        <v>7</v>
      </c>
      <c r="AI613" t="n">
        <v>8</v>
      </c>
      <c r="AJ613" t="n">
        <v>10</v>
      </c>
      <c r="AK613" t="n">
        <v>13</v>
      </c>
      <c r="AL613" t="n">
        <v>6</v>
      </c>
      <c r="AM613" t="n">
        <v>7</v>
      </c>
      <c r="AN613" t="n">
        <v>0</v>
      </c>
      <c r="AO613" t="n">
        <v>0</v>
      </c>
      <c r="AP613" t="inlineStr">
        <is>
          <t>No</t>
        </is>
      </c>
      <c r="AQ613" t="inlineStr">
        <is>
          <t>Yes</t>
        </is>
      </c>
      <c r="AR613">
        <f>HYPERLINK("http://catalog.hathitrust.org/Record/001400557","HathiTrust Record")</f>
        <v/>
      </c>
      <c r="AS613">
        <f>HYPERLINK("https://creighton-primo.hosted.exlibrisgroup.com/primo-explore/search?tab=default_tab&amp;search_scope=EVERYTHING&amp;vid=01CRU&amp;lang=en_US&amp;offset=0&amp;query=any,contains,991002641999702656","Catalog Record")</f>
        <v/>
      </c>
      <c r="AT613">
        <f>HYPERLINK("http://www.worldcat.org/oclc/384707","WorldCat Record")</f>
        <v/>
      </c>
      <c r="AU613" t="inlineStr">
        <is>
          <t>445225:eng</t>
        </is>
      </c>
      <c r="AV613" t="inlineStr">
        <is>
          <t>384707</t>
        </is>
      </c>
      <c r="AW613" t="inlineStr">
        <is>
          <t>991002641999702656</t>
        </is>
      </c>
      <c r="AX613" t="inlineStr">
        <is>
          <t>991002641999702656</t>
        </is>
      </c>
      <c r="AY613" t="inlineStr">
        <is>
          <t>2256267340002656</t>
        </is>
      </c>
      <c r="AZ613" t="inlineStr">
        <is>
          <t>BOOK</t>
        </is>
      </c>
      <c r="BC613" t="inlineStr">
        <is>
          <t>32285000713825</t>
        </is>
      </c>
      <c r="BD613" t="inlineStr">
        <is>
          <t>893504633</t>
        </is>
      </c>
    </row>
    <row r="614">
      <c r="A614" t="inlineStr">
        <is>
          <t>No</t>
        </is>
      </c>
      <c r="B614" t="inlineStr">
        <is>
          <t>BT303 .G8613 1975</t>
        </is>
      </c>
      <c r="C614" t="inlineStr">
        <is>
          <t>0                      BT 0303000G  8613        1975</t>
        </is>
      </c>
      <c r="D614" t="inlineStr">
        <is>
          <t>The religious experience of Jesus and His Disciples / by Jacques Guillet ; translated by Mary Innocentia Richards.</t>
        </is>
      </c>
      <c r="F614" t="inlineStr">
        <is>
          <t>No</t>
        </is>
      </c>
      <c r="G614" t="inlineStr">
        <is>
          <t>1</t>
        </is>
      </c>
      <c r="H614" t="inlineStr">
        <is>
          <t>No</t>
        </is>
      </c>
      <c r="I614" t="inlineStr">
        <is>
          <t>No</t>
        </is>
      </c>
      <c r="J614" t="inlineStr">
        <is>
          <t>0</t>
        </is>
      </c>
      <c r="K614" t="inlineStr">
        <is>
          <t>Guillet, Jacques.</t>
        </is>
      </c>
      <c r="L614" t="inlineStr">
        <is>
          <t>St. Meinrad, Ind. : Abbey Press, 1975.</t>
        </is>
      </c>
      <c r="M614" t="inlineStr">
        <is>
          <t>1975</t>
        </is>
      </c>
      <c r="O614" t="inlineStr">
        <is>
          <t>eng</t>
        </is>
      </c>
      <c r="P614" t="inlineStr">
        <is>
          <t>inu</t>
        </is>
      </c>
      <c r="Q614" t="inlineStr">
        <is>
          <t>Religious experience series ; v. 9</t>
        </is>
      </c>
      <c r="R614" t="inlineStr">
        <is>
          <t xml:space="preserve">BT </t>
        </is>
      </c>
      <c r="S614" t="n">
        <v>4</v>
      </c>
      <c r="T614" t="n">
        <v>4</v>
      </c>
      <c r="U614" t="inlineStr">
        <is>
          <t>1998-09-04</t>
        </is>
      </c>
      <c r="V614" t="inlineStr">
        <is>
          <t>1998-09-04</t>
        </is>
      </c>
      <c r="W614" t="inlineStr">
        <is>
          <t>1991-08-16</t>
        </is>
      </c>
      <c r="X614" t="inlineStr">
        <is>
          <t>1991-08-16</t>
        </is>
      </c>
      <c r="Y614" t="n">
        <v>127</v>
      </c>
      <c r="Z614" t="n">
        <v>113</v>
      </c>
      <c r="AA614" t="n">
        <v>118</v>
      </c>
      <c r="AB614" t="n">
        <v>2</v>
      </c>
      <c r="AC614" t="n">
        <v>2</v>
      </c>
      <c r="AD614" t="n">
        <v>14</v>
      </c>
      <c r="AE614" t="n">
        <v>14</v>
      </c>
      <c r="AF614" t="n">
        <v>3</v>
      </c>
      <c r="AG614" t="n">
        <v>3</v>
      </c>
      <c r="AH614" t="n">
        <v>4</v>
      </c>
      <c r="AI614" t="n">
        <v>4</v>
      </c>
      <c r="AJ614" t="n">
        <v>11</v>
      </c>
      <c r="AK614" t="n">
        <v>11</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HYPERLINK("https://creighton-primo.hosted.exlibrisgroup.com/primo-explore/search?tab=default_tab&amp;search_scope=EVERYTHING&amp;vid=01CRU&amp;lang=en_US&amp;offset=0&amp;query=any,contains,991003719249702656","Catalog Record")</f>
        <v/>
      </c>
      <c r="AT614">
        <f>HYPERLINK("http://www.worldcat.org/oclc/1365039","WorldCat Record")</f>
        <v/>
      </c>
      <c r="AU614" t="inlineStr">
        <is>
          <t>40721270:eng</t>
        </is>
      </c>
      <c r="AV614" t="inlineStr">
        <is>
          <t>1365039</t>
        </is>
      </c>
      <c r="AW614" t="inlineStr">
        <is>
          <t>991003719249702656</t>
        </is>
      </c>
      <c r="AX614" t="inlineStr">
        <is>
          <t>991003719249702656</t>
        </is>
      </c>
      <c r="AY614" t="inlineStr">
        <is>
          <t>2256101580002656</t>
        </is>
      </c>
      <c r="AZ614" t="inlineStr">
        <is>
          <t>BOOK</t>
        </is>
      </c>
      <c r="BB614" t="inlineStr">
        <is>
          <t>9780870290442</t>
        </is>
      </c>
      <c r="BC614" t="inlineStr">
        <is>
          <t>32285000713866</t>
        </is>
      </c>
      <c r="BD614" t="inlineStr">
        <is>
          <t>893693067</t>
        </is>
      </c>
    </row>
    <row r="615">
      <c r="A615" t="inlineStr">
        <is>
          <t>No</t>
        </is>
      </c>
      <c r="B615" t="inlineStr">
        <is>
          <t>BT303 .T93 1993</t>
        </is>
      </c>
      <c r="C615" t="inlineStr">
        <is>
          <t>0                      BT 0303000T  93          1993</t>
        </is>
      </c>
      <c r="D615" t="inlineStr">
        <is>
          <t>Jesus the exorcist : a contribution to the study of the historical Jesus / by Graham H. Twelftree.</t>
        </is>
      </c>
      <c r="F615" t="inlineStr">
        <is>
          <t>No</t>
        </is>
      </c>
      <c r="G615" t="inlineStr">
        <is>
          <t>1</t>
        </is>
      </c>
      <c r="H615" t="inlineStr">
        <is>
          <t>No</t>
        </is>
      </c>
      <c r="I615" t="inlineStr">
        <is>
          <t>No</t>
        </is>
      </c>
      <c r="J615" t="inlineStr">
        <is>
          <t>0</t>
        </is>
      </c>
      <c r="K615" t="inlineStr">
        <is>
          <t>Twelftree, Graham H.</t>
        </is>
      </c>
      <c r="L615" t="inlineStr">
        <is>
          <t>Tübingen : Mohr, c1993.</t>
        </is>
      </c>
      <c r="M615" t="inlineStr">
        <is>
          <t>1993</t>
        </is>
      </c>
      <c r="O615" t="inlineStr">
        <is>
          <t>eng</t>
        </is>
      </c>
      <c r="P615" t="inlineStr">
        <is>
          <t xml:space="preserve">gw </t>
        </is>
      </c>
      <c r="Q615" t="inlineStr">
        <is>
          <t>Wissenschaftliche Untersuchungen zum Neuen Testament. 2. Reihe, 0340-9570 ; 54</t>
        </is>
      </c>
      <c r="R615" t="inlineStr">
        <is>
          <t xml:space="preserve">BT </t>
        </is>
      </c>
      <c r="S615" t="n">
        <v>5</v>
      </c>
      <c r="T615" t="n">
        <v>5</v>
      </c>
      <c r="U615" t="inlineStr">
        <is>
          <t>2001-01-18</t>
        </is>
      </c>
      <c r="V615" t="inlineStr">
        <is>
          <t>2001-01-18</t>
        </is>
      </c>
      <c r="W615" t="inlineStr">
        <is>
          <t>1995-03-07</t>
        </is>
      </c>
      <c r="X615" t="inlineStr">
        <is>
          <t>1995-03-07</t>
        </is>
      </c>
      <c r="Y615" t="n">
        <v>192</v>
      </c>
      <c r="Z615" t="n">
        <v>105</v>
      </c>
      <c r="AA615" t="n">
        <v>106</v>
      </c>
      <c r="AB615" t="n">
        <v>1</v>
      </c>
      <c r="AC615" t="n">
        <v>1</v>
      </c>
      <c r="AD615" t="n">
        <v>10</v>
      </c>
      <c r="AE615" t="n">
        <v>10</v>
      </c>
      <c r="AF615" t="n">
        <v>2</v>
      </c>
      <c r="AG615" t="n">
        <v>2</v>
      </c>
      <c r="AH615" t="n">
        <v>3</v>
      </c>
      <c r="AI615" t="n">
        <v>3</v>
      </c>
      <c r="AJ615" t="n">
        <v>6</v>
      </c>
      <c r="AK615" t="n">
        <v>6</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HYPERLINK("https://creighton-primo.hosted.exlibrisgroup.com/primo-explore/search?tab=default_tab&amp;search_scope=EVERYTHING&amp;vid=01CRU&amp;lang=en_US&amp;offset=0&amp;query=any,contains,991002259769702656","Catalog Record")</f>
        <v/>
      </c>
      <c r="AT615">
        <f>HYPERLINK("http://www.worldcat.org/oclc/29302577","WorldCat Record")</f>
        <v/>
      </c>
      <c r="AU615" t="inlineStr">
        <is>
          <t>807715005:eng</t>
        </is>
      </c>
      <c r="AV615" t="inlineStr">
        <is>
          <t>29302577</t>
        </is>
      </c>
      <c r="AW615" t="inlineStr">
        <is>
          <t>991002259769702656</t>
        </is>
      </c>
      <c r="AX615" t="inlineStr">
        <is>
          <t>991002259769702656</t>
        </is>
      </c>
      <c r="AY615" t="inlineStr">
        <is>
          <t>2259943820002656</t>
        </is>
      </c>
      <c r="AZ615" t="inlineStr">
        <is>
          <t>BOOK</t>
        </is>
      </c>
      <c r="BB615" t="inlineStr">
        <is>
          <t>9783161459597</t>
        </is>
      </c>
      <c r="BC615" t="inlineStr">
        <is>
          <t>32285002001443</t>
        </is>
      </c>
      <c r="BD615" t="inlineStr">
        <is>
          <t>893809390</t>
        </is>
      </c>
    </row>
    <row r="616">
      <c r="A616" t="inlineStr">
        <is>
          <t>No</t>
        </is>
      </c>
      <c r="B616" t="inlineStr">
        <is>
          <t>BT303.2 .A6</t>
        </is>
      </c>
      <c r="C616" t="inlineStr">
        <is>
          <t>0                      BT 0303200A  6</t>
        </is>
      </c>
      <c r="D616" t="inlineStr">
        <is>
          <t>Jesus and Christian origins : a commentary on modern viewpoints / Hugh Anderson.</t>
        </is>
      </c>
      <c r="F616" t="inlineStr">
        <is>
          <t>No</t>
        </is>
      </c>
      <c r="G616" t="inlineStr">
        <is>
          <t>1</t>
        </is>
      </c>
      <c r="H616" t="inlineStr">
        <is>
          <t>No</t>
        </is>
      </c>
      <c r="I616" t="inlineStr">
        <is>
          <t>No</t>
        </is>
      </c>
      <c r="J616" t="inlineStr">
        <is>
          <t>0</t>
        </is>
      </c>
      <c r="K616" t="inlineStr">
        <is>
          <t>Anderson, Hugh, 1920-</t>
        </is>
      </c>
      <c r="L616" t="inlineStr">
        <is>
          <t>New York : Oxford University Press, 1964.</t>
        </is>
      </c>
      <c r="M616" t="inlineStr">
        <is>
          <t>1964</t>
        </is>
      </c>
      <c r="O616" t="inlineStr">
        <is>
          <t>eng</t>
        </is>
      </c>
      <c r="P616" t="inlineStr">
        <is>
          <t>___</t>
        </is>
      </c>
      <c r="R616" t="inlineStr">
        <is>
          <t xml:space="preserve">BT </t>
        </is>
      </c>
      <c r="S616" t="n">
        <v>4</v>
      </c>
      <c r="T616" t="n">
        <v>4</v>
      </c>
      <c r="U616" t="inlineStr">
        <is>
          <t>2010-03-25</t>
        </is>
      </c>
      <c r="V616" t="inlineStr">
        <is>
          <t>2010-03-25</t>
        </is>
      </c>
      <c r="W616" t="inlineStr">
        <is>
          <t>1991-09-10</t>
        </is>
      </c>
      <c r="X616" t="inlineStr">
        <is>
          <t>1991-09-10</t>
        </is>
      </c>
      <c r="Y616" t="n">
        <v>721</v>
      </c>
      <c r="Z616" t="n">
        <v>594</v>
      </c>
      <c r="AA616" t="n">
        <v>601</v>
      </c>
      <c r="AB616" t="n">
        <v>5</v>
      </c>
      <c r="AC616" t="n">
        <v>5</v>
      </c>
      <c r="AD616" t="n">
        <v>33</v>
      </c>
      <c r="AE616" t="n">
        <v>33</v>
      </c>
      <c r="AF616" t="n">
        <v>14</v>
      </c>
      <c r="AG616" t="n">
        <v>14</v>
      </c>
      <c r="AH616" t="n">
        <v>6</v>
      </c>
      <c r="AI616" t="n">
        <v>6</v>
      </c>
      <c r="AJ616" t="n">
        <v>18</v>
      </c>
      <c r="AK616" t="n">
        <v>18</v>
      </c>
      <c r="AL616" t="n">
        <v>4</v>
      </c>
      <c r="AM616" t="n">
        <v>4</v>
      </c>
      <c r="AN616" t="n">
        <v>0</v>
      </c>
      <c r="AO616" t="n">
        <v>0</v>
      </c>
      <c r="AP616" t="inlineStr">
        <is>
          <t>No</t>
        </is>
      </c>
      <c r="AQ616" t="inlineStr">
        <is>
          <t>Yes</t>
        </is>
      </c>
      <c r="AR616">
        <f>HYPERLINK("http://catalog.hathitrust.org/Record/001412232","HathiTrust Record")</f>
        <v/>
      </c>
      <c r="AS616">
        <f>HYPERLINK("https://creighton-primo.hosted.exlibrisgroup.com/primo-explore/search?tab=default_tab&amp;search_scope=EVERYTHING&amp;vid=01CRU&amp;lang=en_US&amp;offset=0&amp;query=any,contains,991002447419702656","Catalog Record")</f>
        <v/>
      </c>
      <c r="AT616">
        <f>HYPERLINK("http://www.worldcat.org/oclc/351917","WorldCat Record")</f>
        <v/>
      </c>
      <c r="AU616" t="inlineStr">
        <is>
          <t>145027856:eng</t>
        </is>
      </c>
      <c r="AV616" t="inlineStr">
        <is>
          <t>351917</t>
        </is>
      </c>
      <c r="AW616" t="inlineStr">
        <is>
          <t>991002447419702656</t>
        </is>
      </c>
      <c r="AX616" t="inlineStr">
        <is>
          <t>991002447419702656</t>
        </is>
      </c>
      <c r="AY616" t="inlineStr">
        <is>
          <t>2266774420002656</t>
        </is>
      </c>
      <c r="AZ616" t="inlineStr">
        <is>
          <t>BOOK</t>
        </is>
      </c>
      <c r="BC616" t="inlineStr">
        <is>
          <t>32285000708015</t>
        </is>
      </c>
      <c r="BD616" t="inlineStr">
        <is>
          <t>893322956</t>
        </is>
      </c>
    </row>
    <row r="617">
      <c r="A617" t="inlineStr">
        <is>
          <t>No</t>
        </is>
      </c>
      <c r="B617" t="inlineStr">
        <is>
          <t>BT303.2 .B82 1984</t>
        </is>
      </c>
      <c r="C617" t="inlineStr">
        <is>
          <t>0                      BT 0303200B  82          1984</t>
        </is>
      </c>
      <c r="D617" t="inlineStr">
        <is>
          <t>Jesus, the King and his kingdom / by George Wesley Buchanan.</t>
        </is>
      </c>
      <c r="F617" t="inlineStr">
        <is>
          <t>No</t>
        </is>
      </c>
      <c r="G617" t="inlineStr">
        <is>
          <t>1</t>
        </is>
      </c>
      <c r="H617" t="inlineStr">
        <is>
          <t>No</t>
        </is>
      </c>
      <c r="I617" t="inlineStr">
        <is>
          <t>No</t>
        </is>
      </c>
      <c r="J617" t="inlineStr">
        <is>
          <t>0</t>
        </is>
      </c>
      <c r="K617" t="inlineStr">
        <is>
          <t>Buchanan, George Wesley.</t>
        </is>
      </c>
      <c r="L617" t="inlineStr">
        <is>
          <t>Macon, Ga. : Mercer, c1984.</t>
        </is>
      </c>
      <c r="M617" t="inlineStr">
        <is>
          <t>1984</t>
        </is>
      </c>
      <c r="O617" t="inlineStr">
        <is>
          <t>eng</t>
        </is>
      </c>
      <c r="P617" t="inlineStr">
        <is>
          <t>gau</t>
        </is>
      </c>
      <c r="R617" t="inlineStr">
        <is>
          <t xml:space="preserve">BT </t>
        </is>
      </c>
      <c r="S617" t="n">
        <v>3</v>
      </c>
      <c r="T617" t="n">
        <v>3</v>
      </c>
      <c r="U617" t="inlineStr">
        <is>
          <t>2000-09-10</t>
        </is>
      </c>
      <c r="V617" t="inlineStr">
        <is>
          <t>2000-09-10</t>
        </is>
      </c>
      <c r="W617" t="inlineStr">
        <is>
          <t>1990-02-20</t>
        </is>
      </c>
      <c r="X617" t="inlineStr">
        <is>
          <t>1990-02-20</t>
        </is>
      </c>
      <c r="Y617" t="n">
        <v>486</v>
      </c>
      <c r="Z617" t="n">
        <v>419</v>
      </c>
      <c r="AA617" t="n">
        <v>423</v>
      </c>
      <c r="AB617" t="n">
        <v>4</v>
      </c>
      <c r="AC617" t="n">
        <v>4</v>
      </c>
      <c r="AD617" t="n">
        <v>25</v>
      </c>
      <c r="AE617" t="n">
        <v>26</v>
      </c>
      <c r="AF617" t="n">
        <v>9</v>
      </c>
      <c r="AG617" t="n">
        <v>10</v>
      </c>
      <c r="AH617" t="n">
        <v>5</v>
      </c>
      <c r="AI617" t="n">
        <v>5</v>
      </c>
      <c r="AJ617" t="n">
        <v>16</v>
      </c>
      <c r="AK617" t="n">
        <v>17</v>
      </c>
      <c r="AL617" t="n">
        <v>3</v>
      </c>
      <c r="AM617" t="n">
        <v>3</v>
      </c>
      <c r="AN617" t="n">
        <v>0</v>
      </c>
      <c r="AO617" t="n">
        <v>0</v>
      </c>
      <c r="AP617" t="inlineStr">
        <is>
          <t>No</t>
        </is>
      </c>
      <c r="AQ617" t="inlineStr">
        <is>
          <t>Yes</t>
        </is>
      </c>
      <c r="AR617">
        <f>HYPERLINK("http://catalog.hathitrust.org/Record/000244202","HathiTrust Record")</f>
        <v/>
      </c>
      <c r="AS617">
        <f>HYPERLINK("https://creighton-primo.hosted.exlibrisgroup.com/primo-explore/search?tab=default_tab&amp;search_scope=EVERYTHING&amp;vid=01CRU&amp;lang=en_US&amp;offset=0&amp;query=any,contains,991000331509702656","Catalog Record")</f>
        <v/>
      </c>
      <c r="AT617">
        <f>HYPERLINK("http://www.worldcat.org/oclc/10207341","WorldCat Record")</f>
        <v/>
      </c>
      <c r="AU617" t="inlineStr">
        <is>
          <t>2867660:eng</t>
        </is>
      </c>
      <c r="AV617" t="inlineStr">
        <is>
          <t>10207341</t>
        </is>
      </c>
      <c r="AW617" t="inlineStr">
        <is>
          <t>991000331509702656</t>
        </is>
      </c>
      <c r="AX617" t="inlineStr">
        <is>
          <t>991000331509702656</t>
        </is>
      </c>
      <c r="AY617" t="inlineStr">
        <is>
          <t>2264960470002656</t>
        </is>
      </c>
      <c r="AZ617" t="inlineStr">
        <is>
          <t>BOOK</t>
        </is>
      </c>
      <c r="BB617" t="inlineStr">
        <is>
          <t>9780865540729</t>
        </is>
      </c>
      <c r="BC617" t="inlineStr">
        <is>
          <t>32285000056944</t>
        </is>
      </c>
      <c r="BD617" t="inlineStr">
        <is>
          <t>893702019</t>
        </is>
      </c>
    </row>
    <row r="618">
      <c r="A618" t="inlineStr">
        <is>
          <t>No</t>
        </is>
      </c>
      <c r="B618" t="inlineStr">
        <is>
          <t>BT303.2 .C46 1988</t>
        </is>
      </c>
      <c r="C618" t="inlineStr">
        <is>
          <t>0                      BT 0303200C  46          1988</t>
        </is>
      </c>
      <c r="D618" t="inlineStr">
        <is>
          <t>Jesus within Judaism : new light from exciting archaeological discoveries / James H. Charlesworth.</t>
        </is>
      </c>
      <c r="F618" t="inlineStr">
        <is>
          <t>No</t>
        </is>
      </c>
      <c r="G618" t="inlineStr">
        <is>
          <t>1</t>
        </is>
      </c>
      <c r="H618" t="inlineStr">
        <is>
          <t>No</t>
        </is>
      </c>
      <c r="I618" t="inlineStr">
        <is>
          <t>No</t>
        </is>
      </c>
      <c r="J618" t="inlineStr">
        <is>
          <t>0</t>
        </is>
      </c>
      <c r="K618" t="inlineStr">
        <is>
          <t>Charlesworth, James H.</t>
        </is>
      </c>
      <c r="L618" t="inlineStr">
        <is>
          <t>New York : Doubleday, 1988.</t>
        </is>
      </c>
      <c r="M618" t="inlineStr">
        <is>
          <t>1988</t>
        </is>
      </c>
      <c r="N618" t="inlineStr">
        <is>
          <t>1st ed.</t>
        </is>
      </c>
      <c r="O618" t="inlineStr">
        <is>
          <t>eng</t>
        </is>
      </c>
      <c r="P618" t="inlineStr">
        <is>
          <t>nyu</t>
        </is>
      </c>
      <c r="Q618" t="inlineStr">
        <is>
          <t>Anchor Bible reference library</t>
        </is>
      </c>
      <c r="R618" t="inlineStr">
        <is>
          <t xml:space="preserve">BT </t>
        </is>
      </c>
      <c r="S618" t="n">
        <v>7</v>
      </c>
      <c r="T618" t="n">
        <v>7</v>
      </c>
      <c r="U618" t="inlineStr">
        <is>
          <t>2010-11-06</t>
        </is>
      </c>
      <c r="V618" t="inlineStr">
        <is>
          <t>2010-11-06</t>
        </is>
      </c>
      <c r="W618" t="inlineStr">
        <is>
          <t>1991-08-16</t>
        </is>
      </c>
      <c r="X618" t="inlineStr">
        <is>
          <t>1991-08-16</t>
        </is>
      </c>
      <c r="Y618" t="n">
        <v>940</v>
      </c>
      <c r="Z618" t="n">
        <v>821</v>
      </c>
      <c r="AA618" t="n">
        <v>835</v>
      </c>
      <c r="AB618" t="n">
        <v>10</v>
      </c>
      <c r="AC618" t="n">
        <v>10</v>
      </c>
      <c r="AD618" t="n">
        <v>43</v>
      </c>
      <c r="AE618" t="n">
        <v>43</v>
      </c>
      <c r="AF618" t="n">
        <v>16</v>
      </c>
      <c r="AG618" t="n">
        <v>16</v>
      </c>
      <c r="AH618" t="n">
        <v>9</v>
      </c>
      <c r="AI618" t="n">
        <v>9</v>
      </c>
      <c r="AJ618" t="n">
        <v>24</v>
      </c>
      <c r="AK618" t="n">
        <v>24</v>
      </c>
      <c r="AL618" t="n">
        <v>5</v>
      </c>
      <c r="AM618" t="n">
        <v>5</v>
      </c>
      <c r="AN618" t="n">
        <v>0</v>
      </c>
      <c r="AO618" t="n">
        <v>0</v>
      </c>
      <c r="AP618" t="inlineStr">
        <is>
          <t>No</t>
        </is>
      </c>
      <c r="AQ618" t="inlineStr">
        <is>
          <t>Yes</t>
        </is>
      </c>
      <c r="AR618">
        <f>HYPERLINK("http://catalog.hathitrust.org/Record/001071718","HathiTrust Record")</f>
        <v/>
      </c>
      <c r="AS618">
        <f>HYPERLINK("https://creighton-primo.hosted.exlibrisgroup.com/primo-explore/search?tab=default_tab&amp;search_scope=EVERYTHING&amp;vid=01CRU&amp;lang=en_US&amp;offset=0&amp;query=any,contains,991001068549702656","Catalog Record")</f>
        <v/>
      </c>
      <c r="AT618">
        <f>HYPERLINK("http://www.worldcat.org/oclc/15856144","WorldCat Record")</f>
        <v/>
      </c>
      <c r="AU618" t="inlineStr">
        <is>
          <t>10935452:eng</t>
        </is>
      </c>
      <c r="AV618" t="inlineStr">
        <is>
          <t>15856144</t>
        </is>
      </c>
      <c r="AW618" t="inlineStr">
        <is>
          <t>991001068549702656</t>
        </is>
      </c>
      <c r="AX618" t="inlineStr">
        <is>
          <t>991001068549702656</t>
        </is>
      </c>
      <c r="AY618" t="inlineStr">
        <is>
          <t>2272355040002656</t>
        </is>
      </c>
      <c r="AZ618" t="inlineStr">
        <is>
          <t>BOOK</t>
        </is>
      </c>
      <c r="BB618" t="inlineStr">
        <is>
          <t>9780385236102</t>
        </is>
      </c>
      <c r="BC618" t="inlineStr">
        <is>
          <t>32285000713908</t>
        </is>
      </c>
      <c r="BD618" t="inlineStr">
        <is>
          <t>893321601</t>
        </is>
      </c>
    </row>
    <row r="619">
      <c r="A619" t="inlineStr">
        <is>
          <t>No</t>
        </is>
      </c>
      <c r="B619" t="inlineStr">
        <is>
          <t>BT303.2 .H28 1984</t>
        </is>
      </c>
      <c r="C619" t="inlineStr">
        <is>
          <t>0                      BT 0303200H  28          1984</t>
        </is>
      </c>
      <c r="D619" t="inlineStr">
        <is>
          <t>Ancient evidence for the life of Jesus / Gary R. Habermas.</t>
        </is>
      </c>
      <c r="F619" t="inlineStr">
        <is>
          <t>No</t>
        </is>
      </c>
      <c r="G619" t="inlineStr">
        <is>
          <t>1</t>
        </is>
      </c>
      <c r="H619" t="inlineStr">
        <is>
          <t>No</t>
        </is>
      </c>
      <c r="I619" t="inlineStr">
        <is>
          <t>No</t>
        </is>
      </c>
      <c r="J619" t="inlineStr">
        <is>
          <t>0</t>
        </is>
      </c>
      <c r="K619" t="inlineStr">
        <is>
          <t>Habermas, Gary R.</t>
        </is>
      </c>
      <c r="L619" t="inlineStr">
        <is>
          <t>Nashville, Tenn. : Thomas Nelson, c1984.</t>
        </is>
      </c>
      <c r="M619" t="inlineStr">
        <is>
          <t>1984</t>
        </is>
      </c>
      <c r="O619" t="inlineStr">
        <is>
          <t>eng</t>
        </is>
      </c>
      <c r="P619" t="inlineStr">
        <is>
          <t>tnu</t>
        </is>
      </c>
      <c r="R619" t="inlineStr">
        <is>
          <t xml:space="preserve">BT </t>
        </is>
      </c>
      <c r="S619" t="n">
        <v>3</v>
      </c>
      <c r="T619" t="n">
        <v>3</v>
      </c>
      <c r="U619" t="inlineStr">
        <is>
          <t>2010-09-22</t>
        </is>
      </c>
      <c r="V619" t="inlineStr">
        <is>
          <t>2010-09-22</t>
        </is>
      </c>
      <c r="W619" t="inlineStr">
        <is>
          <t>2008-12-09</t>
        </is>
      </c>
      <c r="X619" t="inlineStr">
        <is>
          <t>2008-12-09</t>
        </is>
      </c>
      <c r="Y619" t="n">
        <v>247</v>
      </c>
      <c r="Z619" t="n">
        <v>223</v>
      </c>
      <c r="AA619" t="n">
        <v>225</v>
      </c>
      <c r="AB619" t="n">
        <v>4</v>
      </c>
      <c r="AC619" t="n">
        <v>4</v>
      </c>
      <c r="AD619" t="n">
        <v>11</v>
      </c>
      <c r="AE619" t="n">
        <v>11</v>
      </c>
      <c r="AF619" t="n">
        <v>3</v>
      </c>
      <c r="AG619" t="n">
        <v>3</v>
      </c>
      <c r="AH619" t="n">
        <v>2</v>
      </c>
      <c r="AI619" t="n">
        <v>2</v>
      </c>
      <c r="AJ619" t="n">
        <v>7</v>
      </c>
      <c r="AK619" t="n">
        <v>7</v>
      </c>
      <c r="AL619" t="n">
        <v>2</v>
      </c>
      <c r="AM619" t="n">
        <v>2</v>
      </c>
      <c r="AN619" t="n">
        <v>0</v>
      </c>
      <c r="AO619" t="n">
        <v>0</v>
      </c>
      <c r="AP619" t="inlineStr">
        <is>
          <t>No</t>
        </is>
      </c>
      <c r="AQ619" t="inlineStr">
        <is>
          <t>Yes</t>
        </is>
      </c>
      <c r="AR619">
        <f>HYPERLINK("http://catalog.hathitrust.org/Record/000365847","HathiTrust Record")</f>
        <v/>
      </c>
      <c r="AS619">
        <f>HYPERLINK("https://creighton-primo.hosted.exlibrisgroup.com/primo-explore/search?tab=default_tab&amp;search_scope=EVERYTHING&amp;vid=01CRU&amp;lang=en_US&amp;offset=0&amp;query=any,contains,991005281829702656","Catalog Record")</f>
        <v/>
      </c>
      <c r="AT619">
        <f>HYPERLINK("http://www.worldcat.org/oclc/11468656","WorldCat Record")</f>
        <v/>
      </c>
      <c r="AU619" t="inlineStr">
        <is>
          <t>3936821:eng</t>
        </is>
      </c>
      <c r="AV619" t="inlineStr">
        <is>
          <t>11468656</t>
        </is>
      </c>
      <c r="AW619" t="inlineStr">
        <is>
          <t>991005281829702656</t>
        </is>
      </c>
      <c r="AX619" t="inlineStr">
        <is>
          <t>991005281829702656</t>
        </is>
      </c>
      <c r="AY619" t="inlineStr">
        <is>
          <t>2264686190002656</t>
        </is>
      </c>
      <c r="AZ619" t="inlineStr">
        <is>
          <t>BOOK</t>
        </is>
      </c>
      <c r="BB619" t="inlineStr">
        <is>
          <t>9780840759191</t>
        </is>
      </c>
      <c r="BC619" t="inlineStr">
        <is>
          <t>32285005471015</t>
        </is>
      </c>
      <c r="BD619" t="inlineStr">
        <is>
          <t>893236585</t>
        </is>
      </c>
    </row>
    <row r="620">
      <c r="A620" t="inlineStr">
        <is>
          <t>No</t>
        </is>
      </c>
      <c r="B620" t="inlineStr">
        <is>
          <t>BT303.2 .H37 1982</t>
        </is>
      </c>
      <c r="C620" t="inlineStr">
        <is>
          <t>0                      BT 0303200H  37          1982</t>
        </is>
      </c>
      <c r="D620" t="inlineStr">
        <is>
          <t>Jesus and the constraints of history / A.E. Harvey.</t>
        </is>
      </c>
      <c r="F620" t="inlineStr">
        <is>
          <t>No</t>
        </is>
      </c>
      <c r="G620" t="inlineStr">
        <is>
          <t>1</t>
        </is>
      </c>
      <c r="H620" t="inlineStr">
        <is>
          <t>No</t>
        </is>
      </c>
      <c r="I620" t="inlineStr">
        <is>
          <t>No</t>
        </is>
      </c>
      <c r="J620" t="inlineStr">
        <is>
          <t>0</t>
        </is>
      </c>
      <c r="K620" t="inlineStr">
        <is>
          <t>Harvey, A. E. (Anthony Ernest)</t>
        </is>
      </c>
      <c r="L620" t="inlineStr">
        <is>
          <t>Philadelphia : Westminster Press, c1982.</t>
        </is>
      </c>
      <c r="M620" t="inlineStr">
        <is>
          <t>1982</t>
        </is>
      </c>
      <c r="O620" t="inlineStr">
        <is>
          <t>eng</t>
        </is>
      </c>
      <c r="P620" t="inlineStr">
        <is>
          <t>pau</t>
        </is>
      </c>
      <c r="R620" t="inlineStr">
        <is>
          <t xml:space="preserve">BT </t>
        </is>
      </c>
      <c r="S620" t="n">
        <v>4</v>
      </c>
      <c r="T620" t="n">
        <v>4</v>
      </c>
      <c r="U620" t="inlineStr">
        <is>
          <t>2002-02-07</t>
        </is>
      </c>
      <c r="V620" t="inlineStr">
        <is>
          <t>2002-02-07</t>
        </is>
      </c>
      <c r="W620" t="inlineStr">
        <is>
          <t>1991-08-16</t>
        </is>
      </c>
      <c r="X620" t="inlineStr">
        <is>
          <t>1991-08-16</t>
        </is>
      </c>
      <c r="Y620" t="n">
        <v>644</v>
      </c>
      <c r="Z620" t="n">
        <v>579</v>
      </c>
      <c r="AA620" t="n">
        <v>627</v>
      </c>
      <c r="AB620" t="n">
        <v>3</v>
      </c>
      <c r="AC620" t="n">
        <v>3</v>
      </c>
      <c r="AD620" t="n">
        <v>34</v>
      </c>
      <c r="AE620" t="n">
        <v>34</v>
      </c>
      <c r="AF620" t="n">
        <v>16</v>
      </c>
      <c r="AG620" t="n">
        <v>16</v>
      </c>
      <c r="AH620" t="n">
        <v>6</v>
      </c>
      <c r="AI620" t="n">
        <v>6</v>
      </c>
      <c r="AJ620" t="n">
        <v>17</v>
      </c>
      <c r="AK620" t="n">
        <v>17</v>
      </c>
      <c r="AL620" t="n">
        <v>2</v>
      </c>
      <c r="AM620" t="n">
        <v>2</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HYPERLINK("https://creighton-primo.hosted.exlibrisgroup.com/primo-explore/search?tab=default_tab&amp;search_scope=EVERYTHING&amp;vid=01CRU&amp;lang=en_US&amp;offset=0&amp;query=any,contains,991005172589702656","Catalog Record")</f>
        <v/>
      </c>
      <c r="AT620">
        <f>HYPERLINK("http://www.worldcat.org/oclc/7876142","WorldCat Record")</f>
        <v/>
      </c>
      <c r="AU620" t="inlineStr">
        <is>
          <t>513557:eng</t>
        </is>
      </c>
      <c r="AV620" t="inlineStr">
        <is>
          <t>7876142</t>
        </is>
      </c>
      <c r="AW620" t="inlineStr">
        <is>
          <t>991005172589702656</t>
        </is>
      </c>
      <c r="AX620" t="inlineStr">
        <is>
          <t>991005172589702656</t>
        </is>
      </c>
      <c r="AY620" t="inlineStr">
        <is>
          <t>2268806590002656</t>
        </is>
      </c>
      <c r="AZ620" t="inlineStr">
        <is>
          <t>BOOK</t>
        </is>
      </c>
      <c r="BB620" t="inlineStr">
        <is>
          <t>9780664218256</t>
        </is>
      </c>
      <c r="BC620" t="inlineStr">
        <is>
          <t>32285000713932</t>
        </is>
      </c>
      <c r="BD620" t="inlineStr">
        <is>
          <t>893236401</t>
        </is>
      </c>
    </row>
    <row r="621">
      <c r="A621" t="inlineStr">
        <is>
          <t>No</t>
        </is>
      </c>
      <c r="B621" t="inlineStr">
        <is>
          <t>BT303.2 .K5</t>
        </is>
      </c>
      <c r="C621" t="inlineStr">
        <is>
          <t>0                      BT 0303200K  5</t>
        </is>
      </c>
      <c r="D621" t="inlineStr">
        <is>
          <t>The church and the reality of Christ / John Knox.</t>
        </is>
      </c>
      <c r="F621" t="inlineStr">
        <is>
          <t>No</t>
        </is>
      </c>
      <c r="G621" t="inlineStr">
        <is>
          <t>1</t>
        </is>
      </c>
      <c r="H621" t="inlineStr">
        <is>
          <t>No</t>
        </is>
      </c>
      <c r="I621" t="inlineStr">
        <is>
          <t>No</t>
        </is>
      </c>
      <c r="J621" t="inlineStr">
        <is>
          <t>0</t>
        </is>
      </c>
      <c r="K621" t="inlineStr">
        <is>
          <t>Knox, John, 1900-1990.</t>
        </is>
      </c>
      <c r="L621" t="inlineStr">
        <is>
          <t>New York : Harper &amp; Row, [1962]</t>
        </is>
      </c>
      <c r="M621" t="inlineStr">
        <is>
          <t>1962</t>
        </is>
      </c>
      <c r="N621" t="inlineStr">
        <is>
          <t>[1st ed.]</t>
        </is>
      </c>
      <c r="O621" t="inlineStr">
        <is>
          <t>eng</t>
        </is>
      </c>
      <c r="P621" t="inlineStr">
        <is>
          <t>nyu</t>
        </is>
      </c>
      <c r="R621" t="inlineStr">
        <is>
          <t xml:space="preserve">BT </t>
        </is>
      </c>
      <c r="S621" t="n">
        <v>3</v>
      </c>
      <c r="T621" t="n">
        <v>3</v>
      </c>
      <c r="U621" t="inlineStr">
        <is>
          <t>2000-10-05</t>
        </is>
      </c>
      <c r="V621" t="inlineStr">
        <is>
          <t>2000-10-05</t>
        </is>
      </c>
      <c r="W621" t="inlineStr">
        <is>
          <t>1991-08-16</t>
        </is>
      </c>
      <c r="X621" t="inlineStr">
        <is>
          <t>1991-08-16</t>
        </is>
      </c>
      <c r="Y621" t="n">
        <v>382</v>
      </c>
      <c r="Z621" t="n">
        <v>341</v>
      </c>
      <c r="AA621" t="n">
        <v>366</v>
      </c>
      <c r="AB621" t="n">
        <v>3</v>
      </c>
      <c r="AC621" t="n">
        <v>3</v>
      </c>
      <c r="AD621" t="n">
        <v>17</v>
      </c>
      <c r="AE621" t="n">
        <v>20</v>
      </c>
      <c r="AF621" t="n">
        <v>8</v>
      </c>
      <c r="AG621" t="n">
        <v>9</v>
      </c>
      <c r="AH621" t="n">
        <v>3</v>
      </c>
      <c r="AI621" t="n">
        <v>5</v>
      </c>
      <c r="AJ621" t="n">
        <v>8</v>
      </c>
      <c r="AK621" t="n">
        <v>9</v>
      </c>
      <c r="AL621" t="n">
        <v>2</v>
      </c>
      <c r="AM621" t="n">
        <v>2</v>
      </c>
      <c r="AN621" t="n">
        <v>0</v>
      </c>
      <c r="AO621" t="n">
        <v>0</v>
      </c>
      <c r="AP621" t="inlineStr">
        <is>
          <t>No</t>
        </is>
      </c>
      <c r="AQ621" t="inlineStr">
        <is>
          <t>Yes</t>
        </is>
      </c>
      <c r="AR621">
        <f>HYPERLINK("http://catalog.hathitrust.org/Record/101872135","HathiTrust Record")</f>
        <v/>
      </c>
      <c r="AS621">
        <f>HYPERLINK("https://creighton-primo.hosted.exlibrisgroup.com/primo-explore/search?tab=default_tab&amp;search_scope=EVERYTHING&amp;vid=01CRU&amp;lang=en_US&amp;offset=0&amp;query=any,contains,991003745599702656","Catalog Record")</f>
        <v/>
      </c>
      <c r="AT621">
        <f>HYPERLINK("http://www.worldcat.org/oclc/1416671","WorldCat Record")</f>
        <v/>
      </c>
      <c r="AU621" t="inlineStr">
        <is>
          <t>60194325:eng</t>
        </is>
      </c>
      <c r="AV621" t="inlineStr">
        <is>
          <t>1416671</t>
        </is>
      </c>
      <c r="AW621" t="inlineStr">
        <is>
          <t>991003745599702656</t>
        </is>
      </c>
      <c r="AX621" t="inlineStr">
        <is>
          <t>991003745599702656</t>
        </is>
      </c>
      <c r="AY621" t="inlineStr">
        <is>
          <t>2264129850002656</t>
        </is>
      </c>
      <c r="AZ621" t="inlineStr">
        <is>
          <t>BOOK</t>
        </is>
      </c>
      <c r="BC621" t="inlineStr">
        <is>
          <t>32285000713973</t>
        </is>
      </c>
      <c r="BD621" t="inlineStr">
        <is>
          <t>893349083</t>
        </is>
      </c>
    </row>
    <row r="622">
      <c r="A622" t="inlineStr">
        <is>
          <t>No</t>
        </is>
      </c>
      <c r="B622" t="inlineStr">
        <is>
          <t>BT303.2 .M4664 1992</t>
        </is>
      </c>
      <c r="C622" t="inlineStr">
        <is>
          <t>0                      BT 0303200M  4664        1992</t>
        </is>
      </c>
      <c r="D622" t="inlineStr">
        <is>
          <t>Christus Faber : the master builder and the house of God / Ben F. Meyer.</t>
        </is>
      </c>
      <c r="F622" t="inlineStr">
        <is>
          <t>No</t>
        </is>
      </c>
      <c r="G622" t="inlineStr">
        <is>
          <t>1</t>
        </is>
      </c>
      <c r="H622" t="inlineStr">
        <is>
          <t>No</t>
        </is>
      </c>
      <c r="I622" t="inlineStr">
        <is>
          <t>No</t>
        </is>
      </c>
      <c r="J622" t="inlineStr">
        <is>
          <t>0</t>
        </is>
      </c>
      <c r="K622" t="inlineStr">
        <is>
          <t>Meyer, Ben F., 1927-</t>
        </is>
      </c>
      <c r="L622" t="inlineStr">
        <is>
          <t>Allison Park, Pa. : Pickwick Publications, 1992.</t>
        </is>
      </c>
      <c r="M622" t="inlineStr">
        <is>
          <t>1992</t>
        </is>
      </c>
      <c r="O622" t="inlineStr">
        <is>
          <t>eng</t>
        </is>
      </c>
      <c r="P622" t="inlineStr">
        <is>
          <t>pau</t>
        </is>
      </c>
      <c r="Q622" t="inlineStr">
        <is>
          <t>Princeton theological monograph series ; 29</t>
        </is>
      </c>
      <c r="R622" t="inlineStr">
        <is>
          <t xml:space="preserve">BT </t>
        </is>
      </c>
      <c r="S622" t="n">
        <v>8</v>
      </c>
      <c r="T622" t="n">
        <v>8</v>
      </c>
      <c r="U622" t="inlineStr">
        <is>
          <t>2002-02-21</t>
        </is>
      </c>
      <c r="V622" t="inlineStr">
        <is>
          <t>2002-02-21</t>
        </is>
      </c>
      <c r="W622" t="inlineStr">
        <is>
          <t>1997-11-19</t>
        </is>
      </c>
      <c r="X622" t="inlineStr">
        <is>
          <t>1997-11-19</t>
        </is>
      </c>
      <c r="Y622" t="n">
        <v>159</v>
      </c>
      <c r="Z622" t="n">
        <v>122</v>
      </c>
      <c r="AA622" t="n">
        <v>122</v>
      </c>
      <c r="AB622" t="n">
        <v>1</v>
      </c>
      <c r="AC622" t="n">
        <v>1</v>
      </c>
      <c r="AD622" t="n">
        <v>11</v>
      </c>
      <c r="AE622" t="n">
        <v>11</v>
      </c>
      <c r="AF622" t="n">
        <v>4</v>
      </c>
      <c r="AG622" t="n">
        <v>4</v>
      </c>
      <c r="AH622" t="n">
        <v>2</v>
      </c>
      <c r="AI622" t="n">
        <v>2</v>
      </c>
      <c r="AJ622" t="n">
        <v>9</v>
      </c>
      <c r="AK622" t="n">
        <v>9</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HYPERLINK("https://creighton-primo.hosted.exlibrisgroup.com/primo-explore/search?tab=default_tab&amp;search_scope=EVERYTHING&amp;vid=01CRU&amp;lang=en_US&amp;offset=0&amp;query=any,contains,991001977639702656","Catalog Record")</f>
        <v/>
      </c>
      <c r="AT622">
        <f>HYPERLINK("http://www.worldcat.org/oclc/25093369","WorldCat Record")</f>
        <v/>
      </c>
      <c r="AU622" t="inlineStr">
        <is>
          <t>138713014:eng</t>
        </is>
      </c>
      <c r="AV622" t="inlineStr">
        <is>
          <t>25093369</t>
        </is>
      </c>
      <c r="AW622" t="inlineStr">
        <is>
          <t>991001977639702656</t>
        </is>
      </c>
      <c r="AX622" t="inlineStr">
        <is>
          <t>991001977639702656</t>
        </is>
      </c>
      <c r="AY622" t="inlineStr">
        <is>
          <t>2263236920002656</t>
        </is>
      </c>
      <c r="AZ622" t="inlineStr">
        <is>
          <t>BOOK</t>
        </is>
      </c>
      <c r="BB622" t="inlineStr">
        <is>
          <t>9781556350146</t>
        </is>
      </c>
      <c r="BC622" t="inlineStr">
        <is>
          <t>32285003271631</t>
        </is>
      </c>
      <c r="BD622" t="inlineStr">
        <is>
          <t>893684809</t>
        </is>
      </c>
    </row>
    <row r="623">
      <c r="A623" t="inlineStr">
        <is>
          <t>No</t>
        </is>
      </c>
      <c r="B623" t="inlineStr">
        <is>
          <t>BT303.2.K33 S6</t>
        </is>
      </c>
      <c r="C623" t="inlineStr">
        <is>
          <t>0                      BT 0303200K  33                 S  6</t>
        </is>
      </c>
      <c r="D623" t="inlineStr">
        <is>
          <t>The so-called historical Jesus and the historic, Biblical Christ / by Martin Kähler. Translated, edited, and with an introd. by Carl E. Braaten. Foreword by Paul J. Tillich.</t>
        </is>
      </c>
      <c r="F623" t="inlineStr">
        <is>
          <t>No</t>
        </is>
      </c>
      <c r="G623" t="inlineStr">
        <is>
          <t>1</t>
        </is>
      </c>
      <c r="H623" t="inlineStr">
        <is>
          <t>No</t>
        </is>
      </c>
      <c r="I623" t="inlineStr">
        <is>
          <t>Yes</t>
        </is>
      </c>
      <c r="J623" t="inlineStr">
        <is>
          <t>0</t>
        </is>
      </c>
      <c r="K623" t="inlineStr">
        <is>
          <t>Kähler, Martin, 1835-1912.</t>
        </is>
      </c>
      <c r="L623" t="inlineStr">
        <is>
          <t>Philadelphia : Fortress Press, c1964, 1966 printing.</t>
        </is>
      </c>
      <c r="M623" t="inlineStr">
        <is>
          <t>1964</t>
        </is>
      </c>
      <c r="O623" t="inlineStr">
        <is>
          <t>eng</t>
        </is>
      </c>
      <c r="P623" t="inlineStr">
        <is>
          <t>pau</t>
        </is>
      </c>
      <c r="Q623" t="inlineStr">
        <is>
          <t>Seminar editions</t>
        </is>
      </c>
      <c r="R623" t="inlineStr">
        <is>
          <t xml:space="preserve">BT </t>
        </is>
      </c>
      <c r="S623" t="n">
        <v>9</v>
      </c>
      <c r="T623" t="n">
        <v>9</v>
      </c>
      <c r="U623" t="inlineStr">
        <is>
          <t>2008-11-17</t>
        </is>
      </c>
      <c r="V623" t="inlineStr">
        <is>
          <t>2008-11-17</t>
        </is>
      </c>
      <c r="W623" t="inlineStr">
        <is>
          <t>1990-06-26</t>
        </is>
      </c>
      <c r="X623" t="inlineStr">
        <is>
          <t>1990-06-26</t>
        </is>
      </c>
      <c r="Y623" t="n">
        <v>582</v>
      </c>
      <c r="Z623" t="n">
        <v>498</v>
      </c>
      <c r="AA623" t="n">
        <v>611</v>
      </c>
      <c r="AB623" t="n">
        <v>6</v>
      </c>
      <c r="AC623" t="n">
        <v>7</v>
      </c>
      <c r="AD623" t="n">
        <v>34</v>
      </c>
      <c r="AE623" t="n">
        <v>40</v>
      </c>
      <c r="AF623" t="n">
        <v>11</v>
      </c>
      <c r="AG623" t="n">
        <v>13</v>
      </c>
      <c r="AH623" t="n">
        <v>8</v>
      </c>
      <c r="AI623" t="n">
        <v>9</v>
      </c>
      <c r="AJ623" t="n">
        <v>19</v>
      </c>
      <c r="AK623" t="n">
        <v>23</v>
      </c>
      <c r="AL623" t="n">
        <v>5</v>
      </c>
      <c r="AM623" t="n">
        <v>6</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HYPERLINK("https://creighton-primo.hosted.exlibrisgroup.com/primo-explore/search?tab=default_tab&amp;search_scope=EVERYTHING&amp;vid=01CRU&amp;lang=en_US&amp;offset=0&amp;query=any,contains,991000965349702656","Catalog Record")</f>
        <v/>
      </c>
      <c r="AT623">
        <f>HYPERLINK("http://www.worldcat.org/oclc/170242","WorldCat Record")</f>
        <v/>
      </c>
      <c r="AU623" t="inlineStr">
        <is>
          <t>1294253:eng</t>
        </is>
      </c>
      <c r="AV623" t="inlineStr">
        <is>
          <t>170242</t>
        </is>
      </c>
      <c r="AW623" t="inlineStr">
        <is>
          <t>991000965349702656</t>
        </is>
      </c>
      <c r="AX623" t="inlineStr">
        <is>
          <t>991000965349702656</t>
        </is>
      </c>
      <c r="AY623" t="inlineStr">
        <is>
          <t>2269522950002656</t>
        </is>
      </c>
      <c r="AZ623" t="inlineStr">
        <is>
          <t>BOOK</t>
        </is>
      </c>
      <c r="BC623" t="inlineStr">
        <is>
          <t>32285000215011</t>
        </is>
      </c>
      <c r="BD623" t="inlineStr">
        <is>
          <t>893865839</t>
        </is>
      </c>
    </row>
    <row r="624">
      <c r="A624" t="inlineStr">
        <is>
          <t>No</t>
        </is>
      </c>
      <c r="B624" t="inlineStr">
        <is>
          <t>BT303.9 .J64 1989</t>
        </is>
      </c>
      <c r="C624" t="inlineStr">
        <is>
          <t>0                      BT 0303900J  64          1989</t>
        </is>
      </c>
      <c r="D624" t="inlineStr">
        <is>
          <t>Jesus and his towns / by Sherman E. Johnson.</t>
        </is>
      </c>
      <c r="F624" t="inlineStr">
        <is>
          <t>No</t>
        </is>
      </c>
      <c r="G624" t="inlineStr">
        <is>
          <t>1</t>
        </is>
      </c>
      <c r="H624" t="inlineStr">
        <is>
          <t>No</t>
        </is>
      </c>
      <c r="I624" t="inlineStr">
        <is>
          <t>No</t>
        </is>
      </c>
      <c r="J624" t="inlineStr">
        <is>
          <t>0</t>
        </is>
      </c>
      <c r="K624" t="inlineStr">
        <is>
          <t>Johnson, Sherman E. (Sherman Elbridge), 1908-</t>
        </is>
      </c>
      <c r="L624" t="inlineStr">
        <is>
          <t>Wilmington, Del. : M. Glazier, 1989.</t>
        </is>
      </c>
      <c r="M624" t="inlineStr">
        <is>
          <t>1989</t>
        </is>
      </c>
      <c r="O624" t="inlineStr">
        <is>
          <t>eng</t>
        </is>
      </c>
      <c r="P624" t="inlineStr">
        <is>
          <t>deu</t>
        </is>
      </c>
      <c r="Q624" t="inlineStr">
        <is>
          <t>Good news studies ; v. 33</t>
        </is>
      </c>
      <c r="R624" t="inlineStr">
        <is>
          <t xml:space="preserve">BT </t>
        </is>
      </c>
      <c r="S624" t="n">
        <v>1</v>
      </c>
      <c r="T624" t="n">
        <v>1</v>
      </c>
      <c r="U624" t="inlineStr">
        <is>
          <t>1992-08-04</t>
        </is>
      </c>
      <c r="V624" t="inlineStr">
        <is>
          <t>1992-08-04</t>
        </is>
      </c>
      <c r="W624" t="inlineStr">
        <is>
          <t>1989-11-13</t>
        </is>
      </c>
      <c r="X624" t="inlineStr">
        <is>
          <t>1989-11-13</t>
        </is>
      </c>
      <c r="Y624" t="n">
        <v>229</v>
      </c>
      <c r="Z624" t="n">
        <v>191</v>
      </c>
      <c r="AA624" t="n">
        <v>191</v>
      </c>
      <c r="AB624" t="n">
        <v>2</v>
      </c>
      <c r="AC624" t="n">
        <v>2</v>
      </c>
      <c r="AD624" t="n">
        <v>18</v>
      </c>
      <c r="AE624" t="n">
        <v>18</v>
      </c>
      <c r="AF624" t="n">
        <v>6</v>
      </c>
      <c r="AG624" t="n">
        <v>6</v>
      </c>
      <c r="AH624" t="n">
        <v>5</v>
      </c>
      <c r="AI624" t="n">
        <v>5</v>
      </c>
      <c r="AJ624" t="n">
        <v>12</v>
      </c>
      <c r="AK624" t="n">
        <v>12</v>
      </c>
      <c r="AL624" t="n">
        <v>0</v>
      </c>
      <c r="AM624" t="n">
        <v>0</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HYPERLINK("https://creighton-primo.hosted.exlibrisgroup.com/primo-explore/search?tab=default_tab&amp;search_scope=EVERYTHING&amp;vid=01CRU&amp;lang=en_US&amp;offset=0&amp;query=any,contains,991001404079702656","Catalog Record")</f>
        <v/>
      </c>
      <c r="AT624">
        <f>HYPERLINK("http://www.worldcat.org/oclc/18834621","WorldCat Record")</f>
        <v/>
      </c>
      <c r="AU624" t="inlineStr">
        <is>
          <t>18974110:eng</t>
        </is>
      </c>
      <c r="AV624" t="inlineStr">
        <is>
          <t>18834621</t>
        </is>
      </c>
      <c r="AW624" t="inlineStr">
        <is>
          <t>991001404079702656</t>
        </is>
      </c>
      <c r="AX624" t="inlineStr">
        <is>
          <t>991001404079702656</t>
        </is>
      </c>
      <c r="AY624" t="inlineStr">
        <is>
          <t>2257820620002656</t>
        </is>
      </c>
      <c r="AZ624" t="inlineStr">
        <is>
          <t>BOOK</t>
        </is>
      </c>
      <c r="BB624" t="inlineStr">
        <is>
          <t>9780894536533</t>
        </is>
      </c>
      <c r="BC624" t="inlineStr">
        <is>
          <t>32285000012756</t>
        </is>
      </c>
      <c r="BD624" t="inlineStr">
        <is>
          <t>893256225</t>
        </is>
      </c>
    </row>
    <row r="625">
      <c r="A625" t="inlineStr">
        <is>
          <t>No</t>
        </is>
      </c>
      <c r="B625" t="inlineStr">
        <is>
          <t>BT304 .M6 1935</t>
        </is>
      </c>
      <c r="C625" t="inlineStr">
        <is>
          <t>0                      BT 0304000M  6           1935</t>
        </is>
      </c>
      <c r="D625" t="inlineStr">
        <is>
          <t>A portrait of Christ / by Henri Morice ; with a preface by the Rev. Michael McGrath.</t>
        </is>
      </c>
      <c r="F625" t="inlineStr">
        <is>
          <t>No</t>
        </is>
      </c>
      <c r="G625" t="inlineStr">
        <is>
          <t>1</t>
        </is>
      </c>
      <c r="H625" t="inlineStr">
        <is>
          <t>No</t>
        </is>
      </c>
      <c r="I625" t="inlineStr">
        <is>
          <t>No</t>
        </is>
      </c>
      <c r="J625" t="inlineStr">
        <is>
          <t>0</t>
        </is>
      </c>
      <c r="K625" t="inlineStr">
        <is>
          <t>Morice, Henri.</t>
        </is>
      </c>
      <c r="L625" t="inlineStr">
        <is>
          <t>New York : Spiritual Book Associates, c1935.</t>
        </is>
      </c>
      <c r="M625" t="inlineStr">
        <is>
          <t>1935</t>
        </is>
      </c>
      <c r="O625" t="inlineStr">
        <is>
          <t>eng</t>
        </is>
      </c>
      <c r="P625" t="inlineStr">
        <is>
          <t>___</t>
        </is>
      </c>
      <c r="R625" t="inlineStr">
        <is>
          <t xml:space="preserve">BT </t>
        </is>
      </c>
      <c r="S625" t="n">
        <v>3</v>
      </c>
      <c r="T625" t="n">
        <v>3</v>
      </c>
      <c r="U625" t="inlineStr">
        <is>
          <t>2001-09-30</t>
        </is>
      </c>
      <c r="V625" t="inlineStr">
        <is>
          <t>2001-09-30</t>
        </is>
      </c>
      <c r="W625" t="inlineStr">
        <is>
          <t>1991-08-16</t>
        </is>
      </c>
      <c r="X625" t="inlineStr">
        <is>
          <t>1991-08-16</t>
        </is>
      </c>
      <c r="Y625" t="n">
        <v>30</v>
      </c>
      <c r="Z625" t="n">
        <v>28</v>
      </c>
      <c r="AA625" t="n">
        <v>39</v>
      </c>
      <c r="AB625" t="n">
        <v>1</v>
      </c>
      <c r="AC625" t="n">
        <v>1</v>
      </c>
      <c r="AD625" t="n">
        <v>7</v>
      </c>
      <c r="AE625" t="n">
        <v>11</v>
      </c>
      <c r="AF625" t="n">
        <v>1</v>
      </c>
      <c r="AG625" t="n">
        <v>2</v>
      </c>
      <c r="AH625" t="n">
        <v>2</v>
      </c>
      <c r="AI625" t="n">
        <v>4</v>
      </c>
      <c r="AJ625" t="n">
        <v>6</v>
      </c>
      <c r="AK625" t="n">
        <v>9</v>
      </c>
      <c r="AL625" t="n">
        <v>0</v>
      </c>
      <c r="AM625" t="n">
        <v>0</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HYPERLINK("https://creighton-primo.hosted.exlibrisgroup.com/primo-explore/search?tab=default_tab&amp;search_scope=EVERYTHING&amp;vid=01CRU&amp;lang=en_US&amp;offset=0&amp;query=any,contains,991003134369702656","Catalog Record")</f>
        <v/>
      </c>
      <c r="AT625">
        <f>HYPERLINK("http://www.worldcat.org/oclc/676495","WorldCat Record")</f>
        <v/>
      </c>
      <c r="AU625" t="inlineStr">
        <is>
          <t>1731489:eng</t>
        </is>
      </c>
      <c r="AV625" t="inlineStr">
        <is>
          <t>676495</t>
        </is>
      </c>
      <c r="AW625" t="inlineStr">
        <is>
          <t>991003134369702656</t>
        </is>
      </c>
      <c r="AX625" t="inlineStr">
        <is>
          <t>991003134369702656</t>
        </is>
      </c>
      <c r="AY625" t="inlineStr">
        <is>
          <t>2270144210002656</t>
        </is>
      </c>
      <c r="AZ625" t="inlineStr">
        <is>
          <t>BOOK</t>
        </is>
      </c>
      <c r="BC625" t="inlineStr">
        <is>
          <t>32285000714070</t>
        </is>
      </c>
      <c r="BD625" t="inlineStr">
        <is>
          <t>893880846</t>
        </is>
      </c>
    </row>
    <row r="626">
      <c r="A626" t="inlineStr">
        <is>
          <t>No</t>
        </is>
      </c>
      <c r="B626" t="inlineStr">
        <is>
          <t>BT304.2 .D66 2001</t>
        </is>
      </c>
      <c r="C626" t="inlineStr">
        <is>
          <t>0                      BT 0304200D  66          2001</t>
        </is>
      </c>
      <c r="D626" t="inlineStr">
        <is>
          <t>The Jesus advantage : a new approach to a fuller life / Paul J. Donoghue.</t>
        </is>
      </c>
      <c r="F626" t="inlineStr">
        <is>
          <t>No</t>
        </is>
      </c>
      <c r="G626" t="inlineStr">
        <is>
          <t>1</t>
        </is>
      </c>
      <c r="H626" t="inlineStr">
        <is>
          <t>No</t>
        </is>
      </c>
      <c r="I626" t="inlineStr">
        <is>
          <t>No</t>
        </is>
      </c>
      <c r="J626" t="inlineStr">
        <is>
          <t>0</t>
        </is>
      </c>
      <c r="K626" t="inlineStr">
        <is>
          <t>Donoghue, Paul J.</t>
        </is>
      </c>
      <c r="L626" t="inlineStr">
        <is>
          <t>Notre Dame, Ind. : Ave Maria Press, c2001.</t>
        </is>
      </c>
      <c r="M626" t="inlineStr">
        <is>
          <t>2001</t>
        </is>
      </c>
      <c r="O626" t="inlineStr">
        <is>
          <t>eng</t>
        </is>
      </c>
      <c r="P626" t="inlineStr">
        <is>
          <t>inu</t>
        </is>
      </c>
      <c r="R626" t="inlineStr">
        <is>
          <t xml:space="preserve">BT </t>
        </is>
      </c>
      <c r="S626" t="n">
        <v>2</v>
      </c>
      <c r="T626" t="n">
        <v>2</v>
      </c>
      <c r="U626" t="inlineStr">
        <is>
          <t>2001-08-23</t>
        </is>
      </c>
      <c r="V626" t="inlineStr">
        <is>
          <t>2001-08-23</t>
        </is>
      </c>
      <c r="W626" t="inlineStr">
        <is>
          <t>2001-08-22</t>
        </is>
      </c>
      <c r="X626" t="inlineStr">
        <is>
          <t>2001-08-22</t>
        </is>
      </c>
      <c r="Y626" t="n">
        <v>73</v>
      </c>
      <c r="Z626" t="n">
        <v>69</v>
      </c>
      <c r="AA626" t="n">
        <v>69</v>
      </c>
      <c r="AB626" t="n">
        <v>1</v>
      </c>
      <c r="AC626" t="n">
        <v>1</v>
      </c>
      <c r="AD626" t="n">
        <v>5</v>
      </c>
      <c r="AE626" t="n">
        <v>5</v>
      </c>
      <c r="AF626" t="n">
        <v>1</v>
      </c>
      <c r="AG626" t="n">
        <v>1</v>
      </c>
      <c r="AH626" t="n">
        <v>1</v>
      </c>
      <c r="AI626" t="n">
        <v>1</v>
      </c>
      <c r="AJ626" t="n">
        <v>4</v>
      </c>
      <c r="AK626" t="n">
        <v>4</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HYPERLINK("https://creighton-primo.hosted.exlibrisgroup.com/primo-explore/search?tab=default_tab&amp;search_scope=EVERYTHING&amp;vid=01CRU&amp;lang=en_US&amp;offset=0&amp;query=any,contains,991003576259702656","Catalog Record")</f>
        <v/>
      </c>
      <c r="AT626">
        <f>HYPERLINK("http://www.worldcat.org/oclc/45115730","WorldCat Record")</f>
        <v/>
      </c>
      <c r="AU626" t="inlineStr">
        <is>
          <t>34637375:eng</t>
        </is>
      </c>
      <c r="AV626" t="inlineStr">
        <is>
          <t>45115730</t>
        </is>
      </c>
      <c r="AW626" t="inlineStr">
        <is>
          <t>991003576259702656</t>
        </is>
      </c>
      <c r="AX626" t="inlineStr">
        <is>
          <t>991003576259702656</t>
        </is>
      </c>
      <c r="AY626" t="inlineStr">
        <is>
          <t>2268499310002656</t>
        </is>
      </c>
      <c r="AZ626" t="inlineStr">
        <is>
          <t>BOOK</t>
        </is>
      </c>
      <c r="BB626" t="inlineStr">
        <is>
          <t>9780877937036</t>
        </is>
      </c>
      <c r="BC626" t="inlineStr">
        <is>
          <t>32285004380084</t>
        </is>
      </c>
      <c r="BD626" t="inlineStr">
        <is>
          <t>893868579</t>
        </is>
      </c>
    </row>
    <row r="627">
      <c r="A627" t="inlineStr">
        <is>
          <t>No</t>
        </is>
      </c>
      <c r="B627" t="inlineStr">
        <is>
          <t>BT304.2 .G813 1965</t>
        </is>
      </c>
      <c r="C627" t="inlineStr">
        <is>
          <t>0                      BT 0304200G  813         1965</t>
        </is>
      </c>
      <c r="D627" t="inlineStr">
        <is>
          <t>Jesus Christ yesterday and today : introduction to Biblical spirituality / Jacques Guillet. Translated by John Duggan.</t>
        </is>
      </c>
      <c r="F627" t="inlineStr">
        <is>
          <t>No</t>
        </is>
      </c>
      <c r="G627" t="inlineStr">
        <is>
          <t>1</t>
        </is>
      </c>
      <c r="H627" t="inlineStr">
        <is>
          <t>No</t>
        </is>
      </c>
      <c r="I627" t="inlineStr">
        <is>
          <t>No</t>
        </is>
      </c>
      <c r="J627" t="inlineStr">
        <is>
          <t>0</t>
        </is>
      </c>
      <c r="K627" t="inlineStr">
        <is>
          <t>Guillet, Jacques.</t>
        </is>
      </c>
      <c r="L627" t="inlineStr">
        <is>
          <t>Chicago : Franciscan Herald Press, [1965, c1964]</t>
        </is>
      </c>
      <c r="M627" t="inlineStr">
        <is>
          <t>1965</t>
        </is>
      </c>
      <c r="O627" t="inlineStr">
        <is>
          <t>eng</t>
        </is>
      </c>
      <c r="P627" t="inlineStr">
        <is>
          <t>ilu</t>
        </is>
      </c>
      <c r="R627" t="inlineStr">
        <is>
          <t xml:space="preserve">BT </t>
        </is>
      </c>
      <c r="S627" t="n">
        <v>4</v>
      </c>
      <c r="T627" t="n">
        <v>4</v>
      </c>
      <c r="U627" t="inlineStr">
        <is>
          <t>2010-11-18</t>
        </is>
      </c>
      <c r="V627" t="inlineStr">
        <is>
          <t>2010-11-18</t>
        </is>
      </c>
      <c r="W627" t="inlineStr">
        <is>
          <t>1992-06-09</t>
        </is>
      </c>
      <c r="X627" t="inlineStr">
        <is>
          <t>1992-06-09</t>
        </is>
      </c>
      <c r="Y627" t="n">
        <v>151</v>
      </c>
      <c r="Z627" t="n">
        <v>133</v>
      </c>
      <c r="AA627" t="n">
        <v>138</v>
      </c>
      <c r="AB627" t="n">
        <v>2</v>
      </c>
      <c r="AC627" t="n">
        <v>2</v>
      </c>
      <c r="AD627" t="n">
        <v>26</v>
      </c>
      <c r="AE627" t="n">
        <v>26</v>
      </c>
      <c r="AF627" t="n">
        <v>7</v>
      </c>
      <c r="AG627" t="n">
        <v>7</v>
      </c>
      <c r="AH627" t="n">
        <v>6</v>
      </c>
      <c r="AI627" t="n">
        <v>6</v>
      </c>
      <c r="AJ627" t="n">
        <v>23</v>
      </c>
      <c r="AK627" t="n">
        <v>23</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HYPERLINK("https://creighton-primo.hosted.exlibrisgroup.com/primo-explore/search?tab=default_tab&amp;search_scope=EVERYTHING&amp;vid=01CRU&amp;lang=en_US&amp;offset=0&amp;query=any,contains,991003921509702656","Catalog Record")</f>
        <v/>
      </c>
      <c r="AT627">
        <f>HYPERLINK("http://www.worldcat.org/oclc/1871929","WorldCat Record")</f>
        <v/>
      </c>
      <c r="AU627" t="inlineStr">
        <is>
          <t>4348711:eng</t>
        </is>
      </c>
      <c r="AV627" t="inlineStr">
        <is>
          <t>1871929</t>
        </is>
      </c>
      <c r="AW627" t="inlineStr">
        <is>
          <t>991003921509702656</t>
        </is>
      </c>
      <c r="AX627" t="inlineStr">
        <is>
          <t>991003921509702656</t>
        </is>
      </c>
      <c r="AY627" t="inlineStr">
        <is>
          <t>2254922360002656</t>
        </is>
      </c>
      <c r="AZ627" t="inlineStr">
        <is>
          <t>BOOK</t>
        </is>
      </c>
      <c r="BC627" t="inlineStr">
        <is>
          <t>32285001074292</t>
        </is>
      </c>
      <c r="BD627" t="inlineStr">
        <is>
          <t>893234830</t>
        </is>
      </c>
    </row>
    <row r="628">
      <c r="A628" t="inlineStr">
        <is>
          <t>No</t>
        </is>
      </c>
      <c r="B628" t="inlineStr">
        <is>
          <t>BT306 .B77 1983</t>
        </is>
      </c>
      <c r="C628" t="inlineStr">
        <is>
          <t>0                      BT 0306000B  77          1983</t>
        </is>
      </c>
      <c r="D628" t="inlineStr">
        <is>
          <t>The hard sayings of Jesus / F.F. Bruce.</t>
        </is>
      </c>
      <c r="F628" t="inlineStr">
        <is>
          <t>No</t>
        </is>
      </c>
      <c r="G628" t="inlineStr">
        <is>
          <t>1</t>
        </is>
      </c>
      <c r="H628" t="inlineStr">
        <is>
          <t>No</t>
        </is>
      </c>
      <c r="I628" t="inlineStr">
        <is>
          <t>No</t>
        </is>
      </c>
      <c r="J628" t="inlineStr">
        <is>
          <t>0</t>
        </is>
      </c>
      <c r="K628" t="inlineStr">
        <is>
          <t>Bruce, F. F. (Frederick Fyvie), 1910-1990.</t>
        </is>
      </c>
      <c r="L628" t="inlineStr">
        <is>
          <t>Downers Grove, Ill. : InterVarsity Press, c1983.</t>
        </is>
      </c>
      <c r="M628" t="inlineStr">
        <is>
          <t>1983</t>
        </is>
      </c>
      <c r="O628" t="inlineStr">
        <is>
          <t>eng</t>
        </is>
      </c>
      <c r="P628" t="inlineStr">
        <is>
          <t>ilu</t>
        </is>
      </c>
      <c r="Q628" t="inlineStr">
        <is>
          <t>The Jesus library</t>
        </is>
      </c>
      <c r="R628" t="inlineStr">
        <is>
          <t xml:space="preserve">BT </t>
        </is>
      </c>
      <c r="S628" t="n">
        <v>4</v>
      </c>
      <c r="T628" t="n">
        <v>4</v>
      </c>
      <c r="U628" t="inlineStr">
        <is>
          <t>2004-11-10</t>
        </is>
      </c>
      <c r="V628" t="inlineStr">
        <is>
          <t>2004-11-10</t>
        </is>
      </c>
      <c r="W628" t="inlineStr">
        <is>
          <t>1989-11-13</t>
        </is>
      </c>
      <c r="X628" t="inlineStr">
        <is>
          <t>1989-11-13</t>
        </is>
      </c>
      <c r="Y628" t="n">
        <v>457</v>
      </c>
      <c r="Z628" t="n">
        <v>419</v>
      </c>
      <c r="AA628" t="n">
        <v>443</v>
      </c>
      <c r="AB628" t="n">
        <v>4</v>
      </c>
      <c r="AC628" t="n">
        <v>4</v>
      </c>
      <c r="AD628" t="n">
        <v>15</v>
      </c>
      <c r="AE628" t="n">
        <v>16</v>
      </c>
      <c r="AF628" t="n">
        <v>5</v>
      </c>
      <c r="AG628" t="n">
        <v>5</v>
      </c>
      <c r="AH628" t="n">
        <v>3</v>
      </c>
      <c r="AI628" t="n">
        <v>3</v>
      </c>
      <c r="AJ628" t="n">
        <v>6</v>
      </c>
      <c r="AK628" t="n">
        <v>7</v>
      </c>
      <c r="AL628" t="n">
        <v>2</v>
      </c>
      <c r="AM628" t="n">
        <v>2</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HYPERLINK("https://creighton-primo.hosted.exlibrisgroup.com/primo-explore/search?tab=default_tab&amp;search_scope=EVERYTHING&amp;vid=01CRU&amp;lang=en_US&amp;offset=0&amp;query=any,contains,991000235759702656","Catalog Record")</f>
        <v/>
      </c>
      <c r="AT628">
        <f>HYPERLINK("http://www.worldcat.org/oclc/9647060","WorldCat Record")</f>
        <v/>
      </c>
      <c r="AU628" t="inlineStr">
        <is>
          <t>48377215:eng</t>
        </is>
      </c>
      <c r="AV628" t="inlineStr">
        <is>
          <t>9647060</t>
        </is>
      </c>
      <c r="AW628" t="inlineStr">
        <is>
          <t>991000235759702656</t>
        </is>
      </c>
      <c r="AX628" t="inlineStr">
        <is>
          <t>991000235759702656</t>
        </is>
      </c>
      <c r="AY628" t="inlineStr">
        <is>
          <t>2270600380002656</t>
        </is>
      </c>
      <c r="AZ628" t="inlineStr">
        <is>
          <t>BOOK</t>
        </is>
      </c>
      <c r="BB628" t="inlineStr">
        <is>
          <t>9780877849278</t>
        </is>
      </c>
      <c r="BC628" t="inlineStr">
        <is>
          <t>32285000012855</t>
        </is>
      </c>
      <c r="BD628" t="inlineStr">
        <is>
          <t>893589293</t>
        </is>
      </c>
    </row>
    <row r="629">
      <c r="A629" t="inlineStr">
        <is>
          <t>No</t>
        </is>
      </c>
      <c r="B629" t="inlineStr">
        <is>
          <t>BT306 .J47</t>
        </is>
      </c>
      <c r="C629" t="inlineStr">
        <is>
          <t>0                      BT 0306000J  47</t>
        </is>
      </c>
      <c r="D629" t="inlineStr">
        <is>
          <t>Unknown sayings of Jesus / by Joachim Jeremias ; translated by Reginald H. Fuller.</t>
        </is>
      </c>
      <c r="F629" t="inlineStr">
        <is>
          <t>No</t>
        </is>
      </c>
      <c r="G629" t="inlineStr">
        <is>
          <t>1</t>
        </is>
      </c>
      <c r="H629" t="inlineStr">
        <is>
          <t>No</t>
        </is>
      </c>
      <c r="I629" t="inlineStr">
        <is>
          <t>No</t>
        </is>
      </c>
      <c r="J629" t="inlineStr">
        <is>
          <t>0</t>
        </is>
      </c>
      <c r="K629" t="inlineStr">
        <is>
          <t>Jeremias, Joachim, 1900-1979.</t>
        </is>
      </c>
      <c r="L629" t="inlineStr">
        <is>
          <t>London, S.P.C.K., 1964.</t>
        </is>
      </c>
      <c r="M629" t="inlineStr">
        <is>
          <t>1964</t>
        </is>
      </c>
      <c r="N629" t="inlineStr">
        <is>
          <t>2d English ed.</t>
        </is>
      </c>
      <c r="O629" t="inlineStr">
        <is>
          <t>eng</t>
        </is>
      </c>
      <c r="P629" t="inlineStr">
        <is>
          <t>___</t>
        </is>
      </c>
      <c r="R629" t="inlineStr">
        <is>
          <t xml:space="preserve">BT </t>
        </is>
      </c>
      <c r="S629" t="n">
        <v>2</v>
      </c>
      <c r="T629" t="n">
        <v>2</v>
      </c>
      <c r="U629" t="inlineStr">
        <is>
          <t>1993-11-29</t>
        </is>
      </c>
      <c r="V629" t="inlineStr">
        <is>
          <t>1993-11-29</t>
        </is>
      </c>
      <c r="W629" t="inlineStr">
        <is>
          <t>1991-08-16</t>
        </is>
      </c>
      <c r="X629" t="inlineStr">
        <is>
          <t>1991-08-16</t>
        </is>
      </c>
      <c r="Y629" t="n">
        <v>264</v>
      </c>
      <c r="Z629" t="n">
        <v>195</v>
      </c>
      <c r="AA629" t="n">
        <v>340</v>
      </c>
      <c r="AB629" t="n">
        <v>3</v>
      </c>
      <c r="AC629" t="n">
        <v>3</v>
      </c>
      <c r="AD629" t="n">
        <v>16</v>
      </c>
      <c r="AE629" t="n">
        <v>24</v>
      </c>
      <c r="AF629" t="n">
        <v>4</v>
      </c>
      <c r="AG629" t="n">
        <v>8</v>
      </c>
      <c r="AH629" t="n">
        <v>3</v>
      </c>
      <c r="AI629" t="n">
        <v>7</v>
      </c>
      <c r="AJ629" t="n">
        <v>11</v>
      </c>
      <c r="AK629" t="n">
        <v>16</v>
      </c>
      <c r="AL629" t="n">
        <v>2</v>
      </c>
      <c r="AM629" t="n">
        <v>2</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HYPERLINK("https://creighton-primo.hosted.exlibrisgroup.com/primo-explore/search?tab=default_tab&amp;search_scope=EVERYTHING&amp;vid=01CRU&amp;lang=en_US&amp;offset=0&amp;query=any,contains,991002662759702656","Catalog Record")</f>
        <v/>
      </c>
      <c r="AT629">
        <f>HYPERLINK("http://www.worldcat.org/oclc/391971","WorldCat Record")</f>
        <v/>
      </c>
      <c r="AU629" t="inlineStr">
        <is>
          <t>5443748668:eng</t>
        </is>
      </c>
      <c r="AV629" t="inlineStr">
        <is>
          <t>391971</t>
        </is>
      </c>
      <c r="AW629" t="inlineStr">
        <is>
          <t>991002662759702656</t>
        </is>
      </c>
      <c r="AX629" t="inlineStr">
        <is>
          <t>991002662759702656</t>
        </is>
      </c>
      <c r="AY629" t="inlineStr">
        <is>
          <t>2260695360002656</t>
        </is>
      </c>
      <c r="AZ629" t="inlineStr">
        <is>
          <t>BOOK</t>
        </is>
      </c>
      <c r="BC629" t="inlineStr">
        <is>
          <t>32285000714187</t>
        </is>
      </c>
      <c r="BD629" t="inlineStr">
        <is>
          <t>893873815</t>
        </is>
      </c>
    </row>
    <row r="630">
      <c r="A630" t="inlineStr">
        <is>
          <t>No</t>
        </is>
      </c>
      <c r="B630" t="inlineStr">
        <is>
          <t>BT306 .M55 1991</t>
        </is>
      </c>
      <c r="C630" t="inlineStr">
        <is>
          <t>0                      BT 0306000M  55          1991</t>
        </is>
      </c>
      <c r="D630" t="inlineStr">
        <is>
          <t>The gospel according to Jesus : a new translation and guide to his essential teachings for believers and unbelievers / by Stephen Mitchell.</t>
        </is>
      </c>
      <c r="F630" t="inlineStr">
        <is>
          <t>No</t>
        </is>
      </c>
      <c r="G630" t="inlineStr">
        <is>
          <t>1</t>
        </is>
      </c>
      <c r="H630" t="inlineStr">
        <is>
          <t>No</t>
        </is>
      </c>
      <c r="I630" t="inlineStr">
        <is>
          <t>No</t>
        </is>
      </c>
      <c r="J630" t="inlineStr">
        <is>
          <t>0</t>
        </is>
      </c>
      <c r="K630" t="inlineStr">
        <is>
          <t>Mitchell, Stephen, 1943-</t>
        </is>
      </c>
      <c r="L630" t="inlineStr">
        <is>
          <t>New York, NY : HarperCollins, c1991.</t>
        </is>
      </c>
      <c r="M630" t="inlineStr">
        <is>
          <t>1991</t>
        </is>
      </c>
      <c r="N630" t="inlineStr">
        <is>
          <t>1st ed.</t>
        </is>
      </c>
      <c r="O630" t="inlineStr">
        <is>
          <t>eng</t>
        </is>
      </c>
      <c r="P630" t="inlineStr">
        <is>
          <t>nyu</t>
        </is>
      </c>
      <c r="R630" t="inlineStr">
        <is>
          <t xml:space="preserve">BT </t>
        </is>
      </c>
      <c r="S630" t="n">
        <v>7</v>
      </c>
      <c r="T630" t="n">
        <v>7</v>
      </c>
      <c r="U630" t="inlineStr">
        <is>
          <t>2002-05-24</t>
        </is>
      </c>
      <c r="V630" t="inlineStr">
        <is>
          <t>2002-05-24</t>
        </is>
      </c>
      <c r="W630" t="inlineStr">
        <is>
          <t>1991-12-30</t>
        </is>
      </c>
      <c r="X630" t="inlineStr">
        <is>
          <t>1991-12-30</t>
        </is>
      </c>
      <c r="Y630" t="n">
        <v>852</v>
      </c>
      <c r="Z630" t="n">
        <v>801</v>
      </c>
      <c r="AA630" t="n">
        <v>949</v>
      </c>
      <c r="AB630" t="n">
        <v>5</v>
      </c>
      <c r="AC630" t="n">
        <v>6</v>
      </c>
      <c r="AD630" t="n">
        <v>30</v>
      </c>
      <c r="AE630" t="n">
        <v>32</v>
      </c>
      <c r="AF630" t="n">
        <v>12</v>
      </c>
      <c r="AG630" t="n">
        <v>12</v>
      </c>
      <c r="AH630" t="n">
        <v>7</v>
      </c>
      <c r="AI630" t="n">
        <v>7</v>
      </c>
      <c r="AJ630" t="n">
        <v>17</v>
      </c>
      <c r="AK630" t="n">
        <v>19</v>
      </c>
      <c r="AL630" t="n">
        <v>4</v>
      </c>
      <c r="AM630" t="n">
        <v>4</v>
      </c>
      <c r="AN630" t="n">
        <v>0</v>
      </c>
      <c r="AO630" t="n">
        <v>0</v>
      </c>
      <c r="AP630" t="inlineStr">
        <is>
          <t>No</t>
        </is>
      </c>
      <c r="AQ630" t="inlineStr">
        <is>
          <t>Yes</t>
        </is>
      </c>
      <c r="AR630">
        <f>HYPERLINK("http://catalog.hathitrust.org/Record/002487794","HathiTrust Record")</f>
        <v/>
      </c>
      <c r="AS630">
        <f>HYPERLINK("https://creighton-primo.hosted.exlibrisgroup.com/primo-explore/search?tab=default_tab&amp;search_scope=EVERYTHING&amp;vid=01CRU&amp;lang=en_US&amp;offset=0&amp;query=any,contains,991001882619702656","Catalog Record")</f>
        <v/>
      </c>
      <c r="AT630">
        <f>HYPERLINK("http://www.worldcat.org/oclc/23733961","WorldCat Record")</f>
        <v/>
      </c>
      <c r="AU630" t="inlineStr">
        <is>
          <t>16292293:eng</t>
        </is>
      </c>
      <c r="AV630" t="inlineStr">
        <is>
          <t>23733961</t>
        </is>
      </c>
      <c r="AW630" t="inlineStr">
        <is>
          <t>991001882619702656</t>
        </is>
      </c>
      <c r="AX630" t="inlineStr">
        <is>
          <t>991001882619702656</t>
        </is>
      </c>
      <c r="AY630" t="inlineStr">
        <is>
          <t>2267945560002656</t>
        </is>
      </c>
      <c r="AZ630" t="inlineStr">
        <is>
          <t>BOOK</t>
        </is>
      </c>
      <c r="BB630" t="inlineStr">
        <is>
          <t>9780060166410</t>
        </is>
      </c>
      <c r="BC630" t="inlineStr">
        <is>
          <t>32285000861905</t>
        </is>
      </c>
      <c r="BD630" t="inlineStr">
        <is>
          <t>893621688</t>
        </is>
      </c>
    </row>
    <row r="631">
      <c r="A631" t="inlineStr">
        <is>
          <t>No</t>
        </is>
      </c>
      <c r="B631" t="inlineStr">
        <is>
          <t>BT306 .P46 1989</t>
        </is>
      </c>
      <c r="C631" t="inlineStr">
        <is>
          <t>0                      BT 0306000P  46          1989</t>
        </is>
      </c>
      <c r="D631" t="inlineStr">
        <is>
          <t>Wisdom in the Q-tradition : the aphoristic teaching of Jesus / Ronald A. Piper.</t>
        </is>
      </c>
      <c r="F631" t="inlineStr">
        <is>
          <t>No</t>
        </is>
      </c>
      <c r="G631" t="inlineStr">
        <is>
          <t>1</t>
        </is>
      </c>
      <c r="H631" t="inlineStr">
        <is>
          <t>No</t>
        </is>
      </c>
      <c r="I631" t="inlineStr">
        <is>
          <t>No</t>
        </is>
      </c>
      <c r="J631" t="inlineStr">
        <is>
          <t>0</t>
        </is>
      </c>
      <c r="K631" t="inlineStr">
        <is>
          <t>Piper, Ronald A. (Ronald Allen), 1948-</t>
        </is>
      </c>
      <c r="L631" t="inlineStr">
        <is>
          <t>Cambridge [Cambridgeshire] ; New York : Cambridge University Press, 1989.</t>
        </is>
      </c>
      <c r="M631" t="inlineStr">
        <is>
          <t>1989</t>
        </is>
      </c>
      <c r="O631" t="inlineStr">
        <is>
          <t>eng</t>
        </is>
      </c>
      <c r="P631" t="inlineStr">
        <is>
          <t>enk</t>
        </is>
      </c>
      <c r="Q631" t="inlineStr">
        <is>
          <t>Monograph series (Society for New Testament Studies) ; 61</t>
        </is>
      </c>
      <c r="R631" t="inlineStr">
        <is>
          <t xml:space="preserve">BT </t>
        </is>
      </c>
      <c r="S631" t="n">
        <v>2</v>
      </c>
      <c r="T631" t="n">
        <v>2</v>
      </c>
      <c r="U631" t="inlineStr">
        <is>
          <t>2001-11-08</t>
        </is>
      </c>
      <c r="V631" t="inlineStr">
        <is>
          <t>2001-11-08</t>
        </is>
      </c>
      <c r="W631" t="inlineStr">
        <is>
          <t>1990-08-02</t>
        </is>
      </c>
      <c r="X631" t="inlineStr">
        <is>
          <t>1990-08-02</t>
        </is>
      </c>
      <c r="Y631" t="n">
        <v>406</v>
      </c>
      <c r="Z631" t="n">
        <v>298</v>
      </c>
      <c r="AA631" t="n">
        <v>315</v>
      </c>
      <c r="AB631" t="n">
        <v>3</v>
      </c>
      <c r="AC631" t="n">
        <v>3</v>
      </c>
      <c r="AD631" t="n">
        <v>21</v>
      </c>
      <c r="AE631" t="n">
        <v>23</v>
      </c>
      <c r="AF631" t="n">
        <v>7</v>
      </c>
      <c r="AG631" t="n">
        <v>8</v>
      </c>
      <c r="AH631" t="n">
        <v>6</v>
      </c>
      <c r="AI631" t="n">
        <v>7</v>
      </c>
      <c r="AJ631" t="n">
        <v>14</v>
      </c>
      <c r="AK631" t="n">
        <v>14</v>
      </c>
      <c r="AL631" t="n">
        <v>2</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HYPERLINK("https://creighton-primo.hosted.exlibrisgroup.com/primo-explore/search?tab=default_tab&amp;search_scope=EVERYTHING&amp;vid=01CRU&amp;lang=en_US&amp;offset=0&amp;query=any,contains,991001274319702656","Catalog Record")</f>
        <v/>
      </c>
      <c r="AT631">
        <f>HYPERLINK("http://www.worldcat.org/oclc/17872036","WorldCat Record")</f>
        <v/>
      </c>
      <c r="AU631" t="inlineStr">
        <is>
          <t>836873303:eng</t>
        </is>
      </c>
      <c r="AV631" t="inlineStr">
        <is>
          <t>17872036</t>
        </is>
      </c>
      <c r="AW631" t="inlineStr">
        <is>
          <t>991001274319702656</t>
        </is>
      </c>
      <c r="AX631" t="inlineStr">
        <is>
          <t>991001274319702656</t>
        </is>
      </c>
      <c r="AY631" t="inlineStr">
        <is>
          <t>2268996930002656</t>
        </is>
      </c>
      <c r="AZ631" t="inlineStr">
        <is>
          <t>BOOK</t>
        </is>
      </c>
      <c r="BB631" t="inlineStr">
        <is>
          <t>9780521352932</t>
        </is>
      </c>
      <c r="BC631" t="inlineStr">
        <is>
          <t>32285000263052</t>
        </is>
      </c>
      <c r="BD631" t="inlineStr">
        <is>
          <t>893261795</t>
        </is>
      </c>
    </row>
    <row r="632">
      <c r="A632" t="inlineStr">
        <is>
          <t>No</t>
        </is>
      </c>
      <c r="B632" t="inlineStr">
        <is>
          <t>BT306 .R35 1963</t>
        </is>
      </c>
      <c r="C632" t="inlineStr">
        <is>
          <t>0                      BT 0306000R  35          1963</t>
        </is>
      </c>
      <c r="D632" t="inlineStr">
        <is>
          <t>Jesus said... / by Lydia N. Ratzlaff</t>
        </is>
      </c>
      <c r="F632" t="inlineStr">
        <is>
          <t>No</t>
        </is>
      </c>
      <c r="G632" t="inlineStr">
        <is>
          <t>1</t>
        </is>
      </c>
      <c r="H632" t="inlineStr">
        <is>
          <t>No</t>
        </is>
      </c>
      <c r="I632" t="inlineStr">
        <is>
          <t>No</t>
        </is>
      </c>
      <c r="J632" t="inlineStr">
        <is>
          <t>0</t>
        </is>
      </c>
      <c r="K632" t="inlineStr">
        <is>
          <t>Ratzlaff, Lydia Nelson.</t>
        </is>
      </c>
      <c r="L632" t="inlineStr">
        <is>
          <t>St. Paul : Bruce Pub. Co., [1963]</t>
        </is>
      </c>
      <c r="M632" t="inlineStr">
        <is>
          <t>1963</t>
        </is>
      </c>
      <c r="O632" t="inlineStr">
        <is>
          <t>eng</t>
        </is>
      </c>
      <c r="P632" t="inlineStr">
        <is>
          <t>mnu</t>
        </is>
      </c>
      <c r="R632" t="inlineStr">
        <is>
          <t xml:space="preserve">BT </t>
        </is>
      </c>
      <c r="S632" t="n">
        <v>1</v>
      </c>
      <c r="T632" t="n">
        <v>1</v>
      </c>
      <c r="U632" t="inlineStr">
        <is>
          <t>2005-04-06</t>
        </is>
      </c>
      <c r="V632" t="inlineStr">
        <is>
          <t>2005-04-06</t>
        </is>
      </c>
      <c r="W632" t="inlineStr">
        <is>
          <t>1991-09-09</t>
        </is>
      </c>
      <c r="X632" t="inlineStr">
        <is>
          <t>1991-09-09</t>
        </is>
      </c>
      <c r="Y632" t="n">
        <v>228</v>
      </c>
      <c r="Z632" t="n">
        <v>228</v>
      </c>
      <c r="AA632" t="n">
        <v>239</v>
      </c>
      <c r="AB632" t="n">
        <v>3</v>
      </c>
      <c r="AC632" t="n">
        <v>3</v>
      </c>
      <c r="AD632" t="n">
        <v>22</v>
      </c>
      <c r="AE632" t="n">
        <v>22</v>
      </c>
      <c r="AF632" t="n">
        <v>8</v>
      </c>
      <c r="AG632" t="n">
        <v>8</v>
      </c>
      <c r="AH632" t="n">
        <v>5</v>
      </c>
      <c r="AI632" t="n">
        <v>5</v>
      </c>
      <c r="AJ632" t="n">
        <v>17</v>
      </c>
      <c r="AK632" t="n">
        <v>17</v>
      </c>
      <c r="AL632" t="n">
        <v>0</v>
      </c>
      <c r="AM632" t="n">
        <v>0</v>
      </c>
      <c r="AN632" t="n">
        <v>0</v>
      </c>
      <c r="AO632" t="n">
        <v>0</v>
      </c>
      <c r="AP632" t="inlineStr">
        <is>
          <t>Yes</t>
        </is>
      </c>
      <c r="AQ632" t="inlineStr">
        <is>
          <t>No</t>
        </is>
      </c>
      <c r="AR632">
        <f>HYPERLINK("http://catalog.hathitrust.org/Record/101848317","HathiTrust Record")</f>
        <v/>
      </c>
      <c r="AS632">
        <f>HYPERLINK("https://creighton-primo.hosted.exlibrisgroup.com/primo-explore/search?tab=default_tab&amp;search_scope=EVERYTHING&amp;vid=01CRU&amp;lang=en_US&amp;offset=0&amp;query=any,contains,991003750129702656","Catalog Record")</f>
        <v/>
      </c>
      <c r="AT632">
        <f>HYPERLINK("http://www.worldcat.org/oclc/1425090","WorldCat Record")</f>
        <v/>
      </c>
      <c r="AU632" t="inlineStr">
        <is>
          <t>2297569:eng</t>
        </is>
      </c>
      <c r="AV632" t="inlineStr">
        <is>
          <t>1425090</t>
        </is>
      </c>
      <c r="AW632" t="inlineStr">
        <is>
          <t>991003750129702656</t>
        </is>
      </c>
      <c r="AX632" t="inlineStr">
        <is>
          <t>991003750129702656</t>
        </is>
      </c>
      <c r="AY632" t="inlineStr">
        <is>
          <t>2272525280002656</t>
        </is>
      </c>
      <c r="AZ632" t="inlineStr">
        <is>
          <t>BOOK</t>
        </is>
      </c>
      <c r="BC632" t="inlineStr">
        <is>
          <t>32285000747344</t>
        </is>
      </c>
      <c r="BD632" t="inlineStr">
        <is>
          <t>893228413</t>
        </is>
      </c>
    </row>
    <row r="633">
      <c r="A633" t="inlineStr">
        <is>
          <t>No</t>
        </is>
      </c>
      <c r="B633" t="inlineStr">
        <is>
          <t>BT306 .S33</t>
        </is>
      </c>
      <c r="C633" t="inlineStr">
        <is>
          <t>0                      BT 0306000S  33</t>
        </is>
      </c>
      <c r="D633" t="inlineStr">
        <is>
          <t>The kingdom within : a study of the inner meaning of Jesus' sayings / [by] John A. Sanford.</t>
        </is>
      </c>
      <c r="F633" t="inlineStr">
        <is>
          <t>No</t>
        </is>
      </c>
      <c r="G633" t="inlineStr">
        <is>
          <t>1</t>
        </is>
      </c>
      <c r="H633" t="inlineStr">
        <is>
          <t>No</t>
        </is>
      </c>
      <c r="I633" t="inlineStr">
        <is>
          <t>No</t>
        </is>
      </c>
      <c r="J633" t="inlineStr">
        <is>
          <t>0</t>
        </is>
      </c>
      <c r="K633" t="inlineStr">
        <is>
          <t>Sanford, John A.</t>
        </is>
      </c>
      <c r="L633" t="inlineStr">
        <is>
          <t>Philadelphia, Lippincott [1970]</t>
        </is>
      </c>
      <c r="M633" t="inlineStr">
        <is>
          <t>1970</t>
        </is>
      </c>
      <c r="N633" t="inlineStr">
        <is>
          <t>[1st ed.]</t>
        </is>
      </c>
      <c r="O633" t="inlineStr">
        <is>
          <t>eng</t>
        </is>
      </c>
      <c r="P633" t="inlineStr">
        <is>
          <t>pau</t>
        </is>
      </c>
      <c r="R633" t="inlineStr">
        <is>
          <t xml:space="preserve">BT </t>
        </is>
      </c>
      <c r="S633" t="n">
        <v>7</v>
      </c>
      <c r="T633" t="n">
        <v>7</v>
      </c>
      <c r="U633" t="inlineStr">
        <is>
          <t>2003-01-23</t>
        </is>
      </c>
      <c r="V633" t="inlineStr">
        <is>
          <t>2003-01-23</t>
        </is>
      </c>
      <c r="W633" t="inlineStr">
        <is>
          <t>1991-09-09</t>
        </is>
      </c>
      <c r="X633" t="inlineStr">
        <is>
          <t>1991-09-09</t>
        </is>
      </c>
      <c r="Y633" t="n">
        <v>348</v>
      </c>
      <c r="Z633" t="n">
        <v>306</v>
      </c>
      <c r="AA633" t="n">
        <v>604</v>
      </c>
      <c r="AB633" t="n">
        <v>2</v>
      </c>
      <c r="AC633" t="n">
        <v>3</v>
      </c>
      <c r="AD633" t="n">
        <v>18</v>
      </c>
      <c r="AE633" t="n">
        <v>33</v>
      </c>
      <c r="AF633" t="n">
        <v>7</v>
      </c>
      <c r="AG633" t="n">
        <v>14</v>
      </c>
      <c r="AH633" t="n">
        <v>4</v>
      </c>
      <c r="AI633" t="n">
        <v>5</v>
      </c>
      <c r="AJ633" t="n">
        <v>12</v>
      </c>
      <c r="AK633" t="n">
        <v>22</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HYPERLINK("https://creighton-primo.hosted.exlibrisgroup.com/primo-explore/search?tab=default_tab&amp;search_scope=EVERYTHING&amp;vid=01CRU&amp;lang=en_US&amp;offset=0&amp;query=any,contains,991000640459702656","Catalog Record")</f>
        <v/>
      </c>
      <c r="AT633">
        <f>HYPERLINK("http://www.worldcat.org/oclc/109468","WorldCat Record")</f>
        <v/>
      </c>
      <c r="AU633" t="inlineStr">
        <is>
          <t>3855497954:eng</t>
        </is>
      </c>
      <c r="AV633" t="inlineStr">
        <is>
          <t>109468</t>
        </is>
      </c>
      <c r="AW633" t="inlineStr">
        <is>
          <t>991000640459702656</t>
        </is>
      </c>
      <c r="AX633" t="inlineStr">
        <is>
          <t>991000640459702656</t>
        </is>
      </c>
      <c r="AY633" t="inlineStr">
        <is>
          <t>2254817290002656</t>
        </is>
      </c>
      <c r="AZ633" t="inlineStr">
        <is>
          <t>BOOK</t>
        </is>
      </c>
      <c r="BC633" t="inlineStr">
        <is>
          <t>32285003608931</t>
        </is>
      </c>
      <c r="BD633" t="inlineStr">
        <is>
          <t>893796853</t>
        </is>
      </c>
    </row>
    <row r="634">
      <c r="A634" t="inlineStr">
        <is>
          <t>No</t>
        </is>
      </c>
      <c r="B634" t="inlineStr">
        <is>
          <t>BT306.4 .A4 1962</t>
        </is>
      </c>
      <c r="C634" t="inlineStr">
        <is>
          <t>0                      BT 0306400A  4           1962</t>
        </is>
      </c>
      <c r="D634" t="inlineStr">
        <is>
          <t>Jesus: "yesterday and today, and forever", (Heb. 13:8) / by Aloysius Ambruzzi. Translated by Gilda Dal Corso.</t>
        </is>
      </c>
      <c r="F634" t="inlineStr">
        <is>
          <t>No</t>
        </is>
      </c>
      <c r="G634" t="inlineStr">
        <is>
          <t>1</t>
        </is>
      </c>
      <c r="H634" t="inlineStr">
        <is>
          <t>No</t>
        </is>
      </c>
      <c r="I634" t="inlineStr">
        <is>
          <t>No</t>
        </is>
      </c>
      <c r="J634" t="inlineStr">
        <is>
          <t>0</t>
        </is>
      </c>
      <c r="K634" t="inlineStr">
        <is>
          <t>Ambruzzi, Aloysius.</t>
        </is>
      </c>
      <c r="L634" t="inlineStr">
        <is>
          <t>Westminster, Md. : Newman Press, 1962.</t>
        </is>
      </c>
      <c r="M634" t="inlineStr">
        <is>
          <t>1962</t>
        </is>
      </c>
      <c r="O634" t="inlineStr">
        <is>
          <t>eng</t>
        </is>
      </c>
      <c r="P634" t="inlineStr">
        <is>
          <t>___</t>
        </is>
      </c>
      <c r="R634" t="inlineStr">
        <is>
          <t xml:space="preserve">BT </t>
        </is>
      </c>
      <c r="S634" t="n">
        <v>1</v>
      </c>
      <c r="T634" t="n">
        <v>1</v>
      </c>
      <c r="U634" t="inlineStr">
        <is>
          <t>2001-02-06</t>
        </is>
      </c>
      <c r="V634" t="inlineStr">
        <is>
          <t>2001-02-06</t>
        </is>
      </c>
      <c r="W634" t="inlineStr">
        <is>
          <t>1991-08-16</t>
        </is>
      </c>
      <c r="X634" t="inlineStr">
        <is>
          <t>1991-08-16</t>
        </is>
      </c>
      <c r="Y634" t="n">
        <v>56</v>
      </c>
      <c r="Z634" t="n">
        <v>52</v>
      </c>
      <c r="AA634" t="n">
        <v>52</v>
      </c>
      <c r="AB634" t="n">
        <v>2</v>
      </c>
      <c r="AC634" t="n">
        <v>2</v>
      </c>
      <c r="AD634" t="n">
        <v>12</v>
      </c>
      <c r="AE634" t="n">
        <v>12</v>
      </c>
      <c r="AF634" t="n">
        <v>3</v>
      </c>
      <c r="AG634" t="n">
        <v>3</v>
      </c>
      <c r="AH634" t="n">
        <v>3</v>
      </c>
      <c r="AI634" t="n">
        <v>3</v>
      </c>
      <c r="AJ634" t="n">
        <v>10</v>
      </c>
      <c r="AK634" t="n">
        <v>10</v>
      </c>
      <c r="AL634" t="n">
        <v>0</v>
      </c>
      <c r="AM634" t="n">
        <v>0</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HYPERLINK("https://creighton-primo.hosted.exlibrisgroup.com/primo-explore/search?tab=default_tab&amp;search_scope=EVERYTHING&amp;vid=01CRU&amp;lang=en_US&amp;offset=0&amp;query=any,contains,991003783409702656","Catalog Record")</f>
        <v/>
      </c>
      <c r="AT634">
        <f>HYPERLINK("http://www.worldcat.org/oclc/1498295","WorldCat Record")</f>
        <v/>
      </c>
      <c r="AU634" t="inlineStr">
        <is>
          <t>2430398:eng</t>
        </is>
      </c>
      <c r="AV634" t="inlineStr">
        <is>
          <t>1498295</t>
        </is>
      </c>
      <c r="AW634" t="inlineStr">
        <is>
          <t>991003783409702656</t>
        </is>
      </c>
      <c r="AX634" t="inlineStr">
        <is>
          <t>991003783409702656</t>
        </is>
      </c>
      <c r="AY634" t="inlineStr">
        <is>
          <t>2269308650002656</t>
        </is>
      </c>
      <c r="AZ634" t="inlineStr">
        <is>
          <t>BOOK</t>
        </is>
      </c>
      <c r="BC634" t="inlineStr">
        <is>
          <t>32285000714203</t>
        </is>
      </c>
      <c r="BD634" t="inlineStr">
        <is>
          <t>893441738</t>
        </is>
      </c>
    </row>
    <row r="635">
      <c r="A635" t="inlineStr">
        <is>
          <t>No</t>
        </is>
      </c>
      <c r="B635" t="inlineStr">
        <is>
          <t>BT306.4 .C613 1966</t>
        </is>
      </c>
      <c r="C635" t="inlineStr">
        <is>
          <t>0                      BT 0306400C  613         1966</t>
        </is>
      </c>
      <c r="D635" t="inlineStr">
        <is>
          <t>Jesus Christ / [by] Yves Congar. Translated by Luke O'Neill.</t>
        </is>
      </c>
      <c r="F635" t="inlineStr">
        <is>
          <t>No</t>
        </is>
      </c>
      <c r="G635" t="inlineStr">
        <is>
          <t>1</t>
        </is>
      </c>
      <c r="H635" t="inlineStr">
        <is>
          <t>No</t>
        </is>
      </c>
      <c r="I635" t="inlineStr">
        <is>
          <t>No</t>
        </is>
      </c>
      <c r="J635" t="inlineStr">
        <is>
          <t>0</t>
        </is>
      </c>
      <c r="K635" t="inlineStr">
        <is>
          <t>Congar, Yves, 1904-1995.</t>
        </is>
      </c>
      <c r="L635" t="inlineStr">
        <is>
          <t>New York, Herder and Herder [1966]</t>
        </is>
      </c>
      <c r="M635" t="inlineStr">
        <is>
          <t>1966</t>
        </is>
      </c>
      <c r="O635" t="inlineStr">
        <is>
          <t>eng</t>
        </is>
      </c>
      <c r="P635" t="inlineStr">
        <is>
          <t>nyu</t>
        </is>
      </c>
      <c r="R635" t="inlineStr">
        <is>
          <t xml:space="preserve">BT </t>
        </is>
      </c>
      <c r="S635" t="n">
        <v>4</v>
      </c>
      <c r="T635" t="n">
        <v>4</v>
      </c>
      <c r="U635" t="inlineStr">
        <is>
          <t>2000-10-04</t>
        </is>
      </c>
      <c r="V635" t="inlineStr">
        <is>
          <t>2000-10-04</t>
        </is>
      </c>
      <c r="W635" t="inlineStr">
        <is>
          <t>1991-08-16</t>
        </is>
      </c>
      <c r="X635" t="inlineStr">
        <is>
          <t>1991-08-16</t>
        </is>
      </c>
      <c r="Y635" t="n">
        <v>349</v>
      </c>
      <c r="Z635" t="n">
        <v>307</v>
      </c>
      <c r="AA635" t="n">
        <v>326</v>
      </c>
      <c r="AB635" t="n">
        <v>3</v>
      </c>
      <c r="AC635" t="n">
        <v>3</v>
      </c>
      <c r="AD635" t="n">
        <v>34</v>
      </c>
      <c r="AE635" t="n">
        <v>34</v>
      </c>
      <c r="AF635" t="n">
        <v>11</v>
      </c>
      <c r="AG635" t="n">
        <v>11</v>
      </c>
      <c r="AH635" t="n">
        <v>9</v>
      </c>
      <c r="AI635" t="n">
        <v>9</v>
      </c>
      <c r="AJ635" t="n">
        <v>25</v>
      </c>
      <c r="AK635" t="n">
        <v>25</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HYPERLINK("https://creighton-primo.hosted.exlibrisgroup.com/primo-explore/search?tab=default_tab&amp;search_scope=EVERYTHING&amp;vid=01CRU&amp;lang=en_US&amp;offset=0&amp;query=any,contains,991003631699702656","Catalog Record")</f>
        <v/>
      </c>
      <c r="AT635">
        <f>HYPERLINK("http://www.worldcat.org/oclc/1225294","WorldCat Record")</f>
        <v/>
      </c>
      <c r="AU635" t="inlineStr">
        <is>
          <t>3855379817:eng</t>
        </is>
      </c>
      <c r="AV635" t="inlineStr">
        <is>
          <t>1225294</t>
        </is>
      </c>
      <c r="AW635" t="inlineStr">
        <is>
          <t>991003631699702656</t>
        </is>
      </c>
      <c r="AX635" t="inlineStr">
        <is>
          <t>991003631699702656</t>
        </is>
      </c>
      <c r="AY635" t="inlineStr">
        <is>
          <t>2262489230002656</t>
        </is>
      </c>
      <c r="AZ635" t="inlineStr">
        <is>
          <t>BOOK</t>
        </is>
      </c>
      <c r="BC635" t="inlineStr">
        <is>
          <t>32285000714229</t>
        </is>
      </c>
      <c r="BD635" t="inlineStr">
        <is>
          <t>893893934</t>
        </is>
      </c>
    </row>
    <row r="636">
      <c r="A636" t="inlineStr">
        <is>
          <t>No</t>
        </is>
      </c>
      <c r="B636" t="inlineStr">
        <is>
          <t>BT306.4 .K47 1999</t>
        </is>
      </c>
      <c r="C636" t="inlineStr">
        <is>
          <t>0                      BT 0306400K  47          1999</t>
        </is>
      </c>
      <c r="D636" t="inlineStr">
        <is>
          <t>Eyes on Jesus : a guide for contemplation / Michael Kennedy ; foreword by Michael Downey.</t>
        </is>
      </c>
      <c r="F636" t="inlineStr">
        <is>
          <t>No</t>
        </is>
      </c>
      <c r="G636" t="inlineStr">
        <is>
          <t>1</t>
        </is>
      </c>
      <c r="H636" t="inlineStr">
        <is>
          <t>No</t>
        </is>
      </c>
      <c r="I636" t="inlineStr">
        <is>
          <t>No</t>
        </is>
      </c>
      <c r="J636" t="inlineStr">
        <is>
          <t>0</t>
        </is>
      </c>
      <c r="K636" t="inlineStr">
        <is>
          <t>Kennedy, Michael, S.J.</t>
        </is>
      </c>
      <c r="L636" t="inlineStr">
        <is>
          <t>New York : Crossroad Pub., c1999.</t>
        </is>
      </c>
      <c r="M636" t="inlineStr">
        <is>
          <t>1999</t>
        </is>
      </c>
      <c r="O636" t="inlineStr">
        <is>
          <t>eng</t>
        </is>
      </c>
      <c r="P636" t="inlineStr">
        <is>
          <t>nyu</t>
        </is>
      </c>
      <c r="R636" t="inlineStr">
        <is>
          <t xml:space="preserve">BT </t>
        </is>
      </c>
      <c r="S636" t="n">
        <v>4</v>
      </c>
      <c r="T636" t="n">
        <v>4</v>
      </c>
      <c r="U636" t="inlineStr">
        <is>
          <t>2007-06-21</t>
        </is>
      </c>
      <c r="V636" t="inlineStr">
        <is>
          <t>2007-06-21</t>
        </is>
      </c>
      <c r="W636" t="inlineStr">
        <is>
          <t>2001-01-16</t>
        </is>
      </c>
      <c r="X636" t="inlineStr">
        <is>
          <t>2001-01-16</t>
        </is>
      </c>
      <c r="Y636" t="n">
        <v>62</v>
      </c>
      <c r="Z636" t="n">
        <v>50</v>
      </c>
      <c r="AA636" t="n">
        <v>50</v>
      </c>
      <c r="AB636" t="n">
        <v>1</v>
      </c>
      <c r="AC636" t="n">
        <v>1</v>
      </c>
      <c r="AD636" t="n">
        <v>6</v>
      </c>
      <c r="AE636" t="n">
        <v>6</v>
      </c>
      <c r="AF636" t="n">
        <v>1</v>
      </c>
      <c r="AG636" t="n">
        <v>1</v>
      </c>
      <c r="AH636" t="n">
        <v>0</v>
      </c>
      <c r="AI636" t="n">
        <v>0</v>
      </c>
      <c r="AJ636" t="n">
        <v>5</v>
      </c>
      <c r="AK636" t="n">
        <v>5</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HYPERLINK("https://creighton-primo.hosted.exlibrisgroup.com/primo-explore/search?tab=default_tab&amp;search_scope=EVERYTHING&amp;vid=01CRU&amp;lang=en_US&amp;offset=0&amp;query=any,contains,991003363929702656","Catalog Record")</f>
        <v/>
      </c>
      <c r="AT636">
        <f>HYPERLINK("http://www.worldcat.org/oclc/41612290","WorldCat Record")</f>
        <v/>
      </c>
      <c r="AU636" t="inlineStr">
        <is>
          <t>26773441:eng</t>
        </is>
      </c>
      <c r="AV636" t="inlineStr">
        <is>
          <t>41612290</t>
        </is>
      </c>
      <c r="AW636" t="inlineStr">
        <is>
          <t>991003363929702656</t>
        </is>
      </c>
      <c r="AX636" t="inlineStr">
        <is>
          <t>991003363929702656</t>
        </is>
      </c>
      <c r="AY636" t="inlineStr">
        <is>
          <t>2263809200002656</t>
        </is>
      </c>
      <c r="AZ636" t="inlineStr">
        <is>
          <t>BOOK</t>
        </is>
      </c>
      <c r="BB636" t="inlineStr">
        <is>
          <t>9780824518288</t>
        </is>
      </c>
      <c r="BC636" t="inlineStr">
        <is>
          <t>32285004283999</t>
        </is>
      </c>
      <c r="BD636" t="inlineStr">
        <is>
          <t>893698956</t>
        </is>
      </c>
    </row>
    <row r="637">
      <c r="A637" t="inlineStr">
        <is>
          <t>No</t>
        </is>
      </c>
      <c r="B637" t="inlineStr">
        <is>
          <t>BT306.5 .F3813</t>
        </is>
      </c>
      <c r="C637" t="inlineStr">
        <is>
          <t>0                      BT 0306500F  3813</t>
        </is>
      </c>
      <c r="D637" t="inlineStr">
        <is>
          <t>The fifth gospel / a parable about the land of Christ as photographed by Elliott Faye, described by Godfrey Kloetzli, and edited by Ignazio Mancini who wrote the pref. and epilogue. Parables by Laura Faye Taxel. Designed by Asher Oron.</t>
        </is>
      </c>
      <c r="F637" t="inlineStr">
        <is>
          <t>No</t>
        </is>
      </c>
      <c r="G637" t="inlineStr">
        <is>
          <t>1</t>
        </is>
      </c>
      <c r="H637" t="inlineStr">
        <is>
          <t>No</t>
        </is>
      </c>
      <c r="I637" t="inlineStr">
        <is>
          <t>No</t>
        </is>
      </c>
      <c r="J637" t="inlineStr">
        <is>
          <t>0</t>
        </is>
      </c>
      <c r="K637" t="inlineStr">
        <is>
          <t>Faye, Elliott.</t>
        </is>
      </c>
      <c r="L637" t="inlineStr">
        <is>
          <t>Englewood Cliffs, N.J., Prentice-Hall [c1972]</t>
        </is>
      </c>
      <c r="M637" t="inlineStr">
        <is>
          <t>1972</t>
        </is>
      </c>
      <c r="N637" t="inlineStr">
        <is>
          <t>[1st English ed.]</t>
        </is>
      </c>
      <c r="O637" t="inlineStr">
        <is>
          <t>eng</t>
        </is>
      </c>
      <c r="P637" t="inlineStr">
        <is>
          <t>nju</t>
        </is>
      </c>
      <c r="R637" t="inlineStr">
        <is>
          <t xml:space="preserve">BT </t>
        </is>
      </c>
      <c r="S637" t="n">
        <v>3</v>
      </c>
      <c r="T637" t="n">
        <v>3</v>
      </c>
      <c r="U637" t="inlineStr">
        <is>
          <t>2002-05-02</t>
        </is>
      </c>
      <c r="V637" t="inlineStr">
        <is>
          <t>2002-05-02</t>
        </is>
      </c>
      <c r="W637" t="inlineStr">
        <is>
          <t>1991-08-16</t>
        </is>
      </c>
      <c r="X637" t="inlineStr">
        <is>
          <t>1991-08-16</t>
        </is>
      </c>
      <c r="Y637" t="n">
        <v>269</v>
      </c>
      <c r="Z637" t="n">
        <v>254</v>
      </c>
      <c r="AA637" t="n">
        <v>261</v>
      </c>
      <c r="AB637" t="n">
        <v>4</v>
      </c>
      <c r="AC637" t="n">
        <v>4</v>
      </c>
      <c r="AD637" t="n">
        <v>11</v>
      </c>
      <c r="AE637" t="n">
        <v>11</v>
      </c>
      <c r="AF637" t="n">
        <v>6</v>
      </c>
      <c r="AG637" t="n">
        <v>6</v>
      </c>
      <c r="AH637" t="n">
        <v>3</v>
      </c>
      <c r="AI637" t="n">
        <v>3</v>
      </c>
      <c r="AJ637" t="n">
        <v>5</v>
      </c>
      <c r="AK637" t="n">
        <v>5</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HYPERLINK("https://creighton-primo.hosted.exlibrisgroup.com/primo-explore/search?tab=default_tab&amp;search_scope=EVERYTHING&amp;vid=01CRU&amp;lang=en_US&amp;offset=0&amp;query=any,contains,991002693269702656","Catalog Record")</f>
        <v/>
      </c>
      <c r="AT637">
        <f>HYPERLINK("http://www.worldcat.org/oclc/402343","WorldCat Record")</f>
        <v/>
      </c>
      <c r="AU637" t="inlineStr">
        <is>
          <t>9592961623:eng</t>
        </is>
      </c>
      <c r="AV637" t="inlineStr">
        <is>
          <t>402343</t>
        </is>
      </c>
      <c r="AW637" t="inlineStr">
        <is>
          <t>991002693269702656</t>
        </is>
      </c>
      <c r="AX637" t="inlineStr">
        <is>
          <t>991002693269702656</t>
        </is>
      </c>
      <c r="AY637" t="inlineStr">
        <is>
          <t>2265498830002656</t>
        </is>
      </c>
      <c r="AZ637" t="inlineStr">
        <is>
          <t>BOOK</t>
        </is>
      </c>
      <c r="BB637" t="inlineStr">
        <is>
          <t>9780133143447</t>
        </is>
      </c>
      <c r="BC637" t="inlineStr">
        <is>
          <t>32285000714245</t>
        </is>
      </c>
      <c r="BD637" t="inlineStr">
        <is>
          <t>893329413</t>
        </is>
      </c>
    </row>
    <row r="638">
      <c r="A638" t="inlineStr">
        <is>
          <t>No</t>
        </is>
      </c>
      <c r="B638" t="inlineStr">
        <is>
          <t>BT306.5 .O53 1955</t>
        </is>
      </c>
      <c r="C638" t="inlineStr">
        <is>
          <t>0                      BT 0306500O  53          1955</t>
        </is>
      </c>
      <c r="D638" t="inlineStr">
        <is>
          <t>Jesus the Saviour / by Father James.</t>
        </is>
      </c>
      <c r="F638" t="inlineStr">
        <is>
          <t>No</t>
        </is>
      </c>
      <c r="G638" t="inlineStr">
        <is>
          <t>1</t>
        </is>
      </c>
      <c r="H638" t="inlineStr">
        <is>
          <t>No</t>
        </is>
      </c>
      <c r="I638" t="inlineStr">
        <is>
          <t>No</t>
        </is>
      </c>
      <c r="J638" t="inlineStr">
        <is>
          <t>0</t>
        </is>
      </c>
      <c r="K638" t="inlineStr">
        <is>
          <t>O'Mahony, James E. (James Edward), 1897-1962.</t>
        </is>
      </c>
      <c r="L638" t="inlineStr">
        <is>
          <t>Westminster, Md. : Newman Press, 1956.</t>
        </is>
      </c>
      <c r="M638" t="inlineStr">
        <is>
          <t>1956</t>
        </is>
      </c>
      <c r="O638" t="inlineStr">
        <is>
          <t>eng</t>
        </is>
      </c>
      <c r="P638" t="inlineStr">
        <is>
          <t>___</t>
        </is>
      </c>
      <c r="R638" t="inlineStr">
        <is>
          <t xml:space="preserve">BT </t>
        </is>
      </c>
      <c r="S638" t="n">
        <v>2</v>
      </c>
      <c r="T638" t="n">
        <v>2</v>
      </c>
      <c r="U638" t="inlineStr">
        <is>
          <t>2000-10-05</t>
        </is>
      </c>
      <c r="V638" t="inlineStr">
        <is>
          <t>2000-10-05</t>
        </is>
      </c>
      <c r="W638" t="inlineStr">
        <is>
          <t>1991-08-16</t>
        </is>
      </c>
      <c r="X638" t="inlineStr">
        <is>
          <t>1991-08-16</t>
        </is>
      </c>
      <c r="Y638" t="n">
        <v>79</v>
      </c>
      <c r="Z638" t="n">
        <v>74</v>
      </c>
      <c r="AA638" t="n">
        <v>78</v>
      </c>
      <c r="AB638" t="n">
        <v>1</v>
      </c>
      <c r="AC638" t="n">
        <v>1</v>
      </c>
      <c r="AD638" t="n">
        <v>10</v>
      </c>
      <c r="AE638" t="n">
        <v>10</v>
      </c>
      <c r="AF638" t="n">
        <v>2</v>
      </c>
      <c r="AG638" t="n">
        <v>2</v>
      </c>
      <c r="AH638" t="n">
        <v>2</v>
      </c>
      <c r="AI638" t="n">
        <v>2</v>
      </c>
      <c r="AJ638" t="n">
        <v>8</v>
      </c>
      <c r="AK638" t="n">
        <v>8</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HYPERLINK("https://creighton-primo.hosted.exlibrisgroup.com/primo-explore/search?tab=default_tab&amp;search_scope=EVERYTHING&amp;vid=01CRU&amp;lang=en_US&amp;offset=0&amp;query=any,contains,991003138109702656","Catalog Record")</f>
        <v/>
      </c>
      <c r="AT638">
        <f>HYPERLINK("http://www.worldcat.org/oclc/679690","WorldCat Record")</f>
        <v/>
      </c>
      <c r="AU638" t="inlineStr">
        <is>
          <t>1747898:eng</t>
        </is>
      </c>
      <c r="AV638" t="inlineStr">
        <is>
          <t>679690</t>
        </is>
      </c>
      <c r="AW638" t="inlineStr">
        <is>
          <t>991003138109702656</t>
        </is>
      </c>
      <c r="AX638" t="inlineStr">
        <is>
          <t>991003138109702656</t>
        </is>
      </c>
      <c r="AY638" t="inlineStr">
        <is>
          <t>2269676340002656</t>
        </is>
      </c>
      <c r="AZ638" t="inlineStr">
        <is>
          <t>BOOK</t>
        </is>
      </c>
      <c r="BC638" t="inlineStr">
        <is>
          <t>32285000714252</t>
        </is>
      </c>
      <c r="BD638" t="inlineStr">
        <is>
          <t>893518174</t>
        </is>
      </c>
    </row>
    <row r="639">
      <c r="A639" t="inlineStr">
        <is>
          <t>No</t>
        </is>
      </c>
      <c r="B639" t="inlineStr">
        <is>
          <t>BT309 .B5 1960</t>
        </is>
      </c>
      <c r="C639" t="inlineStr">
        <is>
          <t>0                      BT 0309000B  5           1960</t>
        </is>
      </c>
      <c r="D639" t="inlineStr">
        <is>
          <t>The day Christ was born : a reverential reconstruction / by Jim Bishop.</t>
        </is>
      </c>
      <c r="F639" t="inlineStr">
        <is>
          <t>No</t>
        </is>
      </c>
      <c r="G639" t="inlineStr">
        <is>
          <t>1</t>
        </is>
      </c>
      <c r="H639" t="inlineStr">
        <is>
          <t>No</t>
        </is>
      </c>
      <c r="I639" t="inlineStr">
        <is>
          <t>No</t>
        </is>
      </c>
      <c r="J639" t="inlineStr">
        <is>
          <t>0</t>
        </is>
      </c>
      <c r="K639" t="inlineStr">
        <is>
          <t>Bishop, Jim, 1907-1987.</t>
        </is>
      </c>
      <c r="L639" t="inlineStr">
        <is>
          <t>New York : Harper, [1960]</t>
        </is>
      </c>
      <c r="M639" t="inlineStr">
        <is>
          <t>1960</t>
        </is>
      </c>
      <c r="N639" t="inlineStr">
        <is>
          <t>[1st ed.]</t>
        </is>
      </c>
      <c r="O639" t="inlineStr">
        <is>
          <t>eng</t>
        </is>
      </c>
      <c r="P639" t="inlineStr">
        <is>
          <t>nyu</t>
        </is>
      </c>
      <c r="R639" t="inlineStr">
        <is>
          <t xml:space="preserve">BT </t>
        </is>
      </c>
      <c r="S639" t="n">
        <v>4</v>
      </c>
      <c r="T639" t="n">
        <v>4</v>
      </c>
      <c r="U639" t="inlineStr">
        <is>
          <t>1999-09-05</t>
        </is>
      </c>
      <c r="V639" t="inlineStr">
        <is>
          <t>1999-09-05</t>
        </is>
      </c>
      <c r="W639" t="inlineStr">
        <is>
          <t>1991-08-20</t>
        </is>
      </c>
      <c r="X639" t="inlineStr">
        <is>
          <t>1991-08-20</t>
        </is>
      </c>
      <c r="Y639" t="n">
        <v>988</v>
      </c>
      <c r="Z639" t="n">
        <v>973</v>
      </c>
      <c r="AA639" t="n">
        <v>1188</v>
      </c>
      <c r="AB639" t="n">
        <v>8</v>
      </c>
      <c r="AC639" t="n">
        <v>9</v>
      </c>
      <c r="AD639" t="n">
        <v>25</v>
      </c>
      <c r="AE639" t="n">
        <v>27</v>
      </c>
      <c r="AF639" t="n">
        <v>7</v>
      </c>
      <c r="AG639" t="n">
        <v>9</v>
      </c>
      <c r="AH639" t="n">
        <v>7</v>
      </c>
      <c r="AI639" t="n">
        <v>7</v>
      </c>
      <c r="AJ639" t="n">
        <v>16</v>
      </c>
      <c r="AK639" t="n">
        <v>16</v>
      </c>
      <c r="AL639" t="n">
        <v>3</v>
      </c>
      <c r="AM639" t="n">
        <v>3</v>
      </c>
      <c r="AN639" t="n">
        <v>0</v>
      </c>
      <c r="AO639" t="n">
        <v>0</v>
      </c>
      <c r="AP639" t="inlineStr">
        <is>
          <t>No</t>
        </is>
      </c>
      <c r="AQ639" t="inlineStr">
        <is>
          <t>Yes</t>
        </is>
      </c>
      <c r="AR639">
        <f>HYPERLINK("http://catalog.hathitrust.org/Record/102434900","HathiTrust Record")</f>
        <v/>
      </c>
      <c r="AS639">
        <f>HYPERLINK("https://creighton-primo.hosted.exlibrisgroup.com/primo-explore/search?tab=default_tab&amp;search_scope=EVERYTHING&amp;vid=01CRU&amp;lang=en_US&amp;offset=0&amp;query=any,contains,991003138669702656","Catalog Record")</f>
        <v/>
      </c>
      <c r="AT639">
        <f>HYPERLINK("http://www.worldcat.org/oclc/680251","WorldCat Record")</f>
        <v/>
      </c>
      <c r="AU639" t="inlineStr">
        <is>
          <t>1800551:eng</t>
        </is>
      </c>
      <c r="AV639" t="inlineStr">
        <is>
          <t>680251</t>
        </is>
      </c>
      <c r="AW639" t="inlineStr">
        <is>
          <t>991003138669702656</t>
        </is>
      </c>
      <c r="AX639" t="inlineStr">
        <is>
          <t>991003138669702656</t>
        </is>
      </c>
      <c r="AY639" t="inlineStr">
        <is>
          <t>2268614200002656</t>
        </is>
      </c>
      <c r="AZ639" t="inlineStr">
        <is>
          <t>BOOK</t>
        </is>
      </c>
      <c r="BC639" t="inlineStr">
        <is>
          <t>32285000714310</t>
        </is>
      </c>
      <c r="BD639" t="inlineStr">
        <is>
          <t>893535361</t>
        </is>
      </c>
    </row>
    <row r="640">
      <c r="A640" t="inlineStr">
        <is>
          <t>No</t>
        </is>
      </c>
      <c r="B640" t="inlineStr">
        <is>
          <t>BT3103 .S67 1976</t>
        </is>
      </c>
      <c r="C640" t="inlineStr">
        <is>
          <t>0                      BT 3103000S  67          1976</t>
        </is>
      </c>
      <c r="D640" t="inlineStr">
        <is>
          <t>Theology confronts a changing world : the annual publication of the College Theology Society / edited by Thomas M. McFadden.</t>
        </is>
      </c>
      <c r="F640" t="inlineStr">
        <is>
          <t>No</t>
        </is>
      </c>
      <c r="G640" t="inlineStr">
        <is>
          <t>1</t>
        </is>
      </c>
      <c r="H640" t="inlineStr">
        <is>
          <t>No</t>
        </is>
      </c>
      <c r="I640" t="inlineStr">
        <is>
          <t>No</t>
        </is>
      </c>
      <c r="J640" t="inlineStr">
        <is>
          <t>0</t>
        </is>
      </c>
      <c r="L640" t="inlineStr">
        <is>
          <t>West Mystic, Conn. ; Twenty-Third Publications, c1977.</t>
        </is>
      </c>
      <c r="M640" t="inlineStr">
        <is>
          <t>1977</t>
        </is>
      </c>
      <c r="O640" t="inlineStr">
        <is>
          <t>eng</t>
        </is>
      </c>
      <c r="P640" t="inlineStr">
        <is>
          <t>ctu</t>
        </is>
      </c>
      <c r="R640" t="inlineStr">
        <is>
          <t xml:space="preserve">BT </t>
        </is>
      </c>
      <c r="S640" t="n">
        <v>3</v>
      </c>
      <c r="T640" t="n">
        <v>3</v>
      </c>
      <c r="U640" t="inlineStr">
        <is>
          <t>1994-05-10</t>
        </is>
      </c>
      <c r="V640" t="inlineStr">
        <is>
          <t>1994-05-10</t>
        </is>
      </c>
      <c r="W640" t="inlineStr">
        <is>
          <t>1990-03-20</t>
        </is>
      </c>
      <c r="X640" t="inlineStr">
        <is>
          <t>1990-03-20</t>
        </is>
      </c>
      <c r="Y640" t="n">
        <v>146</v>
      </c>
      <c r="Z640" t="n">
        <v>134</v>
      </c>
      <c r="AA640" t="n">
        <v>136</v>
      </c>
      <c r="AB640" t="n">
        <v>2</v>
      </c>
      <c r="AC640" t="n">
        <v>2</v>
      </c>
      <c r="AD640" t="n">
        <v>20</v>
      </c>
      <c r="AE640" t="n">
        <v>20</v>
      </c>
      <c r="AF640" t="n">
        <v>7</v>
      </c>
      <c r="AG640" t="n">
        <v>7</v>
      </c>
      <c r="AH640" t="n">
        <v>5</v>
      </c>
      <c r="AI640" t="n">
        <v>5</v>
      </c>
      <c r="AJ640" t="n">
        <v>16</v>
      </c>
      <c r="AK640" t="n">
        <v>16</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HYPERLINK("https://creighton-primo.hosted.exlibrisgroup.com/primo-explore/search?tab=default_tab&amp;search_scope=EVERYTHING&amp;vid=01CRU&amp;lang=en_US&amp;offset=0&amp;query=any,contains,991004382739702656","Catalog Record")</f>
        <v/>
      </c>
      <c r="AT640">
        <f>HYPERLINK("http://www.worldcat.org/oclc/3226159","WorldCat Record")</f>
        <v/>
      </c>
      <c r="AU640" t="inlineStr">
        <is>
          <t>133447978:eng</t>
        </is>
      </c>
      <c r="AV640" t="inlineStr">
        <is>
          <t>3226159</t>
        </is>
      </c>
      <c r="AW640" t="inlineStr">
        <is>
          <t>991004382739702656</t>
        </is>
      </c>
      <c r="AX640" t="inlineStr">
        <is>
          <t>991004382739702656</t>
        </is>
      </c>
      <c r="AY640" t="inlineStr">
        <is>
          <t>2257173760002656</t>
        </is>
      </c>
      <c r="AZ640" t="inlineStr">
        <is>
          <t>BOOK</t>
        </is>
      </c>
      <c r="BC640" t="inlineStr">
        <is>
          <t>32285000087329</t>
        </is>
      </c>
      <c r="BD640" t="inlineStr">
        <is>
          <t>893247525</t>
        </is>
      </c>
    </row>
    <row r="641">
      <c r="A641" t="inlineStr">
        <is>
          <t>No</t>
        </is>
      </c>
      <c r="B641" t="inlineStr">
        <is>
          <t>BT315.2 .F84 1990</t>
        </is>
      </c>
      <c r="C641" t="inlineStr">
        <is>
          <t>0                      BT 0315200F  84          1990</t>
        </is>
      </c>
      <c r="D641" t="inlineStr">
        <is>
          <t>He that cometh : the birth of Jesus in the New Testament / Reginald H. Fuller.</t>
        </is>
      </c>
      <c r="F641" t="inlineStr">
        <is>
          <t>No</t>
        </is>
      </c>
      <c r="G641" t="inlineStr">
        <is>
          <t>1</t>
        </is>
      </c>
      <c r="H641" t="inlineStr">
        <is>
          <t>No</t>
        </is>
      </c>
      <c r="I641" t="inlineStr">
        <is>
          <t>No</t>
        </is>
      </c>
      <c r="J641" t="inlineStr">
        <is>
          <t>0</t>
        </is>
      </c>
      <c r="K641" t="inlineStr">
        <is>
          <t>Fuller, Reginald H. (Reginald Horace), 1915-2007.</t>
        </is>
      </c>
      <c r="L641" t="inlineStr">
        <is>
          <t>Harrisburg, PA : Morehouse Pub., c1990.</t>
        </is>
      </c>
      <c r="M641" t="inlineStr">
        <is>
          <t>1990</t>
        </is>
      </c>
      <c r="O641" t="inlineStr">
        <is>
          <t>eng</t>
        </is>
      </c>
      <c r="P641" t="inlineStr">
        <is>
          <t>pau</t>
        </is>
      </c>
      <c r="R641" t="inlineStr">
        <is>
          <t xml:space="preserve">BT </t>
        </is>
      </c>
      <c r="S641" t="n">
        <v>7</v>
      </c>
      <c r="T641" t="n">
        <v>7</v>
      </c>
      <c r="U641" t="inlineStr">
        <is>
          <t>2005-09-13</t>
        </is>
      </c>
      <c r="V641" t="inlineStr">
        <is>
          <t>2005-09-13</t>
        </is>
      </c>
      <c r="W641" t="inlineStr">
        <is>
          <t>1991-12-19</t>
        </is>
      </c>
      <c r="X641" t="inlineStr">
        <is>
          <t>1991-12-19</t>
        </is>
      </c>
      <c r="Y641" t="n">
        <v>150</v>
      </c>
      <c r="Z641" t="n">
        <v>124</v>
      </c>
      <c r="AA641" t="n">
        <v>124</v>
      </c>
      <c r="AB641" t="n">
        <v>1</v>
      </c>
      <c r="AC641" t="n">
        <v>1</v>
      </c>
      <c r="AD641" t="n">
        <v>9</v>
      </c>
      <c r="AE641" t="n">
        <v>9</v>
      </c>
      <c r="AF641" t="n">
        <v>3</v>
      </c>
      <c r="AG641" t="n">
        <v>3</v>
      </c>
      <c r="AH641" t="n">
        <v>3</v>
      </c>
      <c r="AI641" t="n">
        <v>3</v>
      </c>
      <c r="AJ641" t="n">
        <v>6</v>
      </c>
      <c r="AK641" t="n">
        <v>6</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HYPERLINK("https://creighton-primo.hosted.exlibrisgroup.com/primo-explore/search?tab=default_tab&amp;search_scope=EVERYTHING&amp;vid=01CRU&amp;lang=en_US&amp;offset=0&amp;query=any,contains,991001716219702656","Catalog Record")</f>
        <v/>
      </c>
      <c r="AT641">
        <f>HYPERLINK("http://www.worldcat.org/oclc/21677534","WorldCat Record")</f>
        <v/>
      </c>
      <c r="AU641" t="inlineStr">
        <is>
          <t>1214726448:eng</t>
        </is>
      </c>
      <c r="AV641" t="inlineStr">
        <is>
          <t>21677534</t>
        </is>
      </c>
      <c r="AW641" t="inlineStr">
        <is>
          <t>991001716219702656</t>
        </is>
      </c>
      <c r="AX641" t="inlineStr">
        <is>
          <t>991001716219702656</t>
        </is>
      </c>
      <c r="AY641" t="inlineStr">
        <is>
          <t>2260666080002656</t>
        </is>
      </c>
      <c r="AZ641" t="inlineStr">
        <is>
          <t>BOOK</t>
        </is>
      </c>
      <c r="BB641" t="inlineStr">
        <is>
          <t>9780819215444</t>
        </is>
      </c>
      <c r="BC641" t="inlineStr">
        <is>
          <t>32285000861806</t>
        </is>
      </c>
      <c r="BD641" t="inlineStr">
        <is>
          <t>893879110</t>
        </is>
      </c>
    </row>
    <row r="642">
      <c r="A642" t="inlineStr">
        <is>
          <t>No</t>
        </is>
      </c>
      <c r="B642" t="inlineStr">
        <is>
          <t>BT315.2 .H37 1988</t>
        </is>
      </c>
      <c r="C642" t="inlineStr">
        <is>
          <t>0                      BT 0315200H  37          1988</t>
        </is>
      </c>
      <c r="D642" t="inlineStr">
        <is>
          <t>The drama of Christ's coming / Wilfrid Harrington.</t>
        </is>
      </c>
      <c r="F642" t="inlineStr">
        <is>
          <t>No</t>
        </is>
      </c>
      <c r="G642" t="inlineStr">
        <is>
          <t>1</t>
        </is>
      </c>
      <c r="H642" t="inlineStr">
        <is>
          <t>No</t>
        </is>
      </c>
      <c r="I642" t="inlineStr">
        <is>
          <t>No</t>
        </is>
      </c>
      <c r="J642" t="inlineStr">
        <is>
          <t>0</t>
        </is>
      </c>
      <c r="K642" t="inlineStr">
        <is>
          <t>Harrington, Wilfrid J.</t>
        </is>
      </c>
      <c r="L642" t="inlineStr">
        <is>
          <t>Wilmington, Del. : M. Glazier, 1988</t>
        </is>
      </c>
      <c r="M642" t="inlineStr">
        <is>
          <t>1988</t>
        </is>
      </c>
      <c r="O642" t="inlineStr">
        <is>
          <t>eng</t>
        </is>
      </c>
      <c r="P642" t="inlineStr">
        <is>
          <t>deu</t>
        </is>
      </c>
      <c r="R642" t="inlineStr">
        <is>
          <t xml:space="preserve">BT </t>
        </is>
      </c>
      <c r="S642" t="n">
        <v>6</v>
      </c>
      <c r="T642" t="n">
        <v>6</v>
      </c>
      <c r="U642" t="inlineStr">
        <is>
          <t>1998-11-21</t>
        </is>
      </c>
      <c r="V642" t="inlineStr">
        <is>
          <t>1998-11-21</t>
        </is>
      </c>
      <c r="W642" t="inlineStr">
        <is>
          <t>1991-08-20</t>
        </is>
      </c>
      <c r="X642" t="inlineStr">
        <is>
          <t>1991-08-20</t>
        </is>
      </c>
      <c r="Y642" t="n">
        <v>112</v>
      </c>
      <c r="Z642" t="n">
        <v>91</v>
      </c>
      <c r="AA642" t="n">
        <v>91</v>
      </c>
      <c r="AB642" t="n">
        <v>1</v>
      </c>
      <c r="AC642" t="n">
        <v>1</v>
      </c>
      <c r="AD642" t="n">
        <v>13</v>
      </c>
      <c r="AE642" t="n">
        <v>13</v>
      </c>
      <c r="AF642" t="n">
        <v>4</v>
      </c>
      <c r="AG642" t="n">
        <v>4</v>
      </c>
      <c r="AH642" t="n">
        <v>5</v>
      </c>
      <c r="AI642" t="n">
        <v>5</v>
      </c>
      <c r="AJ642" t="n">
        <v>8</v>
      </c>
      <c r="AK642" t="n">
        <v>8</v>
      </c>
      <c r="AL642" t="n">
        <v>0</v>
      </c>
      <c r="AM642" t="n">
        <v>0</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HYPERLINK("https://creighton-primo.hosted.exlibrisgroup.com/primo-explore/search?tab=default_tab&amp;search_scope=EVERYTHING&amp;vid=01CRU&amp;lang=en_US&amp;offset=0&amp;query=any,contains,991001216739702656","Catalog Record")</f>
        <v/>
      </c>
      <c r="AT642">
        <f>HYPERLINK("http://www.worldcat.org/oclc/17436378","WorldCat Record")</f>
        <v/>
      </c>
      <c r="AU642" t="inlineStr">
        <is>
          <t>1042372991:eng</t>
        </is>
      </c>
      <c r="AV642" t="inlineStr">
        <is>
          <t>17436378</t>
        </is>
      </c>
      <c r="AW642" t="inlineStr">
        <is>
          <t>991001216739702656</t>
        </is>
      </c>
      <c r="AX642" t="inlineStr">
        <is>
          <t>991001216739702656</t>
        </is>
      </c>
      <c r="AY642" t="inlineStr">
        <is>
          <t>2266253300002656</t>
        </is>
      </c>
      <c r="AZ642" t="inlineStr">
        <is>
          <t>BOOK</t>
        </is>
      </c>
      <c r="BB642" t="inlineStr">
        <is>
          <t>9780894536496</t>
        </is>
      </c>
      <c r="BC642" t="inlineStr">
        <is>
          <t>32285000714401</t>
        </is>
      </c>
      <c r="BD642" t="inlineStr">
        <is>
          <t>893503205</t>
        </is>
      </c>
    </row>
    <row r="643">
      <c r="A643" t="inlineStr">
        <is>
          <t>No</t>
        </is>
      </c>
      <c r="B643" t="inlineStr">
        <is>
          <t>BT315.2 .M6 1999</t>
        </is>
      </c>
      <c r="C643" t="inlineStr">
        <is>
          <t>0                      BT 0315200M  6           1999</t>
        </is>
      </c>
      <c r="D643" t="inlineStr">
        <is>
          <t>The star of Bethlehem : the legacy of the Magi / Michael R. Molnar.</t>
        </is>
      </c>
      <c r="F643" t="inlineStr">
        <is>
          <t>No</t>
        </is>
      </c>
      <c r="G643" t="inlineStr">
        <is>
          <t>1</t>
        </is>
      </c>
      <c r="H643" t="inlineStr">
        <is>
          <t>No</t>
        </is>
      </c>
      <c r="I643" t="inlineStr">
        <is>
          <t>No</t>
        </is>
      </c>
      <c r="J643" t="inlineStr">
        <is>
          <t>0</t>
        </is>
      </c>
      <c r="K643" t="inlineStr">
        <is>
          <t>Molnar, Michael R., 1945-</t>
        </is>
      </c>
      <c r="L643" t="inlineStr">
        <is>
          <t>New Brunswick, N.J. : Rutgers University Press, c1999.</t>
        </is>
      </c>
      <c r="M643" t="inlineStr">
        <is>
          <t>1999</t>
        </is>
      </c>
      <c r="O643" t="inlineStr">
        <is>
          <t>eng</t>
        </is>
      </c>
      <c r="P643" t="inlineStr">
        <is>
          <t>nju</t>
        </is>
      </c>
      <c r="R643" t="inlineStr">
        <is>
          <t xml:space="preserve">BT </t>
        </is>
      </c>
      <c r="S643" t="n">
        <v>1</v>
      </c>
      <c r="T643" t="n">
        <v>1</v>
      </c>
      <c r="U643" t="inlineStr">
        <is>
          <t>2006-10-03</t>
        </is>
      </c>
      <c r="V643" t="inlineStr">
        <is>
          <t>2006-10-03</t>
        </is>
      </c>
      <c r="W643" t="inlineStr">
        <is>
          <t>2000-02-23</t>
        </is>
      </c>
      <c r="X643" t="inlineStr">
        <is>
          <t>2000-02-23</t>
        </is>
      </c>
      <c r="Y643" t="n">
        <v>544</v>
      </c>
      <c r="Z643" t="n">
        <v>502</v>
      </c>
      <c r="AA643" t="n">
        <v>514</v>
      </c>
      <c r="AB643" t="n">
        <v>4</v>
      </c>
      <c r="AC643" t="n">
        <v>4</v>
      </c>
      <c r="AD643" t="n">
        <v>22</v>
      </c>
      <c r="AE643" t="n">
        <v>22</v>
      </c>
      <c r="AF643" t="n">
        <v>7</v>
      </c>
      <c r="AG643" t="n">
        <v>7</v>
      </c>
      <c r="AH643" t="n">
        <v>5</v>
      </c>
      <c r="AI643" t="n">
        <v>5</v>
      </c>
      <c r="AJ643" t="n">
        <v>13</v>
      </c>
      <c r="AK643" t="n">
        <v>13</v>
      </c>
      <c r="AL643" t="n">
        <v>3</v>
      </c>
      <c r="AM643" t="n">
        <v>3</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HYPERLINK("https://creighton-primo.hosted.exlibrisgroup.com/primo-explore/search?tab=default_tab&amp;search_scope=EVERYTHING&amp;vid=01CRU&amp;lang=en_US&amp;offset=0&amp;query=any,contains,991002998749702656","Catalog Record")</f>
        <v/>
      </c>
      <c r="AT643">
        <f>HYPERLINK("http://www.worldcat.org/oclc/40589382","WorldCat Record")</f>
        <v/>
      </c>
      <c r="AU643" t="inlineStr">
        <is>
          <t>837784486:eng</t>
        </is>
      </c>
      <c r="AV643" t="inlineStr">
        <is>
          <t>40589382</t>
        </is>
      </c>
      <c r="AW643" t="inlineStr">
        <is>
          <t>991002998749702656</t>
        </is>
      </c>
      <c r="AX643" t="inlineStr">
        <is>
          <t>991002998749702656</t>
        </is>
      </c>
      <c r="AY643" t="inlineStr">
        <is>
          <t>2261099700002656</t>
        </is>
      </c>
      <c r="AZ643" t="inlineStr">
        <is>
          <t>BOOK</t>
        </is>
      </c>
      <c r="BB643" t="inlineStr">
        <is>
          <t>9780813527017</t>
        </is>
      </c>
      <c r="BC643" t="inlineStr">
        <is>
          <t>32285003662854</t>
        </is>
      </c>
      <c r="BD643" t="inlineStr">
        <is>
          <t>893692272</t>
        </is>
      </c>
    </row>
    <row r="644">
      <c r="A644" t="inlineStr">
        <is>
          <t>No</t>
        </is>
      </c>
      <c r="B644" t="inlineStr">
        <is>
          <t>BT315.2 .T74 1997</t>
        </is>
      </c>
      <c r="C644" t="inlineStr">
        <is>
          <t>0                      BT 0315200T  74          1997</t>
        </is>
      </c>
      <c r="D644" t="inlineStr">
        <is>
          <t>The journey of the Magi : meanings in history of a Christian story / Richard C. Trexler.</t>
        </is>
      </c>
      <c r="F644" t="inlineStr">
        <is>
          <t>No</t>
        </is>
      </c>
      <c r="G644" t="inlineStr">
        <is>
          <t>1</t>
        </is>
      </c>
      <c r="H644" t="inlineStr">
        <is>
          <t>No</t>
        </is>
      </c>
      <c r="I644" t="inlineStr">
        <is>
          <t>No</t>
        </is>
      </c>
      <c r="J644" t="inlineStr">
        <is>
          <t>0</t>
        </is>
      </c>
      <c r="K644" t="inlineStr">
        <is>
          <t>Trexler, Richard C., 1932-2007.</t>
        </is>
      </c>
      <c r="L644" t="inlineStr">
        <is>
          <t>Princeton, N.J. : Princeton University Press, c1997.</t>
        </is>
      </c>
      <c r="M644" t="inlineStr">
        <is>
          <t>1997</t>
        </is>
      </c>
      <c r="O644" t="inlineStr">
        <is>
          <t>eng</t>
        </is>
      </c>
      <c r="P644" t="inlineStr">
        <is>
          <t>nju</t>
        </is>
      </c>
      <c r="R644" t="inlineStr">
        <is>
          <t xml:space="preserve">BT </t>
        </is>
      </c>
      <c r="S644" t="n">
        <v>2</v>
      </c>
      <c r="T644" t="n">
        <v>2</v>
      </c>
      <c r="U644" t="inlineStr">
        <is>
          <t>1998-11-21</t>
        </is>
      </c>
      <c r="V644" t="inlineStr">
        <is>
          <t>1998-11-21</t>
        </is>
      </c>
      <c r="W644" t="inlineStr">
        <is>
          <t>1997-10-20</t>
        </is>
      </c>
      <c r="X644" t="inlineStr">
        <is>
          <t>1997-10-20</t>
        </is>
      </c>
      <c r="Y644" t="n">
        <v>519</v>
      </c>
      <c r="Z644" t="n">
        <v>421</v>
      </c>
      <c r="AA644" t="n">
        <v>658</v>
      </c>
      <c r="AB644" t="n">
        <v>4</v>
      </c>
      <c r="AC644" t="n">
        <v>6</v>
      </c>
      <c r="AD644" t="n">
        <v>32</v>
      </c>
      <c r="AE644" t="n">
        <v>41</v>
      </c>
      <c r="AF644" t="n">
        <v>13</v>
      </c>
      <c r="AG644" t="n">
        <v>18</v>
      </c>
      <c r="AH644" t="n">
        <v>7</v>
      </c>
      <c r="AI644" t="n">
        <v>10</v>
      </c>
      <c r="AJ644" t="n">
        <v>15</v>
      </c>
      <c r="AK644" t="n">
        <v>19</v>
      </c>
      <c r="AL644" t="n">
        <v>3</v>
      </c>
      <c r="AM644" t="n">
        <v>4</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HYPERLINK("https://creighton-primo.hosted.exlibrisgroup.com/primo-explore/search?tab=default_tab&amp;search_scope=EVERYTHING&amp;vid=01CRU&amp;lang=en_US&amp;offset=0&amp;query=any,contains,991002731419702656","Catalog Record")</f>
        <v/>
      </c>
      <c r="AT644">
        <f>HYPERLINK("http://www.worldcat.org/oclc/35829041","WorldCat Record")</f>
        <v/>
      </c>
      <c r="AU644" t="inlineStr">
        <is>
          <t>795060355:eng</t>
        </is>
      </c>
      <c r="AV644" t="inlineStr">
        <is>
          <t>35829041</t>
        </is>
      </c>
      <c r="AW644" t="inlineStr">
        <is>
          <t>991002731419702656</t>
        </is>
      </c>
      <c r="AX644" t="inlineStr">
        <is>
          <t>991002731419702656</t>
        </is>
      </c>
      <c r="AY644" t="inlineStr">
        <is>
          <t>2257343920002656</t>
        </is>
      </c>
      <c r="AZ644" t="inlineStr">
        <is>
          <t>BOOK</t>
        </is>
      </c>
      <c r="BB644" t="inlineStr">
        <is>
          <t>9780691011264</t>
        </is>
      </c>
      <c r="BC644" t="inlineStr">
        <is>
          <t>32285003256483</t>
        </is>
      </c>
      <c r="BD644" t="inlineStr">
        <is>
          <t>893427943</t>
        </is>
      </c>
    </row>
    <row r="645">
      <c r="A645" t="inlineStr">
        <is>
          <t>No</t>
        </is>
      </c>
      <c r="B645" t="inlineStr">
        <is>
          <t>BT315.2 .V313 1963</t>
        </is>
      </c>
      <c r="C645" t="inlineStr">
        <is>
          <t>0                      BT 0315200V  313         1963</t>
        </is>
      </c>
      <c r="D645" t="inlineStr">
        <is>
          <t>Born in Bethlehem : Christmas as it really was / [by] H.W. van der Vaart Smit. Translated from the German by Thomas R. Milligan.</t>
        </is>
      </c>
      <c r="F645" t="inlineStr">
        <is>
          <t>No</t>
        </is>
      </c>
      <c r="G645" t="inlineStr">
        <is>
          <t>1</t>
        </is>
      </c>
      <c r="H645" t="inlineStr">
        <is>
          <t>No</t>
        </is>
      </c>
      <c r="I645" t="inlineStr">
        <is>
          <t>No</t>
        </is>
      </c>
      <c r="J645" t="inlineStr">
        <is>
          <t>0</t>
        </is>
      </c>
      <c r="K645" t="inlineStr">
        <is>
          <t>Vaart Smit, H. W. van der.</t>
        </is>
      </c>
      <c r="L645" t="inlineStr">
        <is>
          <t>Baltimore : Helicon, [1963]</t>
        </is>
      </c>
      <c r="M645" t="inlineStr">
        <is>
          <t>1963</t>
        </is>
      </c>
      <c r="O645" t="inlineStr">
        <is>
          <t>eng</t>
        </is>
      </c>
      <c r="P645" t="inlineStr">
        <is>
          <t>___</t>
        </is>
      </c>
      <c r="R645" t="inlineStr">
        <is>
          <t xml:space="preserve">BT </t>
        </is>
      </c>
      <c r="S645" t="n">
        <v>4</v>
      </c>
      <c r="T645" t="n">
        <v>4</v>
      </c>
      <c r="U645" t="inlineStr">
        <is>
          <t>2005-09-13</t>
        </is>
      </c>
      <c r="V645" t="inlineStr">
        <is>
          <t>2005-09-13</t>
        </is>
      </c>
      <c r="W645" t="inlineStr">
        <is>
          <t>1991-08-20</t>
        </is>
      </c>
      <c r="X645" t="inlineStr">
        <is>
          <t>1991-08-20</t>
        </is>
      </c>
      <c r="Y645" t="n">
        <v>240</v>
      </c>
      <c r="Z645" t="n">
        <v>216</v>
      </c>
      <c r="AA645" t="n">
        <v>218</v>
      </c>
      <c r="AB645" t="n">
        <v>3</v>
      </c>
      <c r="AC645" t="n">
        <v>3</v>
      </c>
      <c r="AD645" t="n">
        <v>20</v>
      </c>
      <c r="AE645" t="n">
        <v>20</v>
      </c>
      <c r="AF645" t="n">
        <v>6</v>
      </c>
      <c r="AG645" t="n">
        <v>6</v>
      </c>
      <c r="AH645" t="n">
        <v>4</v>
      </c>
      <c r="AI645" t="n">
        <v>4</v>
      </c>
      <c r="AJ645" t="n">
        <v>14</v>
      </c>
      <c r="AK645" t="n">
        <v>14</v>
      </c>
      <c r="AL645" t="n">
        <v>1</v>
      </c>
      <c r="AM645" t="n">
        <v>1</v>
      </c>
      <c r="AN645" t="n">
        <v>0</v>
      </c>
      <c r="AO645" t="n">
        <v>0</v>
      </c>
      <c r="AP645" t="inlineStr">
        <is>
          <t>No</t>
        </is>
      </c>
      <c r="AQ645" t="inlineStr">
        <is>
          <t>Yes</t>
        </is>
      </c>
      <c r="AR645">
        <f>HYPERLINK("http://catalog.hathitrust.org/Record/009814467","HathiTrust Record")</f>
        <v/>
      </c>
      <c r="AS645">
        <f>HYPERLINK("https://creighton-primo.hosted.exlibrisgroup.com/primo-explore/search?tab=default_tab&amp;search_scope=EVERYTHING&amp;vid=01CRU&amp;lang=en_US&amp;offset=0&amp;query=any,contains,991003411849702656","Catalog Record")</f>
        <v/>
      </c>
      <c r="AT645">
        <f>HYPERLINK("http://www.worldcat.org/oclc/949960","WorldCat Record")</f>
        <v/>
      </c>
      <c r="AU645" t="inlineStr">
        <is>
          <t>422981249:eng</t>
        </is>
      </c>
      <c r="AV645" t="inlineStr">
        <is>
          <t>949960</t>
        </is>
      </c>
      <c r="AW645" t="inlineStr">
        <is>
          <t>991003411849702656</t>
        </is>
      </c>
      <c r="AX645" t="inlineStr">
        <is>
          <t>991003411849702656</t>
        </is>
      </c>
      <c r="AY645" t="inlineStr">
        <is>
          <t>2263033940002656</t>
        </is>
      </c>
      <c r="AZ645" t="inlineStr">
        <is>
          <t>BOOK</t>
        </is>
      </c>
      <c r="BC645" t="inlineStr">
        <is>
          <t>32285000714419</t>
        </is>
      </c>
      <c r="BD645" t="inlineStr">
        <is>
          <t>893317966</t>
        </is>
      </c>
    </row>
    <row r="646">
      <c r="A646" t="inlineStr">
        <is>
          <t>No</t>
        </is>
      </c>
      <c r="B646" t="inlineStr">
        <is>
          <t>BT317 .C3</t>
        </is>
      </c>
      <c r="C646" t="inlineStr">
        <is>
          <t>0                      BT 0317000C  3</t>
        </is>
      </c>
      <c r="D646" t="inlineStr">
        <is>
          <t>The virgin birth in the theology of the ancient church / [Translated by Frank Clarke]</t>
        </is>
      </c>
      <c r="F646" t="inlineStr">
        <is>
          <t>No</t>
        </is>
      </c>
      <c r="G646" t="inlineStr">
        <is>
          <t>1</t>
        </is>
      </c>
      <c r="H646" t="inlineStr">
        <is>
          <t>No</t>
        </is>
      </c>
      <c r="I646" t="inlineStr">
        <is>
          <t>No</t>
        </is>
      </c>
      <c r="J646" t="inlineStr">
        <is>
          <t>0</t>
        </is>
      </c>
      <c r="K646" t="inlineStr">
        <is>
          <t>Campenhausen, Hans von, 1903-1989.</t>
        </is>
      </c>
      <c r="L646" t="inlineStr">
        <is>
          <t>Naperville, Ill., A.R. Allenson [1964]</t>
        </is>
      </c>
      <c r="M646" t="inlineStr">
        <is>
          <t>1964</t>
        </is>
      </c>
      <c r="O646" t="inlineStr">
        <is>
          <t>eng</t>
        </is>
      </c>
      <c r="P646" t="inlineStr">
        <is>
          <t>ilu</t>
        </is>
      </c>
      <c r="Q646" t="inlineStr">
        <is>
          <t>Studies in historical theology, 2</t>
        </is>
      </c>
      <c r="R646" t="inlineStr">
        <is>
          <t xml:space="preserve">BT </t>
        </is>
      </c>
      <c r="S646" t="n">
        <v>1</v>
      </c>
      <c r="T646" t="n">
        <v>1</v>
      </c>
      <c r="U646" t="inlineStr">
        <is>
          <t>2005-09-13</t>
        </is>
      </c>
      <c r="V646" t="inlineStr">
        <is>
          <t>2005-09-13</t>
        </is>
      </c>
      <c r="W646" t="inlineStr">
        <is>
          <t>1991-08-20</t>
        </is>
      </c>
      <c r="X646" t="inlineStr">
        <is>
          <t>1991-08-20</t>
        </is>
      </c>
      <c r="Y646" t="n">
        <v>267</v>
      </c>
      <c r="Z646" t="n">
        <v>244</v>
      </c>
      <c r="AA646" t="n">
        <v>310</v>
      </c>
      <c r="AB646" t="n">
        <v>2</v>
      </c>
      <c r="AC646" t="n">
        <v>2</v>
      </c>
      <c r="AD646" t="n">
        <v>21</v>
      </c>
      <c r="AE646" t="n">
        <v>26</v>
      </c>
      <c r="AF646" t="n">
        <v>6</v>
      </c>
      <c r="AG646" t="n">
        <v>7</v>
      </c>
      <c r="AH646" t="n">
        <v>6</v>
      </c>
      <c r="AI646" t="n">
        <v>7</v>
      </c>
      <c r="AJ646" t="n">
        <v>12</v>
      </c>
      <c r="AK646" t="n">
        <v>17</v>
      </c>
      <c r="AL646" t="n">
        <v>1</v>
      </c>
      <c r="AM646" t="n">
        <v>1</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HYPERLINK("https://creighton-primo.hosted.exlibrisgroup.com/primo-explore/search?tab=default_tab&amp;search_scope=EVERYTHING&amp;vid=01CRU&amp;lang=en_US&amp;offset=0&amp;query=any,contains,991003085359702656","Catalog Record")</f>
        <v/>
      </c>
      <c r="AT646">
        <f>HYPERLINK("http://www.worldcat.org/oclc/636033","WorldCat Record")</f>
        <v/>
      </c>
      <c r="AU646" t="inlineStr">
        <is>
          <t>351707987:eng</t>
        </is>
      </c>
      <c r="AV646" t="inlineStr">
        <is>
          <t>636033</t>
        </is>
      </c>
      <c r="AW646" t="inlineStr">
        <is>
          <t>991003085359702656</t>
        </is>
      </c>
      <c r="AX646" t="inlineStr">
        <is>
          <t>991003085359702656</t>
        </is>
      </c>
      <c r="AY646" t="inlineStr">
        <is>
          <t>2254853500002656</t>
        </is>
      </c>
      <c r="AZ646" t="inlineStr">
        <is>
          <t>BOOK</t>
        </is>
      </c>
      <c r="BC646" t="inlineStr">
        <is>
          <t>32285000714427</t>
        </is>
      </c>
      <c r="BD646" t="inlineStr">
        <is>
          <t>893623137</t>
        </is>
      </c>
    </row>
    <row r="647">
      <c r="A647" t="inlineStr">
        <is>
          <t>No</t>
        </is>
      </c>
      <c r="B647" t="inlineStr">
        <is>
          <t>BT350 .C48 1998</t>
        </is>
      </c>
      <c r="C647" t="inlineStr">
        <is>
          <t>0                      BT 0350000C  48          1998</t>
        </is>
      </c>
      <c r="D647" t="inlineStr">
        <is>
          <t>Jesus' baptism and Jesus' healing : his personal practice of spirituality / Bruce Chilton.</t>
        </is>
      </c>
      <c r="F647" t="inlineStr">
        <is>
          <t>No</t>
        </is>
      </c>
      <c r="G647" t="inlineStr">
        <is>
          <t>1</t>
        </is>
      </c>
      <c r="H647" t="inlineStr">
        <is>
          <t>No</t>
        </is>
      </c>
      <c r="I647" t="inlineStr">
        <is>
          <t>No</t>
        </is>
      </c>
      <c r="J647" t="inlineStr">
        <is>
          <t>0</t>
        </is>
      </c>
      <c r="K647" t="inlineStr">
        <is>
          <t>Chilton, Bruce.</t>
        </is>
      </c>
      <c r="L647" t="inlineStr">
        <is>
          <t>Harrisburg, Pa. : Trinity Press International, c1998.</t>
        </is>
      </c>
      <c r="M647" t="inlineStr">
        <is>
          <t>1998</t>
        </is>
      </c>
      <c r="O647" t="inlineStr">
        <is>
          <t>eng</t>
        </is>
      </c>
      <c r="P647" t="inlineStr">
        <is>
          <t>pau</t>
        </is>
      </c>
      <c r="R647" t="inlineStr">
        <is>
          <t xml:space="preserve">BT </t>
        </is>
      </c>
      <c r="S647" t="n">
        <v>2</v>
      </c>
      <c r="T647" t="n">
        <v>2</v>
      </c>
      <c r="U647" t="inlineStr">
        <is>
          <t>2000-10-12</t>
        </is>
      </c>
      <c r="V647" t="inlineStr">
        <is>
          <t>2000-10-12</t>
        </is>
      </c>
      <c r="W647" t="inlineStr">
        <is>
          <t>1999-10-27</t>
        </is>
      </c>
      <c r="X647" t="inlineStr">
        <is>
          <t>1999-10-27</t>
        </is>
      </c>
      <c r="Y647" t="n">
        <v>207</v>
      </c>
      <c r="Z647" t="n">
        <v>172</v>
      </c>
      <c r="AA647" t="n">
        <v>172</v>
      </c>
      <c r="AB647" t="n">
        <v>4</v>
      </c>
      <c r="AC647" t="n">
        <v>4</v>
      </c>
      <c r="AD647" t="n">
        <v>16</v>
      </c>
      <c r="AE647" t="n">
        <v>16</v>
      </c>
      <c r="AF647" t="n">
        <v>1</v>
      </c>
      <c r="AG647" t="n">
        <v>1</v>
      </c>
      <c r="AH647" t="n">
        <v>4</v>
      </c>
      <c r="AI647" t="n">
        <v>4</v>
      </c>
      <c r="AJ647" t="n">
        <v>10</v>
      </c>
      <c r="AK647" t="n">
        <v>10</v>
      </c>
      <c r="AL647" t="n">
        <v>3</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HYPERLINK("https://creighton-primo.hosted.exlibrisgroup.com/primo-explore/search?tab=default_tab&amp;search_scope=EVERYTHING&amp;vid=01CRU&amp;lang=en_US&amp;offset=0&amp;query=any,contains,991002971209702656","Catalog Record")</f>
        <v/>
      </c>
      <c r="AT647">
        <f>HYPERLINK("http://www.worldcat.org/oclc/39786703","WorldCat Record")</f>
        <v/>
      </c>
      <c r="AU647" t="inlineStr">
        <is>
          <t>1028088897:eng</t>
        </is>
      </c>
      <c r="AV647" t="inlineStr">
        <is>
          <t>39786703</t>
        </is>
      </c>
      <c r="AW647" t="inlineStr">
        <is>
          <t>991002971209702656</t>
        </is>
      </c>
      <c r="AX647" t="inlineStr">
        <is>
          <t>991002971209702656</t>
        </is>
      </c>
      <c r="AY647" t="inlineStr">
        <is>
          <t>2270174180002656</t>
        </is>
      </c>
      <c r="AZ647" t="inlineStr">
        <is>
          <t>BOOK</t>
        </is>
      </c>
      <c r="BB647" t="inlineStr">
        <is>
          <t>9781563382482</t>
        </is>
      </c>
      <c r="BC647" t="inlineStr">
        <is>
          <t>32285003614699</t>
        </is>
      </c>
      <c r="BD647" t="inlineStr">
        <is>
          <t>893598119</t>
        </is>
      </c>
    </row>
    <row r="648">
      <c r="A648" t="inlineStr">
        <is>
          <t>No</t>
        </is>
      </c>
      <c r="B648" t="inlineStr">
        <is>
          <t>BT366 .A44 1982</t>
        </is>
      </c>
      <c r="C648" t="inlineStr">
        <is>
          <t>0                      BT 0366000A  44          1982</t>
        </is>
      </c>
      <c r="D648" t="inlineStr">
        <is>
          <t>Our eyes can be opened : preaching the miracle stories of the synoptic Gospels today / Ronald J. Allen.</t>
        </is>
      </c>
      <c r="F648" t="inlineStr">
        <is>
          <t>No</t>
        </is>
      </c>
      <c r="G648" t="inlineStr">
        <is>
          <t>1</t>
        </is>
      </c>
      <c r="H648" t="inlineStr">
        <is>
          <t>No</t>
        </is>
      </c>
      <c r="I648" t="inlineStr">
        <is>
          <t>No</t>
        </is>
      </c>
      <c r="J648" t="inlineStr">
        <is>
          <t>0</t>
        </is>
      </c>
      <c r="K648" t="inlineStr">
        <is>
          <t>Allen, Ronald J.</t>
        </is>
      </c>
      <c r="L648" t="inlineStr">
        <is>
          <t>Washington, D.C. : University Press of America, c1982.</t>
        </is>
      </c>
      <c r="M648" t="inlineStr">
        <is>
          <t>1982</t>
        </is>
      </c>
      <c r="O648" t="inlineStr">
        <is>
          <t>eng</t>
        </is>
      </c>
      <c r="P648" t="inlineStr">
        <is>
          <t>dcu</t>
        </is>
      </c>
      <c r="R648" t="inlineStr">
        <is>
          <t xml:space="preserve">BT </t>
        </is>
      </c>
      <c r="S648" t="n">
        <v>4</v>
      </c>
      <c r="T648" t="n">
        <v>4</v>
      </c>
      <c r="U648" t="inlineStr">
        <is>
          <t>2005-09-12</t>
        </is>
      </c>
      <c r="V648" t="inlineStr">
        <is>
          <t>2005-09-12</t>
        </is>
      </c>
      <c r="W648" t="inlineStr">
        <is>
          <t>1992-01-10</t>
        </is>
      </c>
      <c r="X648" t="inlineStr">
        <is>
          <t>1992-01-10</t>
        </is>
      </c>
      <c r="Y648" t="n">
        <v>176</v>
      </c>
      <c r="Z648" t="n">
        <v>153</v>
      </c>
      <c r="AA648" t="n">
        <v>153</v>
      </c>
      <c r="AB648" t="n">
        <v>1</v>
      </c>
      <c r="AC648" t="n">
        <v>1</v>
      </c>
      <c r="AD648" t="n">
        <v>9</v>
      </c>
      <c r="AE648" t="n">
        <v>9</v>
      </c>
      <c r="AF648" t="n">
        <v>5</v>
      </c>
      <c r="AG648" t="n">
        <v>5</v>
      </c>
      <c r="AH648" t="n">
        <v>1</v>
      </c>
      <c r="AI648" t="n">
        <v>1</v>
      </c>
      <c r="AJ648" t="n">
        <v>4</v>
      </c>
      <c r="AK648" t="n">
        <v>4</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HYPERLINK("https://creighton-primo.hosted.exlibrisgroup.com/primo-explore/search?tab=default_tab&amp;search_scope=EVERYTHING&amp;vid=01CRU&amp;lang=en_US&amp;offset=0&amp;query=any,contains,991000042629702656","Catalog Record")</f>
        <v/>
      </c>
      <c r="AT648">
        <f>HYPERLINK("http://www.worldcat.org/oclc/8666843","WorldCat Record")</f>
        <v/>
      </c>
      <c r="AU648" t="inlineStr">
        <is>
          <t>483705:eng</t>
        </is>
      </c>
      <c r="AV648" t="inlineStr">
        <is>
          <t>8666843</t>
        </is>
      </c>
      <c r="AW648" t="inlineStr">
        <is>
          <t>991000042629702656</t>
        </is>
      </c>
      <c r="AX648" t="inlineStr">
        <is>
          <t>991000042629702656</t>
        </is>
      </c>
      <c r="AY648" t="inlineStr">
        <is>
          <t>2272449540002656</t>
        </is>
      </c>
      <c r="AZ648" t="inlineStr">
        <is>
          <t>BOOK</t>
        </is>
      </c>
      <c r="BB648" t="inlineStr">
        <is>
          <t>9780819126719</t>
        </is>
      </c>
      <c r="BC648" t="inlineStr">
        <is>
          <t>32285000912930</t>
        </is>
      </c>
      <c r="BD648" t="inlineStr">
        <is>
          <t>893695533</t>
        </is>
      </c>
    </row>
    <row r="649">
      <c r="A649" t="inlineStr">
        <is>
          <t>No</t>
        </is>
      </c>
      <c r="B649" t="inlineStr">
        <is>
          <t>BT366 .L66</t>
        </is>
      </c>
      <c r="C649" t="inlineStr">
        <is>
          <t>0                      BT 0366000L  66</t>
        </is>
      </c>
      <c r="D649" t="inlineStr">
        <is>
          <t>The miracles of Jesus / by H. van der Loos.</t>
        </is>
      </c>
      <c r="F649" t="inlineStr">
        <is>
          <t>No</t>
        </is>
      </c>
      <c r="G649" t="inlineStr">
        <is>
          <t>1</t>
        </is>
      </c>
      <c r="H649" t="inlineStr">
        <is>
          <t>No</t>
        </is>
      </c>
      <c r="I649" t="inlineStr">
        <is>
          <t>No</t>
        </is>
      </c>
      <c r="J649" t="inlineStr">
        <is>
          <t>0</t>
        </is>
      </c>
      <c r="K649" t="inlineStr">
        <is>
          <t>Loos, Hendrik van der.</t>
        </is>
      </c>
      <c r="L649" t="inlineStr">
        <is>
          <t>Leiden, E. J. Brill, c1965.</t>
        </is>
      </c>
      <c r="M649" t="inlineStr">
        <is>
          <t>1965</t>
        </is>
      </c>
      <c r="N649" t="inlineStr">
        <is>
          <t>[1st. ed.]</t>
        </is>
      </c>
      <c r="O649" t="inlineStr">
        <is>
          <t>eng</t>
        </is>
      </c>
      <c r="P649" t="inlineStr">
        <is>
          <t xml:space="preserve">xx </t>
        </is>
      </c>
      <c r="Q649" t="inlineStr">
        <is>
          <t>Supplements to Novum Testamentum ; v. 9</t>
        </is>
      </c>
      <c r="R649" t="inlineStr">
        <is>
          <t xml:space="preserve">BT </t>
        </is>
      </c>
      <c r="S649" t="n">
        <v>5</v>
      </c>
      <c r="T649" t="n">
        <v>5</v>
      </c>
      <c r="U649" t="inlineStr">
        <is>
          <t>2005-09-12</t>
        </is>
      </c>
      <c r="V649" t="inlineStr">
        <is>
          <t>2005-09-12</t>
        </is>
      </c>
      <c r="W649" t="inlineStr">
        <is>
          <t>1991-08-20</t>
        </is>
      </c>
      <c r="X649" t="inlineStr">
        <is>
          <t>1991-08-20</t>
        </is>
      </c>
      <c r="Y649" t="n">
        <v>115</v>
      </c>
      <c r="Z649" t="n">
        <v>107</v>
      </c>
      <c r="AA649" t="n">
        <v>385</v>
      </c>
      <c r="AB649" t="n">
        <v>1</v>
      </c>
      <c r="AC649" t="n">
        <v>2</v>
      </c>
      <c r="AD649" t="n">
        <v>9</v>
      </c>
      <c r="AE649" t="n">
        <v>25</v>
      </c>
      <c r="AF649" t="n">
        <v>4</v>
      </c>
      <c r="AG649" t="n">
        <v>14</v>
      </c>
      <c r="AH649" t="n">
        <v>2</v>
      </c>
      <c r="AI649" t="n">
        <v>4</v>
      </c>
      <c r="AJ649" t="n">
        <v>4</v>
      </c>
      <c r="AK649" t="n">
        <v>14</v>
      </c>
      <c r="AL649" t="n">
        <v>0</v>
      </c>
      <c r="AM649" t="n">
        <v>1</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HYPERLINK("https://creighton-primo.hosted.exlibrisgroup.com/primo-explore/search?tab=default_tab&amp;search_scope=EVERYTHING&amp;vid=01CRU&amp;lang=en_US&amp;offset=0&amp;query=any,contains,991003988619702656","Catalog Record")</f>
        <v/>
      </c>
      <c r="AT649">
        <f>HYPERLINK("http://www.worldcat.org/oclc/2036569","WorldCat Record")</f>
        <v/>
      </c>
      <c r="AU649" t="inlineStr">
        <is>
          <t>1500351:eng</t>
        </is>
      </c>
      <c r="AV649" t="inlineStr">
        <is>
          <t>2036569</t>
        </is>
      </c>
      <c r="AW649" t="inlineStr">
        <is>
          <t>991003988619702656</t>
        </is>
      </c>
      <c r="AX649" t="inlineStr">
        <is>
          <t>991003988619702656</t>
        </is>
      </c>
      <c r="AY649" t="inlineStr">
        <is>
          <t>2266824100002656</t>
        </is>
      </c>
      <c r="AZ649" t="inlineStr">
        <is>
          <t>BOOK</t>
        </is>
      </c>
      <c r="BC649" t="inlineStr">
        <is>
          <t>32285000714542</t>
        </is>
      </c>
      <c r="BD649" t="inlineStr">
        <is>
          <t>893228770</t>
        </is>
      </c>
    </row>
    <row r="650">
      <c r="A650" t="inlineStr">
        <is>
          <t>No</t>
        </is>
      </c>
      <c r="B650" t="inlineStr">
        <is>
          <t>BT366 .N5</t>
        </is>
      </c>
      <c r="C650" t="inlineStr">
        <is>
          <t>0                      BT 0366000N  5</t>
        </is>
      </c>
      <c r="D650" t="inlineStr">
        <is>
          <t>The Sēmeia in the fourth gospel. Tradition and redaction. By W. Nicol.</t>
        </is>
      </c>
      <c r="F650" t="inlineStr">
        <is>
          <t>No</t>
        </is>
      </c>
      <c r="G650" t="inlineStr">
        <is>
          <t>1</t>
        </is>
      </c>
      <c r="H650" t="inlineStr">
        <is>
          <t>No</t>
        </is>
      </c>
      <c r="I650" t="inlineStr">
        <is>
          <t>No</t>
        </is>
      </c>
      <c r="J650" t="inlineStr">
        <is>
          <t>0</t>
        </is>
      </c>
      <c r="K650" t="inlineStr">
        <is>
          <t>Nicol, W.</t>
        </is>
      </c>
      <c r="L650" t="inlineStr">
        <is>
          <t>Leiden, Brill, 1972.</t>
        </is>
      </c>
      <c r="M650" t="inlineStr">
        <is>
          <t>1972</t>
        </is>
      </c>
      <c r="O650" t="inlineStr">
        <is>
          <t>eng</t>
        </is>
      </c>
      <c r="P650" t="inlineStr">
        <is>
          <t xml:space="preserve">ne </t>
        </is>
      </c>
      <c r="Q650" t="inlineStr">
        <is>
          <t>Supplements to Novum Testamentum ; v. 32</t>
        </is>
      </c>
      <c r="R650" t="inlineStr">
        <is>
          <t xml:space="preserve">BT </t>
        </is>
      </c>
      <c r="S650" t="n">
        <v>2</v>
      </c>
      <c r="T650" t="n">
        <v>2</v>
      </c>
      <c r="U650" t="inlineStr">
        <is>
          <t>2005-03-30</t>
        </is>
      </c>
      <c r="V650" t="inlineStr">
        <is>
          <t>2005-03-30</t>
        </is>
      </c>
      <c r="W650" t="inlineStr">
        <is>
          <t>1991-08-20</t>
        </is>
      </c>
      <c r="X650" t="inlineStr">
        <is>
          <t>1991-08-20</t>
        </is>
      </c>
      <c r="Y650" t="n">
        <v>363</v>
      </c>
      <c r="Z650" t="n">
        <v>245</v>
      </c>
      <c r="AA650" t="n">
        <v>266</v>
      </c>
      <c r="AB650" t="n">
        <v>3</v>
      </c>
      <c r="AC650" t="n">
        <v>3</v>
      </c>
      <c r="AD650" t="n">
        <v>22</v>
      </c>
      <c r="AE650" t="n">
        <v>22</v>
      </c>
      <c r="AF650" t="n">
        <v>5</v>
      </c>
      <c r="AG650" t="n">
        <v>5</v>
      </c>
      <c r="AH650" t="n">
        <v>5</v>
      </c>
      <c r="AI650" t="n">
        <v>5</v>
      </c>
      <c r="AJ650" t="n">
        <v>16</v>
      </c>
      <c r="AK650" t="n">
        <v>16</v>
      </c>
      <c r="AL650" t="n">
        <v>2</v>
      </c>
      <c r="AM650" t="n">
        <v>2</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HYPERLINK("https://creighton-primo.hosted.exlibrisgroup.com/primo-explore/search?tab=default_tab&amp;search_scope=EVERYTHING&amp;vid=01CRU&amp;lang=en_US&amp;offset=0&amp;query=any,contains,991003088649702656","Catalog Record")</f>
        <v/>
      </c>
      <c r="AT650">
        <f>HYPERLINK("http://www.worldcat.org/oclc/550142","WorldCat Record")</f>
        <v/>
      </c>
      <c r="AU650" t="inlineStr">
        <is>
          <t>808563413:eng</t>
        </is>
      </c>
      <c r="AV650" t="inlineStr">
        <is>
          <t>550142</t>
        </is>
      </c>
      <c r="AW650" t="inlineStr">
        <is>
          <t>991003088649702656</t>
        </is>
      </c>
      <c r="AX650" t="inlineStr">
        <is>
          <t>991003088649702656</t>
        </is>
      </c>
      <c r="AY650" t="inlineStr">
        <is>
          <t>2257610720002656</t>
        </is>
      </c>
      <c r="AZ650" t="inlineStr">
        <is>
          <t>BOOK</t>
        </is>
      </c>
      <c r="BB650" t="inlineStr">
        <is>
          <t>9789004034778</t>
        </is>
      </c>
      <c r="BC650" t="inlineStr">
        <is>
          <t>32285000714559</t>
        </is>
      </c>
      <c r="BD650" t="inlineStr">
        <is>
          <t>893518131</t>
        </is>
      </c>
    </row>
    <row r="651">
      <c r="A651" t="inlineStr">
        <is>
          <t>No</t>
        </is>
      </c>
      <c r="B651" t="inlineStr">
        <is>
          <t>BT375 .S735 1975</t>
        </is>
      </c>
      <c r="C651" t="inlineStr">
        <is>
          <t>0                      BT 0375000S  735         1975</t>
        </is>
      </c>
      <c r="D651" t="inlineStr">
        <is>
          <t>The Jesus of the parables / Charles W. F. Smith.</t>
        </is>
      </c>
      <c r="F651" t="inlineStr">
        <is>
          <t>No</t>
        </is>
      </c>
      <c r="G651" t="inlineStr">
        <is>
          <t>1</t>
        </is>
      </c>
      <c r="H651" t="inlineStr">
        <is>
          <t>No</t>
        </is>
      </c>
      <c r="I651" t="inlineStr">
        <is>
          <t>No</t>
        </is>
      </c>
      <c r="J651" t="inlineStr">
        <is>
          <t>0</t>
        </is>
      </c>
      <c r="K651" t="inlineStr">
        <is>
          <t>Smith, Charles W. F. (Charles William Frederick), 1905-</t>
        </is>
      </c>
      <c r="L651" t="inlineStr">
        <is>
          <t>Philadelphia : United Church Press, [1975]</t>
        </is>
      </c>
      <c r="M651" t="inlineStr">
        <is>
          <t>1975</t>
        </is>
      </c>
      <c r="N651" t="inlineStr">
        <is>
          <t>Rev. ed.</t>
        </is>
      </c>
      <c r="O651" t="inlineStr">
        <is>
          <t>eng</t>
        </is>
      </c>
      <c r="P651" t="inlineStr">
        <is>
          <t>pau</t>
        </is>
      </c>
      <c r="R651" t="inlineStr">
        <is>
          <t xml:space="preserve">BT </t>
        </is>
      </c>
      <c r="S651" t="n">
        <v>7</v>
      </c>
      <c r="T651" t="n">
        <v>7</v>
      </c>
      <c r="U651" t="inlineStr">
        <is>
          <t>2003-06-02</t>
        </is>
      </c>
      <c r="V651" t="inlineStr">
        <is>
          <t>2003-06-02</t>
        </is>
      </c>
      <c r="W651" t="inlineStr">
        <is>
          <t>1991-08-20</t>
        </is>
      </c>
      <c r="X651" t="inlineStr">
        <is>
          <t>1991-08-20</t>
        </is>
      </c>
      <c r="Y651" t="n">
        <v>218</v>
      </c>
      <c r="Z651" t="n">
        <v>189</v>
      </c>
      <c r="AA651" t="n">
        <v>372</v>
      </c>
      <c r="AB651" t="n">
        <v>1</v>
      </c>
      <c r="AC651" t="n">
        <v>2</v>
      </c>
      <c r="AD651" t="n">
        <v>15</v>
      </c>
      <c r="AE651" t="n">
        <v>19</v>
      </c>
      <c r="AF651" t="n">
        <v>6</v>
      </c>
      <c r="AG651" t="n">
        <v>8</v>
      </c>
      <c r="AH651" t="n">
        <v>3</v>
      </c>
      <c r="AI651" t="n">
        <v>3</v>
      </c>
      <c r="AJ651" t="n">
        <v>12</v>
      </c>
      <c r="AK651" t="n">
        <v>13</v>
      </c>
      <c r="AL651" t="n">
        <v>0</v>
      </c>
      <c r="AM651" t="n">
        <v>1</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HYPERLINK("https://creighton-primo.hosted.exlibrisgroup.com/primo-explore/search?tab=default_tab&amp;search_scope=EVERYTHING&amp;vid=01CRU&amp;lang=en_US&amp;offset=0&amp;query=any,contains,991003538039702656","Catalog Record")</f>
        <v/>
      </c>
      <c r="AT651">
        <f>HYPERLINK("http://www.worldcat.org/oclc/1103180","WorldCat Record")</f>
        <v/>
      </c>
      <c r="AU651" t="inlineStr">
        <is>
          <t>494810:eng</t>
        </is>
      </c>
      <c r="AV651" t="inlineStr">
        <is>
          <t>1103180</t>
        </is>
      </c>
      <c r="AW651" t="inlineStr">
        <is>
          <t>991003538039702656</t>
        </is>
      </c>
      <c r="AX651" t="inlineStr">
        <is>
          <t>991003538039702656</t>
        </is>
      </c>
      <c r="AY651" t="inlineStr">
        <is>
          <t>2267382270002656</t>
        </is>
      </c>
      <c r="AZ651" t="inlineStr">
        <is>
          <t>BOOK</t>
        </is>
      </c>
      <c r="BB651" t="inlineStr">
        <is>
          <t>9780829802672</t>
        </is>
      </c>
      <c r="BC651" t="inlineStr">
        <is>
          <t>32285000714658</t>
        </is>
      </c>
      <c r="BD651" t="inlineStr">
        <is>
          <t>893774856</t>
        </is>
      </c>
    </row>
    <row r="652">
      <c r="A652" t="inlineStr">
        <is>
          <t>No</t>
        </is>
      </c>
      <c r="B652" t="inlineStr">
        <is>
          <t>BT375.2 .B27 1970</t>
        </is>
      </c>
      <c r="C652" t="inlineStr">
        <is>
          <t>0                      BT 0375200B  27          1970</t>
        </is>
      </c>
      <c r="D652" t="inlineStr">
        <is>
          <t>And Jesus said: a handbook on the parables of Jesus / by William Barclay.</t>
        </is>
      </c>
      <c r="F652" t="inlineStr">
        <is>
          <t>No</t>
        </is>
      </c>
      <c r="G652" t="inlineStr">
        <is>
          <t>1</t>
        </is>
      </c>
      <c r="H652" t="inlineStr">
        <is>
          <t>No</t>
        </is>
      </c>
      <c r="I652" t="inlineStr">
        <is>
          <t>No</t>
        </is>
      </c>
      <c r="J652" t="inlineStr">
        <is>
          <t>0</t>
        </is>
      </c>
      <c r="K652" t="inlineStr">
        <is>
          <t>Barclay, William, 1907-1978.</t>
        </is>
      </c>
      <c r="L652" t="inlineStr">
        <is>
          <t>Philadelphia: Westminster Press, 1970.</t>
        </is>
      </c>
      <c r="M652" t="inlineStr">
        <is>
          <t>1970</t>
        </is>
      </c>
      <c r="O652" t="inlineStr">
        <is>
          <t>eng</t>
        </is>
      </c>
      <c r="P652" t="inlineStr">
        <is>
          <t>pau</t>
        </is>
      </c>
      <c r="R652" t="inlineStr">
        <is>
          <t xml:space="preserve">BT </t>
        </is>
      </c>
      <c r="S652" t="n">
        <v>1</v>
      </c>
      <c r="T652" t="n">
        <v>1</v>
      </c>
      <c r="U652" t="inlineStr">
        <is>
          <t>2010-07-01</t>
        </is>
      </c>
      <c r="V652" t="inlineStr">
        <is>
          <t>2010-07-01</t>
        </is>
      </c>
      <c r="W652" t="inlineStr">
        <is>
          <t>2010-07-01</t>
        </is>
      </c>
      <c r="X652" t="inlineStr">
        <is>
          <t>2010-07-01</t>
        </is>
      </c>
      <c r="Y652" t="n">
        <v>379</v>
      </c>
      <c r="Z652" t="n">
        <v>358</v>
      </c>
      <c r="AA652" t="n">
        <v>400</v>
      </c>
      <c r="AB652" t="n">
        <v>5</v>
      </c>
      <c r="AC652" t="n">
        <v>5</v>
      </c>
      <c r="AD652" t="n">
        <v>20</v>
      </c>
      <c r="AE652" t="n">
        <v>21</v>
      </c>
      <c r="AF652" t="n">
        <v>8</v>
      </c>
      <c r="AG652" t="n">
        <v>9</v>
      </c>
      <c r="AH652" t="n">
        <v>4</v>
      </c>
      <c r="AI652" t="n">
        <v>4</v>
      </c>
      <c r="AJ652" t="n">
        <v>11</v>
      </c>
      <c r="AK652" t="n">
        <v>11</v>
      </c>
      <c r="AL652" t="n">
        <v>2</v>
      </c>
      <c r="AM652" t="n">
        <v>2</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HYPERLINK("https://creighton-primo.hosted.exlibrisgroup.com/primo-explore/search?tab=default_tab&amp;search_scope=EVERYTHING&amp;vid=01CRU&amp;lang=en_US&amp;offset=0&amp;query=any,contains,991000017789702656","Catalog Record")</f>
        <v/>
      </c>
      <c r="AT652">
        <f>HYPERLINK("http://www.worldcat.org/oclc/109496","WorldCat Record")</f>
        <v/>
      </c>
      <c r="AU652" t="inlineStr">
        <is>
          <t>10913994:eng</t>
        </is>
      </c>
      <c r="AV652" t="inlineStr">
        <is>
          <t>109496</t>
        </is>
      </c>
      <c r="AW652" t="inlineStr">
        <is>
          <t>991000017789702656</t>
        </is>
      </c>
      <c r="AX652" t="inlineStr">
        <is>
          <t>991000017789702656</t>
        </is>
      </c>
      <c r="AY652" t="inlineStr">
        <is>
          <t>2254808090002656</t>
        </is>
      </c>
      <c r="AZ652" t="inlineStr">
        <is>
          <t>BOOK</t>
        </is>
      </c>
      <c r="BB652" t="inlineStr">
        <is>
          <t>9780664248987</t>
        </is>
      </c>
      <c r="BC652" t="inlineStr">
        <is>
          <t>32285005589550</t>
        </is>
      </c>
      <c r="BD652" t="inlineStr">
        <is>
          <t>893714220</t>
        </is>
      </c>
    </row>
    <row r="653">
      <c r="A653" t="inlineStr">
        <is>
          <t>No</t>
        </is>
      </c>
      <c r="B653" t="inlineStr">
        <is>
          <t>BT375.2 .C3216 1988</t>
        </is>
      </c>
      <c r="C653" t="inlineStr">
        <is>
          <t>0                      BT 0375200C  3216        1988</t>
        </is>
      </c>
      <c r="D653" t="inlineStr">
        <is>
          <t>The parables of grace / by Robert Farrar Capon.</t>
        </is>
      </c>
      <c r="F653" t="inlineStr">
        <is>
          <t>No</t>
        </is>
      </c>
      <c r="G653" t="inlineStr">
        <is>
          <t>1</t>
        </is>
      </c>
      <c r="H653" t="inlineStr">
        <is>
          <t>No</t>
        </is>
      </c>
      <c r="I653" t="inlineStr">
        <is>
          <t>No</t>
        </is>
      </c>
      <c r="J653" t="inlineStr">
        <is>
          <t>0</t>
        </is>
      </c>
      <c r="K653" t="inlineStr">
        <is>
          <t>Capon, Robert Farrar.</t>
        </is>
      </c>
      <c r="L653" t="inlineStr">
        <is>
          <t>Grand Rapids, Mich. : W.B. Eerdmans Pub. Co., c1988.</t>
        </is>
      </c>
      <c r="M653" t="inlineStr">
        <is>
          <t>1988</t>
        </is>
      </c>
      <c r="O653" t="inlineStr">
        <is>
          <t>eng</t>
        </is>
      </c>
      <c r="P653" t="inlineStr">
        <is>
          <t>miu</t>
        </is>
      </c>
      <c r="R653" t="inlineStr">
        <is>
          <t xml:space="preserve">BT </t>
        </is>
      </c>
      <c r="S653" t="n">
        <v>1</v>
      </c>
      <c r="T653" t="n">
        <v>1</v>
      </c>
      <c r="U653" t="inlineStr">
        <is>
          <t>2006-04-25</t>
        </is>
      </c>
      <c r="V653" t="inlineStr">
        <is>
          <t>2006-04-25</t>
        </is>
      </c>
      <c r="W653" t="inlineStr">
        <is>
          <t>2006-04-25</t>
        </is>
      </c>
      <c r="X653" t="inlineStr">
        <is>
          <t>2006-04-25</t>
        </is>
      </c>
      <c r="Y653" t="n">
        <v>435</v>
      </c>
      <c r="Z653" t="n">
        <v>374</v>
      </c>
      <c r="AA653" t="n">
        <v>375</v>
      </c>
      <c r="AB653" t="n">
        <v>4</v>
      </c>
      <c r="AC653" t="n">
        <v>4</v>
      </c>
      <c r="AD653" t="n">
        <v>13</v>
      </c>
      <c r="AE653" t="n">
        <v>13</v>
      </c>
      <c r="AF653" t="n">
        <v>3</v>
      </c>
      <c r="AG653" t="n">
        <v>3</v>
      </c>
      <c r="AH653" t="n">
        <v>3</v>
      </c>
      <c r="AI653" t="n">
        <v>3</v>
      </c>
      <c r="AJ653" t="n">
        <v>6</v>
      </c>
      <c r="AK653" t="n">
        <v>6</v>
      </c>
      <c r="AL653" t="n">
        <v>2</v>
      </c>
      <c r="AM653" t="n">
        <v>2</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HYPERLINK("https://creighton-primo.hosted.exlibrisgroup.com/primo-explore/search?tab=default_tab&amp;search_scope=EVERYTHING&amp;vid=01CRU&amp;lang=en_US&amp;offset=0&amp;query=any,contains,991004792029702656","Catalog Record")</f>
        <v/>
      </c>
      <c r="AT653">
        <f>HYPERLINK("http://www.worldcat.org/oclc/17549274","WorldCat Record")</f>
        <v/>
      </c>
      <c r="AU653" t="inlineStr">
        <is>
          <t>16187344:eng</t>
        </is>
      </c>
      <c r="AV653" t="inlineStr">
        <is>
          <t>17549274</t>
        </is>
      </c>
      <c r="AW653" t="inlineStr">
        <is>
          <t>991004792029702656</t>
        </is>
      </c>
      <c r="AX653" t="inlineStr">
        <is>
          <t>991004792029702656</t>
        </is>
      </c>
      <c r="AY653" t="inlineStr">
        <is>
          <t>2270693640002656</t>
        </is>
      </c>
      <c r="AZ653" t="inlineStr">
        <is>
          <t>BOOK</t>
        </is>
      </c>
      <c r="BB653" t="inlineStr">
        <is>
          <t>9780802836489</t>
        </is>
      </c>
      <c r="BC653" t="inlineStr">
        <is>
          <t>32285005182257</t>
        </is>
      </c>
      <c r="BD653" t="inlineStr">
        <is>
          <t>893344265</t>
        </is>
      </c>
    </row>
    <row r="654">
      <c r="A654" t="inlineStr">
        <is>
          <t>No</t>
        </is>
      </c>
      <c r="B654" t="inlineStr">
        <is>
          <t>BT375.2 .G813 1964</t>
        </is>
      </c>
      <c r="C654" t="inlineStr">
        <is>
          <t>0                      BT 0375200G  813         1964</t>
        </is>
      </c>
      <c r="D654" t="inlineStr">
        <is>
          <t>The parables of the Lord / Richard Gutzwiller. [Translated by Arlene Swidler.</t>
        </is>
      </c>
      <c r="F654" t="inlineStr">
        <is>
          <t>No</t>
        </is>
      </c>
      <c r="G654" t="inlineStr">
        <is>
          <t>1</t>
        </is>
      </c>
      <c r="H654" t="inlineStr">
        <is>
          <t>No</t>
        </is>
      </c>
      <c r="I654" t="inlineStr">
        <is>
          <t>No</t>
        </is>
      </c>
      <c r="J654" t="inlineStr">
        <is>
          <t>0</t>
        </is>
      </c>
      <c r="K654" t="inlineStr">
        <is>
          <t>Gutzwiller, Richard.</t>
        </is>
      </c>
      <c r="L654" t="inlineStr">
        <is>
          <t>New York] : Herder and Herder, [1964]</t>
        </is>
      </c>
      <c r="M654" t="inlineStr">
        <is>
          <t>1964</t>
        </is>
      </c>
      <c r="O654" t="inlineStr">
        <is>
          <t>eng</t>
        </is>
      </c>
      <c r="P654" t="inlineStr">
        <is>
          <t>___</t>
        </is>
      </c>
      <c r="R654" t="inlineStr">
        <is>
          <t xml:space="preserve">BT </t>
        </is>
      </c>
      <c r="S654" t="n">
        <v>9</v>
      </c>
      <c r="T654" t="n">
        <v>9</v>
      </c>
      <c r="U654" t="inlineStr">
        <is>
          <t>2006-11-09</t>
        </is>
      </c>
      <c r="V654" t="inlineStr">
        <is>
          <t>2006-11-09</t>
        </is>
      </c>
      <c r="W654" t="inlineStr">
        <is>
          <t>1991-08-20</t>
        </is>
      </c>
      <c r="X654" t="inlineStr">
        <is>
          <t>1991-08-20</t>
        </is>
      </c>
      <c r="Y654" t="n">
        <v>184</v>
      </c>
      <c r="Z654" t="n">
        <v>166</v>
      </c>
      <c r="AA654" t="n">
        <v>171</v>
      </c>
      <c r="AB654" t="n">
        <v>4</v>
      </c>
      <c r="AC654" t="n">
        <v>4</v>
      </c>
      <c r="AD654" t="n">
        <v>27</v>
      </c>
      <c r="AE654" t="n">
        <v>27</v>
      </c>
      <c r="AF654" t="n">
        <v>11</v>
      </c>
      <c r="AG654" t="n">
        <v>11</v>
      </c>
      <c r="AH654" t="n">
        <v>4</v>
      </c>
      <c r="AI654" t="n">
        <v>4</v>
      </c>
      <c r="AJ654" t="n">
        <v>21</v>
      </c>
      <c r="AK654" t="n">
        <v>21</v>
      </c>
      <c r="AL654" t="n">
        <v>1</v>
      </c>
      <c r="AM654" t="n">
        <v>1</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HYPERLINK("https://creighton-primo.hosted.exlibrisgroup.com/primo-explore/search?tab=default_tab&amp;search_scope=EVERYTHING&amp;vid=01CRU&amp;lang=en_US&amp;offset=0&amp;query=any,contains,991003139039702656","Catalog Record")</f>
        <v/>
      </c>
      <c r="AT654">
        <f>HYPERLINK("http://www.worldcat.org/oclc/680783","WorldCat Record")</f>
        <v/>
      </c>
      <c r="AU654" t="inlineStr">
        <is>
          <t>422890600:eng</t>
        </is>
      </c>
      <c r="AV654" t="inlineStr">
        <is>
          <t>680783</t>
        </is>
      </c>
      <c r="AW654" t="inlineStr">
        <is>
          <t>991003139039702656</t>
        </is>
      </c>
      <c r="AX654" t="inlineStr">
        <is>
          <t>991003139039702656</t>
        </is>
      </c>
      <c r="AY654" t="inlineStr">
        <is>
          <t>2268428460002656</t>
        </is>
      </c>
      <c r="AZ654" t="inlineStr">
        <is>
          <t>BOOK</t>
        </is>
      </c>
      <c r="BC654" t="inlineStr">
        <is>
          <t>32285000714757</t>
        </is>
      </c>
      <c r="BD654" t="inlineStr">
        <is>
          <t>893793354</t>
        </is>
      </c>
    </row>
    <row r="655">
      <c r="A655" t="inlineStr">
        <is>
          <t>No</t>
        </is>
      </c>
      <c r="B655" t="inlineStr">
        <is>
          <t>BT375.2 .M54 1981</t>
        </is>
      </c>
      <c r="C655" t="inlineStr">
        <is>
          <t>0                      BT 0375200M  54          1981</t>
        </is>
      </c>
      <c r="D655" t="inlineStr">
        <is>
          <t>Step by step through the parables : a beginner's guide to the modern study of the stories Jesus told : their meaning in his time and ours / John W. Miller.</t>
        </is>
      </c>
      <c r="F655" t="inlineStr">
        <is>
          <t>No</t>
        </is>
      </c>
      <c r="G655" t="inlineStr">
        <is>
          <t>1</t>
        </is>
      </c>
      <c r="H655" t="inlineStr">
        <is>
          <t>No</t>
        </is>
      </c>
      <c r="I655" t="inlineStr">
        <is>
          <t>No</t>
        </is>
      </c>
      <c r="J655" t="inlineStr">
        <is>
          <t>0</t>
        </is>
      </c>
      <c r="K655" t="inlineStr">
        <is>
          <t>Miller, John W., 1926-</t>
        </is>
      </c>
      <c r="L655" t="inlineStr">
        <is>
          <t>New York : Paulist Press, c1981.</t>
        </is>
      </c>
      <c r="M655" t="inlineStr">
        <is>
          <t>1981</t>
        </is>
      </c>
      <c r="O655" t="inlineStr">
        <is>
          <t>eng</t>
        </is>
      </c>
      <c r="P655" t="inlineStr">
        <is>
          <t>nyu</t>
        </is>
      </c>
      <c r="R655" t="inlineStr">
        <is>
          <t xml:space="preserve">BT </t>
        </is>
      </c>
      <c r="S655" t="n">
        <v>3</v>
      </c>
      <c r="T655" t="n">
        <v>3</v>
      </c>
      <c r="U655" t="inlineStr">
        <is>
          <t>2009-11-19</t>
        </is>
      </c>
      <c r="V655" t="inlineStr">
        <is>
          <t>2009-11-19</t>
        </is>
      </c>
      <c r="W655" t="inlineStr">
        <is>
          <t>2009-07-28</t>
        </is>
      </c>
      <c r="X655" t="inlineStr">
        <is>
          <t>2009-07-28</t>
        </is>
      </c>
      <c r="Y655" t="n">
        <v>232</v>
      </c>
      <c r="Z655" t="n">
        <v>212</v>
      </c>
      <c r="AA655" t="n">
        <v>212</v>
      </c>
      <c r="AB655" t="n">
        <v>3</v>
      </c>
      <c r="AC655" t="n">
        <v>3</v>
      </c>
      <c r="AD655" t="n">
        <v>13</v>
      </c>
      <c r="AE655" t="n">
        <v>13</v>
      </c>
      <c r="AF655" t="n">
        <v>5</v>
      </c>
      <c r="AG655" t="n">
        <v>5</v>
      </c>
      <c r="AH655" t="n">
        <v>3</v>
      </c>
      <c r="AI655" t="n">
        <v>3</v>
      </c>
      <c r="AJ655" t="n">
        <v>9</v>
      </c>
      <c r="AK655" t="n">
        <v>9</v>
      </c>
      <c r="AL655" t="n">
        <v>1</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HYPERLINK("https://creighton-primo.hosted.exlibrisgroup.com/primo-explore/search?tab=default_tab&amp;search_scope=EVERYTHING&amp;vid=01CRU&amp;lang=en_US&amp;offset=0&amp;query=any,contains,991005328519702656","Catalog Record")</f>
        <v/>
      </c>
      <c r="AT655">
        <f>HYPERLINK("http://www.worldcat.org/oclc/7685166","WorldCat Record")</f>
        <v/>
      </c>
      <c r="AU655" t="inlineStr">
        <is>
          <t>466296:eng</t>
        </is>
      </c>
      <c r="AV655" t="inlineStr">
        <is>
          <t>7685166</t>
        </is>
      </c>
      <c r="AW655" t="inlineStr">
        <is>
          <t>991005328519702656</t>
        </is>
      </c>
      <c r="AX655" t="inlineStr">
        <is>
          <t>991005328519702656</t>
        </is>
      </c>
      <c r="AY655" t="inlineStr">
        <is>
          <t>2269370490002656</t>
        </is>
      </c>
      <c r="AZ655" t="inlineStr">
        <is>
          <t>BOOK</t>
        </is>
      </c>
      <c r="BB655" t="inlineStr">
        <is>
          <t>9780809123797</t>
        </is>
      </c>
      <c r="BC655" t="inlineStr">
        <is>
          <t>32285005539274</t>
        </is>
      </c>
      <c r="BD655" t="inlineStr">
        <is>
          <t>893811004</t>
        </is>
      </c>
    </row>
    <row r="656">
      <c r="A656" t="inlineStr">
        <is>
          <t>No</t>
        </is>
      </c>
      <c r="B656" t="inlineStr">
        <is>
          <t>BT375.3 .L67 2002</t>
        </is>
      </c>
      <c r="C656" t="inlineStr">
        <is>
          <t>0                      BT 0375300L  67          2002</t>
        </is>
      </c>
      <c r="D656" t="inlineStr">
        <is>
          <t>The lost coin : parables of women, work, and wisdom / edited by Mary Ann Beavis.</t>
        </is>
      </c>
      <c r="F656" t="inlineStr">
        <is>
          <t>No</t>
        </is>
      </c>
      <c r="G656" t="inlineStr">
        <is>
          <t>1</t>
        </is>
      </c>
      <c r="H656" t="inlineStr">
        <is>
          <t>No</t>
        </is>
      </c>
      <c r="I656" t="inlineStr">
        <is>
          <t>No</t>
        </is>
      </c>
      <c r="J656" t="inlineStr">
        <is>
          <t>0</t>
        </is>
      </c>
      <c r="L656" t="inlineStr">
        <is>
          <t>London ; New York : Sheffield Academic Press, c2002.</t>
        </is>
      </c>
      <c r="M656" t="inlineStr">
        <is>
          <t>2002</t>
        </is>
      </c>
      <c r="O656" t="inlineStr">
        <is>
          <t>eng</t>
        </is>
      </c>
      <c r="P656" t="inlineStr">
        <is>
          <t>enk</t>
        </is>
      </c>
      <c r="Q656" t="inlineStr">
        <is>
          <t>The biblical seminar ; 86</t>
        </is>
      </c>
      <c r="R656" t="inlineStr">
        <is>
          <t xml:space="preserve">BT </t>
        </is>
      </c>
      <c r="S656" t="n">
        <v>2</v>
      </c>
      <c r="T656" t="n">
        <v>2</v>
      </c>
      <c r="U656" t="inlineStr">
        <is>
          <t>2004-05-17</t>
        </is>
      </c>
      <c r="V656" t="inlineStr">
        <is>
          <t>2004-05-17</t>
        </is>
      </c>
      <c r="W656" t="inlineStr">
        <is>
          <t>2003-08-28</t>
        </is>
      </c>
      <c r="X656" t="inlineStr">
        <is>
          <t>2003-08-28</t>
        </is>
      </c>
      <c r="Y656" t="n">
        <v>219</v>
      </c>
      <c r="Z656" t="n">
        <v>158</v>
      </c>
      <c r="AA656" t="n">
        <v>506</v>
      </c>
      <c r="AB656" t="n">
        <v>1</v>
      </c>
      <c r="AC656" t="n">
        <v>5</v>
      </c>
      <c r="AD656" t="n">
        <v>13</v>
      </c>
      <c r="AE656" t="n">
        <v>30</v>
      </c>
      <c r="AF656" t="n">
        <v>5</v>
      </c>
      <c r="AG656" t="n">
        <v>11</v>
      </c>
      <c r="AH656" t="n">
        <v>2</v>
      </c>
      <c r="AI656" t="n">
        <v>7</v>
      </c>
      <c r="AJ656" t="n">
        <v>9</v>
      </c>
      <c r="AK656" t="n">
        <v>14</v>
      </c>
      <c r="AL656" t="n">
        <v>0</v>
      </c>
      <c r="AM656" t="n">
        <v>4</v>
      </c>
      <c r="AN656" t="n">
        <v>0</v>
      </c>
      <c r="AO656" t="n">
        <v>0</v>
      </c>
      <c r="AP656" t="inlineStr">
        <is>
          <t>No</t>
        </is>
      </c>
      <c r="AQ656" t="inlineStr">
        <is>
          <t>Yes</t>
        </is>
      </c>
      <c r="AR656">
        <f>HYPERLINK("http://catalog.hathitrust.org/Record/004280952","HathiTrust Record")</f>
        <v/>
      </c>
      <c r="AS656">
        <f>HYPERLINK("https://creighton-primo.hosted.exlibrisgroup.com/primo-explore/search?tab=default_tab&amp;search_scope=EVERYTHING&amp;vid=01CRU&amp;lang=en_US&amp;offset=0&amp;query=any,contains,991004098469702656","Catalog Record")</f>
        <v/>
      </c>
      <c r="AT656">
        <f>HYPERLINK("http://www.worldcat.org/oclc/51533512","WorldCat Record")</f>
        <v/>
      </c>
      <c r="AU656" t="inlineStr">
        <is>
          <t>839370883:eng</t>
        </is>
      </c>
      <c r="AV656" t="inlineStr">
        <is>
          <t>51533512</t>
        </is>
      </c>
      <c r="AW656" t="inlineStr">
        <is>
          <t>991004098469702656</t>
        </is>
      </c>
      <c r="AX656" t="inlineStr">
        <is>
          <t>991004098469702656</t>
        </is>
      </c>
      <c r="AY656" t="inlineStr">
        <is>
          <t>2269546700002656</t>
        </is>
      </c>
      <c r="AZ656" t="inlineStr">
        <is>
          <t>BOOK</t>
        </is>
      </c>
      <c r="BB656" t="inlineStr">
        <is>
          <t>9781841273136</t>
        </is>
      </c>
      <c r="BC656" t="inlineStr">
        <is>
          <t>32285004780218</t>
        </is>
      </c>
      <c r="BD656" t="inlineStr">
        <is>
          <t>893611915</t>
        </is>
      </c>
    </row>
    <row r="657">
      <c r="A657" t="inlineStr">
        <is>
          <t>No</t>
        </is>
      </c>
      <c r="B657" t="inlineStr">
        <is>
          <t>BT378.W5 S66 1983</t>
        </is>
      </c>
      <c r="C657" t="inlineStr">
        <is>
          <t>0                      BT 0378000W  5                  S  66          1983</t>
        </is>
      </c>
      <c r="D657" t="inlineStr">
        <is>
          <t>The parable of the wicked tenants : an inquiry into parable interpretation / by Klyne Snodgrass.</t>
        </is>
      </c>
      <c r="F657" t="inlineStr">
        <is>
          <t>No</t>
        </is>
      </c>
      <c r="G657" t="inlineStr">
        <is>
          <t>1</t>
        </is>
      </c>
      <c r="H657" t="inlineStr">
        <is>
          <t>No</t>
        </is>
      </c>
      <c r="I657" t="inlineStr">
        <is>
          <t>No</t>
        </is>
      </c>
      <c r="J657" t="inlineStr">
        <is>
          <t>0</t>
        </is>
      </c>
      <c r="K657" t="inlineStr">
        <is>
          <t>Snodgrass, Klyne.</t>
        </is>
      </c>
      <c r="L657" t="inlineStr">
        <is>
          <t>Tübingen : J.C.B. Mohr, 1983.</t>
        </is>
      </c>
      <c r="M657" t="inlineStr">
        <is>
          <t>1983</t>
        </is>
      </c>
      <c r="O657" t="inlineStr">
        <is>
          <t>eng</t>
        </is>
      </c>
      <c r="P657" t="inlineStr">
        <is>
          <t xml:space="preserve">gw </t>
        </is>
      </c>
      <c r="Q657" t="inlineStr">
        <is>
          <t>Wissenschaftliche Untersuchungen zum Neuen Testament ; 27</t>
        </is>
      </c>
      <c r="R657" t="inlineStr">
        <is>
          <t xml:space="preserve">BT </t>
        </is>
      </c>
      <c r="S657" t="n">
        <v>3</v>
      </c>
      <c r="T657" t="n">
        <v>3</v>
      </c>
      <c r="U657" t="inlineStr">
        <is>
          <t>2010-02-23</t>
        </is>
      </c>
      <c r="V657" t="inlineStr">
        <is>
          <t>2010-02-23</t>
        </is>
      </c>
      <c r="W657" t="inlineStr">
        <is>
          <t>1991-08-22</t>
        </is>
      </c>
      <c r="X657" t="inlineStr">
        <is>
          <t>1991-08-22</t>
        </is>
      </c>
      <c r="Y657" t="n">
        <v>246</v>
      </c>
      <c r="Z657" t="n">
        <v>164</v>
      </c>
      <c r="AA657" t="n">
        <v>176</v>
      </c>
      <c r="AB657" t="n">
        <v>1</v>
      </c>
      <c r="AC657" t="n">
        <v>1</v>
      </c>
      <c r="AD657" t="n">
        <v>14</v>
      </c>
      <c r="AE657" t="n">
        <v>15</v>
      </c>
      <c r="AF657" t="n">
        <v>4</v>
      </c>
      <c r="AG657" t="n">
        <v>5</v>
      </c>
      <c r="AH657" t="n">
        <v>4</v>
      </c>
      <c r="AI657" t="n">
        <v>5</v>
      </c>
      <c r="AJ657" t="n">
        <v>9</v>
      </c>
      <c r="AK657" t="n">
        <v>9</v>
      </c>
      <c r="AL657" t="n">
        <v>0</v>
      </c>
      <c r="AM657" t="n">
        <v>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HYPERLINK("https://creighton-primo.hosted.exlibrisgroup.com/primo-explore/search?tab=default_tab&amp;search_scope=EVERYTHING&amp;vid=01CRU&amp;lang=en_US&amp;offset=0&amp;query=any,contains,991000261169702656","Catalog Record")</f>
        <v/>
      </c>
      <c r="AT657">
        <f>HYPERLINK("http://www.worldcat.org/oclc/9818674","WorldCat Record")</f>
        <v/>
      </c>
      <c r="AU657" t="inlineStr">
        <is>
          <t>807714807:eng</t>
        </is>
      </c>
      <c r="AV657" t="inlineStr">
        <is>
          <t>9818674</t>
        </is>
      </c>
      <c r="AW657" t="inlineStr">
        <is>
          <t>991000261169702656</t>
        </is>
      </c>
      <c r="AX657" t="inlineStr">
        <is>
          <t>991000261169702656</t>
        </is>
      </c>
      <c r="AY657" t="inlineStr">
        <is>
          <t>2272343570002656</t>
        </is>
      </c>
      <c r="AZ657" t="inlineStr">
        <is>
          <t>BOOK</t>
        </is>
      </c>
      <c r="BB657" t="inlineStr">
        <is>
          <t>9783161446108</t>
        </is>
      </c>
      <c r="BC657" t="inlineStr">
        <is>
          <t>32285000745041</t>
        </is>
      </c>
      <c r="BD657" t="inlineStr">
        <is>
          <t>893614056</t>
        </is>
      </c>
    </row>
    <row r="658">
      <c r="A658" t="inlineStr">
        <is>
          <t>No</t>
        </is>
      </c>
      <c r="B658" t="inlineStr">
        <is>
          <t>BT380.2 .D3</t>
        </is>
      </c>
      <c r="C658" t="inlineStr">
        <is>
          <t>0                      BT 0380200D  3</t>
        </is>
      </c>
      <c r="D658" t="inlineStr">
        <is>
          <t>The setting of the Sermon on the Mount / by W.D. Davies.</t>
        </is>
      </c>
      <c r="F658" t="inlineStr">
        <is>
          <t>No</t>
        </is>
      </c>
      <c r="G658" t="inlineStr">
        <is>
          <t>1</t>
        </is>
      </c>
      <c r="H658" t="inlineStr">
        <is>
          <t>No</t>
        </is>
      </c>
      <c r="I658" t="inlineStr">
        <is>
          <t>Yes</t>
        </is>
      </c>
      <c r="J658" t="inlineStr">
        <is>
          <t>0</t>
        </is>
      </c>
      <c r="K658" t="inlineStr">
        <is>
          <t>Davies, W. D. (William David), 1911-2001.</t>
        </is>
      </c>
      <c r="L658" t="inlineStr">
        <is>
          <t>Cambridge [Eng.] University Press, 1964.</t>
        </is>
      </c>
      <c r="M658" t="inlineStr">
        <is>
          <t>1964</t>
        </is>
      </c>
      <c r="O658" t="inlineStr">
        <is>
          <t>eng</t>
        </is>
      </c>
      <c r="P658" t="inlineStr">
        <is>
          <t>enk</t>
        </is>
      </c>
      <c r="R658" t="inlineStr">
        <is>
          <t xml:space="preserve">BT </t>
        </is>
      </c>
      <c r="S658" t="n">
        <v>9</v>
      </c>
      <c r="T658" t="n">
        <v>9</v>
      </c>
      <c r="U658" t="inlineStr">
        <is>
          <t>2004-11-22</t>
        </is>
      </c>
      <c r="V658" t="inlineStr">
        <is>
          <t>2004-11-22</t>
        </is>
      </c>
      <c r="W658" t="inlineStr">
        <is>
          <t>1991-08-22</t>
        </is>
      </c>
      <c r="X658" t="inlineStr">
        <is>
          <t>1991-08-22</t>
        </is>
      </c>
      <c r="Y658" t="n">
        <v>644</v>
      </c>
      <c r="Z658" t="n">
        <v>482</v>
      </c>
      <c r="AA658" t="n">
        <v>875</v>
      </c>
      <c r="AB658" t="n">
        <v>3</v>
      </c>
      <c r="AC658" t="n">
        <v>7</v>
      </c>
      <c r="AD658" t="n">
        <v>35</v>
      </c>
      <c r="AE658" t="n">
        <v>50</v>
      </c>
      <c r="AF658" t="n">
        <v>14</v>
      </c>
      <c r="AG658" t="n">
        <v>21</v>
      </c>
      <c r="AH658" t="n">
        <v>6</v>
      </c>
      <c r="AI658" t="n">
        <v>8</v>
      </c>
      <c r="AJ658" t="n">
        <v>21</v>
      </c>
      <c r="AK658" t="n">
        <v>28</v>
      </c>
      <c r="AL658" t="n">
        <v>2</v>
      </c>
      <c r="AM658" t="n">
        <v>5</v>
      </c>
      <c r="AN658" t="n">
        <v>0</v>
      </c>
      <c r="AO658" t="n">
        <v>0</v>
      </c>
      <c r="AP658" t="inlineStr">
        <is>
          <t>No</t>
        </is>
      </c>
      <c r="AQ658" t="inlineStr">
        <is>
          <t>Yes</t>
        </is>
      </c>
      <c r="AR658">
        <f>HYPERLINK("http://catalog.hathitrust.org/Record/001400587","HathiTrust Record")</f>
        <v/>
      </c>
      <c r="AS658">
        <f>HYPERLINK("https://creighton-primo.hosted.exlibrisgroup.com/primo-explore/search?tab=default_tab&amp;search_scope=EVERYTHING&amp;vid=01CRU&amp;lang=en_US&amp;offset=0&amp;query=any,contains,991002400089702656","Catalog Record")</f>
        <v/>
      </c>
      <c r="AT658">
        <f>HYPERLINK("http://www.worldcat.org/oclc/336409","WorldCat Record")</f>
        <v/>
      </c>
      <c r="AU658" t="inlineStr">
        <is>
          <t>242670310:eng</t>
        </is>
      </c>
      <c r="AV658" t="inlineStr">
        <is>
          <t>336409</t>
        </is>
      </c>
      <c r="AW658" t="inlineStr">
        <is>
          <t>991002400089702656</t>
        </is>
      </c>
      <c r="AX658" t="inlineStr">
        <is>
          <t>991002400089702656</t>
        </is>
      </c>
      <c r="AY658" t="inlineStr">
        <is>
          <t>2254777020002656</t>
        </is>
      </c>
      <c r="AZ658" t="inlineStr">
        <is>
          <t>BOOK</t>
        </is>
      </c>
      <c r="BC658" t="inlineStr">
        <is>
          <t>32285000745108</t>
        </is>
      </c>
      <c r="BD658" t="inlineStr">
        <is>
          <t>893517242</t>
        </is>
      </c>
    </row>
    <row r="659">
      <c r="A659" t="inlineStr">
        <is>
          <t>No</t>
        </is>
      </c>
      <c r="B659" t="inlineStr">
        <is>
          <t>BT380.2 .P553 1963</t>
        </is>
      </c>
      <c r="C659" t="inlineStr">
        <is>
          <t>0                      BT 0380200P  553         1963</t>
        </is>
      </c>
      <c r="D659" t="inlineStr">
        <is>
          <t>God's own Magna charta / Urban Plotzke. [Translation by J.Holland Smith]</t>
        </is>
      </c>
      <c r="F659" t="inlineStr">
        <is>
          <t>No</t>
        </is>
      </c>
      <c r="G659" t="inlineStr">
        <is>
          <t>1</t>
        </is>
      </c>
      <c r="H659" t="inlineStr">
        <is>
          <t>No</t>
        </is>
      </c>
      <c r="I659" t="inlineStr">
        <is>
          <t>No</t>
        </is>
      </c>
      <c r="J659" t="inlineStr">
        <is>
          <t>0</t>
        </is>
      </c>
      <c r="K659" t="inlineStr">
        <is>
          <t>Plotzke, Urban, 1907-1983.</t>
        </is>
      </c>
      <c r="L659" t="inlineStr">
        <is>
          <t>Westminster, Md. : Newman Press, [1963]</t>
        </is>
      </c>
      <c r="M659" t="inlineStr">
        <is>
          <t>1963</t>
        </is>
      </c>
      <c r="O659" t="inlineStr">
        <is>
          <t>eng</t>
        </is>
      </c>
      <c r="P659" t="inlineStr">
        <is>
          <t>___</t>
        </is>
      </c>
      <c r="R659" t="inlineStr">
        <is>
          <t xml:space="preserve">BT </t>
        </is>
      </c>
      <c r="S659" t="n">
        <v>3</v>
      </c>
      <c r="T659" t="n">
        <v>3</v>
      </c>
      <c r="U659" t="inlineStr">
        <is>
          <t>2000-10-18</t>
        </is>
      </c>
      <c r="V659" t="inlineStr">
        <is>
          <t>2000-10-18</t>
        </is>
      </c>
      <c r="W659" t="inlineStr">
        <is>
          <t>1991-08-22</t>
        </is>
      </c>
      <c r="X659" t="inlineStr">
        <is>
          <t>1991-08-22</t>
        </is>
      </c>
      <c r="Y659" t="n">
        <v>88</v>
      </c>
      <c r="Z659" t="n">
        <v>80</v>
      </c>
      <c r="AA659" t="n">
        <v>85</v>
      </c>
      <c r="AB659" t="n">
        <v>1</v>
      </c>
      <c r="AC659" t="n">
        <v>1</v>
      </c>
      <c r="AD659" t="n">
        <v>15</v>
      </c>
      <c r="AE659" t="n">
        <v>15</v>
      </c>
      <c r="AF659" t="n">
        <v>5</v>
      </c>
      <c r="AG659" t="n">
        <v>5</v>
      </c>
      <c r="AH659" t="n">
        <v>6</v>
      </c>
      <c r="AI659" t="n">
        <v>6</v>
      </c>
      <c r="AJ659" t="n">
        <v>11</v>
      </c>
      <c r="AK659" t="n">
        <v>11</v>
      </c>
      <c r="AL659" t="n">
        <v>0</v>
      </c>
      <c r="AM659" t="n">
        <v>0</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HYPERLINK("https://creighton-primo.hosted.exlibrisgroup.com/primo-explore/search?tab=default_tab&amp;search_scope=EVERYTHING&amp;vid=01CRU&amp;lang=en_US&amp;offset=0&amp;query=any,contains,991003139169702656","Catalog Record")</f>
        <v/>
      </c>
      <c r="AT659">
        <f>HYPERLINK("http://www.worldcat.org/oclc/680991","WorldCat Record")</f>
        <v/>
      </c>
      <c r="AU659" t="inlineStr">
        <is>
          <t>132683744:eng</t>
        </is>
      </c>
      <c r="AV659" t="inlineStr">
        <is>
          <t>680991</t>
        </is>
      </c>
      <c r="AW659" t="inlineStr">
        <is>
          <t>991003139169702656</t>
        </is>
      </c>
      <c r="AX659" t="inlineStr">
        <is>
          <t>991003139169702656</t>
        </is>
      </c>
      <c r="AY659" t="inlineStr">
        <is>
          <t>2268350660002656</t>
        </is>
      </c>
      <c r="AZ659" t="inlineStr">
        <is>
          <t>BOOK</t>
        </is>
      </c>
      <c r="BC659" t="inlineStr">
        <is>
          <t>32285000745165</t>
        </is>
      </c>
      <c r="BD659" t="inlineStr">
        <is>
          <t>893704949</t>
        </is>
      </c>
    </row>
    <row r="660">
      <c r="A660" t="inlineStr">
        <is>
          <t>No</t>
        </is>
      </c>
      <c r="B660" t="inlineStr">
        <is>
          <t>BT380.2 .T513</t>
        </is>
      </c>
      <c r="C660" t="inlineStr">
        <is>
          <t>0                      BT 0380200T  513</t>
        </is>
      </c>
      <c r="D660" t="inlineStr">
        <is>
          <t>Life can begin again : sermons on the Sermon on the Mount / by Helmut Thielicke. Translated by John W. Doberstein.</t>
        </is>
      </c>
      <c r="F660" t="inlineStr">
        <is>
          <t>No</t>
        </is>
      </c>
      <c r="G660" t="inlineStr">
        <is>
          <t>1</t>
        </is>
      </c>
      <c r="H660" t="inlineStr">
        <is>
          <t>No</t>
        </is>
      </c>
      <c r="I660" t="inlineStr">
        <is>
          <t>No</t>
        </is>
      </c>
      <c r="J660" t="inlineStr">
        <is>
          <t>0</t>
        </is>
      </c>
      <c r="K660" t="inlineStr">
        <is>
          <t>Thielicke, Helmut, 1908-1986.</t>
        </is>
      </c>
      <c r="L660" t="inlineStr">
        <is>
          <t>Philadelphia, Fortress Press [1963]</t>
        </is>
      </c>
      <c r="M660" t="inlineStr">
        <is>
          <t>1963</t>
        </is>
      </c>
      <c r="O660" t="inlineStr">
        <is>
          <t>eng</t>
        </is>
      </c>
      <c r="P660" t="inlineStr">
        <is>
          <t>pau</t>
        </is>
      </c>
      <c r="R660" t="inlineStr">
        <is>
          <t xml:space="preserve">BT </t>
        </is>
      </c>
      <c r="S660" t="n">
        <v>4</v>
      </c>
      <c r="T660" t="n">
        <v>4</v>
      </c>
      <c r="U660" t="inlineStr">
        <is>
          <t>2002-04-29</t>
        </is>
      </c>
      <c r="V660" t="inlineStr">
        <is>
          <t>2002-04-29</t>
        </is>
      </c>
      <c r="W660" t="inlineStr">
        <is>
          <t>1991-08-22</t>
        </is>
      </c>
      <c r="X660" t="inlineStr">
        <is>
          <t>1991-08-22</t>
        </is>
      </c>
      <c r="Y660" t="n">
        <v>372</v>
      </c>
      <c r="Z660" t="n">
        <v>326</v>
      </c>
      <c r="AA660" t="n">
        <v>520</v>
      </c>
      <c r="AB660" t="n">
        <v>3</v>
      </c>
      <c r="AC660" t="n">
        <v>3</v>
      </c>
      <c r="AD660" t="n">
        <v>16</v>
      </c>
      <c r="AE660" t="n">
        <v>24</v>
      </c>
      <c r="AF660" t="n">
        <v>8</v>
      </c>
      <c r="AG660" t="n">
        <v>12</v>
      </c>
      <c r="AH660" t="n">
        <v>3</v>
      </c>
      <c r="AI660" t="n">
        <v>6</v>
      </c>
      <c r="AJ660" t="n">
        <v>7</v>
      </c>
      <c r="AK660" t="n">
        <v>12</v>
      </c>
      <c r="AL660" t="n">
        <v>1</v>
      </c>
      <c r="AM660" t="n">
        <v>1</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HYPERLINK("https://creighton-primo.hosted.exlibrisgroup.com/primo-explore/search?tab=default_tab&amp;search_scope=EVERYTHING&amp;vid=01CRU&amp;lang=en_US&amp;offset=0&amp;query=any,contains,991003139129702656","Catalog Record")</f>
        <v/>
      </c>
      <c r="AT660">
        <f>HYPERLINK("http://www.worldcat.org/oclc/680792","WorldCat Record")</f>
        <v/>
      </c>
      <c r="AU660" t="inlineStr">
        <is>
          <t>467965767:eng</t>
        </is>
      </c>
      <c r="AV660" t="inlineStr">
        <is>
          <t>680792</t>
        </is>
      </c>
      <c r="AW660" t="inlineStr">
        <is>
          <t>991003139129702656</t>
        </is>
      </c>
      <c r="AX660" t="inlineStr">
        <is>
          <t>991003139129702656</t>
        </is>
      </c>
      <c r="AY660" t="inlineStr">
        <is>
          <t>2268423000002656</t>
        </is>
      </c>
      <c r="AZ660" t="inlineStr">
        <is>
          <t>BOOK</t>
        </is>
      </c>
      <c r="BC660" t="inlineStr">
        <is>
          <t>32285000745181</t>
        </is>
      </c>
      <c r="BD660" t="inlineStr">
        <is>
          <t>893262644</t>
        </is>
      </c>
    </row>
    <row r="661">
      <c r="A661" t="inlineStr">
        <is>
          <t>No</t>
        </is>
      </c>
      <c r="B661" t="inlineStr">
        <is>
          <t>BT382 .B5 1941</t>
        </is>
      </c>
      <c r="C661" t="inlineStr">
        <is>
          <t>0                      BT 0382000B  5           1941</t>
        </is>
      </c>
      <c r="D661" t="inlineStr">
        <is>
          <t>The new song : thoughts on the beatitudes / by Hugh F. Blunt.</t>
        </is>
      </c>
      <c r="F661" t="inlineStr">
        <is>
          <t>No</t>
        </is>
      </c>
      <c r="G661" t="inlineStr">
        <is>
          <t>1</t>
        </is>
      </c>
      <c r="H661" t="inlineStr">
        <is>
          <t>No</t>
        </is>
      </c>
      <c r="I661" t="inlineStr">
        <is>
          <t>No</t>
        </is>
      </c>
      <c r="J661" t="inlineStr">
        <is>
          <t>0</t>
        </is>
      </c>
      <c r="K661" t="inlineStr">
        <is>
          <t>Blunt, Hugh Francis, 1877-1957.</t>
        </is>
      </c>
      <c r="L661" t="inlineStr">
        <is>
          <t>Ozone Park, N.Y. : Catholic Literary Guild, 1941.</t>
        </is>
      </c>
      <c r="M661" t="inlineStr">
        <is>
          <t>1941</t>
        </is>
      </c>
      <c r="O661" t="inlineStr">
        <is>
          <t>eng</t>
        </is>
      </c>
      <c r="P661" t="inlineStr">
        <is>
          <t>nyu</t>
        </is>
      </c>
      <c r="R661" t="inlineStr">
        <is>
          <t xml:space="preserve">BT </t>
        </is>
      </c>
      <c r="S661" t="n">
        <v>7</v>
      </c>
      <c r="T661" t="n">
        <v>7</v>
      </c>
      <c r="U661" t="inlineStr">
        <is>
          <t>2001-11-18</t>
        </is>
      </c>
      <c r="V661" t="inlineStr">
        <is>
          <t>2001-11-18</t>
        </is>
      </c>
      <c r="W661" t="inlineStr">
        <is>
          <t>1991-08-22</t>
        </is>
      </c>
      <c r="X661" t="inlineStr">
        <is>
          <t>1991-08-22</t>
        </is>
      </c>
      <c r="Y661" t="n">
        <v>50</v>
      </c>
      <c r="Z661" t="n">
        <v>48</v>
      </c>
      <c r="AA661" t="n">
        <v>51</v>
      </c>
      <c r="AB661" t="n">
        <v>2</v>
      </c>
      <c r="AC661" t="n">
        <v>2</v>
      </c>
      <c r="AD661" t="n">
        <v>9</v>
      </c>
      <c r="AE661" t="n">
        <v>9</v>
      </c>
      <c r="AF661" t="n">
        <v>1</v>
      </c>
      <c r="AG661" t="n">
        <v>1</v>
      </c>
      <c r="AH661" t="n">
        <v>2</v>
      </c>
      <c r="AI661" t="n">
        <v>2</v>
      </c>
      <c r="AJ661" t="n">
        <v>8</v>
      </c>
      <c r="AK661" t="n">
        <v>8</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HYPERLINK("https://creighton-primo.hosted.exlibrisgroup.com/primo-explore/search?tab=default_tab&amp;search_scope=EVERYTHING&amp;vid=01CRU&amp;lang=en_US&amp;offset=0&amp;query=any,contains,991004470299702656","Catalog Record")</f>
        <v/>
      </c>
      <c r="AT661">
        <f>HYPERLINK("http://www.worldcat.org/oclc/3592815","WorldCat Record")</f>
        <v/>
      </c>
      <c r="AU661" t="inlineStr">
        <is>
          <t>3855724259:eng</t>
        </is>
      </c>
      <c r="AV661" t="inlineStr">
        <is>
          <t>3592815</t>
        </is>
      </c>
      <c r="AW661" t="inlineStr">
        <is>
          <t>991004470299702656</t>
        </is>
      </c>
      <c r="AX661" t="inlineStr">
        <is>
          <t>991004470299702656</t>
        </is>
      </c>
      <c r="AY661" t="inlineStr">
        <is>
          <t>2260926290002656</t>
        </is>
      </c>
      <c r="AZ661" t="inlineStr">
        <is>
          <t>BOOK</t>
        </is>
      </c>
      <c r="BC661" t="inlineStr">
        <is>
          <t>32285000745207</t>
        </is>
      </c>
      <c r="BD661" t="inlineStr">
        <is>
          <t>893606071</t>
        </is>
      </c>
    </row>
    <row r="662">
      <c r="A662" t="inlineStr">
        <is>
          <t>No</t>
        </is>
      </c>
      <c r="B662" t="inlineStr">
        <is>
          <t>BT382 .L35 1955</t>
        </is>
      </c>
      <c r="C662" t="inlineStr">
        <is>
          <t>0                      BT 0382000L  35          1955</t>
        </is>
      </c>
      <c r="D662" t="inlineStr">
        <is>
          <t>Good Christian men rejoice : the meaning and attainment of happiness / by William Lawson.</t>
        </is>
      </c>
      <c r="F662" t="inlineStr">
        <is>
          <t>No</t>
        </is>
      </c>
      <c r="G662" t="inlineStr">
        <is>
          <t>1</t>
        </is>
      </c>
      <c r="H662" t="inlineStr">
        <is>
          <t>No</t>
        </is>
      </c>
      <c r="I662" t="inlineStr">
        <is>
          <t>No</t>
        </is>
      </c>
      <c r="J662" t="inlineStr">
        <is>
          <t>0</t>
        </is>
      </c>
      <c r="K662" t="inlineStr">
        <is>
          <t>Lawson, William, 1904-</t>
        </is>
      </c>
      <c r="L662" t="inlineStr">
        <is>
          <t>New York : Sheed and Ward, 1955.</t>
        </is>
      </c>
      <c r="M662" t="inlineStr">
        <is>
          <t>1955</t>
        </is>
      </c>
      <c r="O662" t="inlineStr">
        <is>
          <t>eng</t>
        </is>
      </c>
      <c r="P662" t="inlineStr">
        <is>
          <t>nyu</t>
        </is>
      </c>
      <c r="R662" t="inlineStr">
        <is>
          <t xml:space="preserve">BT </t>
        </is>
      </c>
      <c r="S662" t="n">
        <v>4</v>
      </c>
      <c r="T662" t="n">
        <v>4</v>
      </c>
      <c r="U662" t="inlineStr">
        <is>
          <t>2004-11-30</t>
        </is>
      </c>
      <c r="V662" t="inlineStr">
        <is>
          <t>2004-11-30</t>
        </is>
      </c>
      <c r="W662" t="inlineStr">
        <is>
          <t>1991-08-22</t>
        </is>
      </c>
      <c r="X662" t="inlineStr">
        <is>
          <t>1991-08-22</t>
        </is>
      </c>
      <c r="Y662" t="n">
        <v>116</v>
      </c>
      <c r="Z662" t="n">
        <v>108</v>
      </c>
      <c r="AA662" t="n">
        <v>114</v>
      </c>
      <c r="AB662" t="n">
        <v>3</v>
      </c>
      <c r="AC662" t="n">
        <v>3</v>
      </c>
      <c r="AD662" t="n">
        <v>23</v>
      </c>
      <c r="AE662" t="n">
        <v>23</v>
      </c>
      <c r="AF662" t="n">
        <v>9</v>
      </c>
      <c r="AG662" t="n">
        <v>9</v>
      </c>
      <c r="AH662" t="n">
        <v>4</v>
      </c>
      <c r="AI662" t="n">
        <v>4</v>
      </c>
      <c r="AJ662" t="n">
        <v>19</v>
      </c>
      <c r="AK662" t="n">
        <v>19</v>
      </c>
      <c r="AL662" t="n">
        <v>0</v>
      </c>
      <c r="AM662" t="n">
        <v>0</v>
      </c>
      <c r="AN662" t="n">
        <v>0</v>
      </c>
      <c r="AO662" t="n">
        <v>0</v>
      </c>
      <c r="AP662" t="inlineStr">
        <is>
          <t>No</t>
        </is>
      </c>
      <c r="AQ662" t="inlineStr">
        <is>
          <t>Yes</t>
        </is>
      </c>
      <c r="AR662">
        <f>HYPERLINK("http://catalog.hathitrust.org/Record/100956287","HathiTrust Record")</f>
        <v/>
      </c>
      <c r="AS662">
        <f>HYPERLINK("https://creighton-primo.hosted.exlibrisgroup.com/primo-explore/search?tab=default_tab&amp;search_scope=EVERYTHING&amp;vid=01CRU&amp;lang=en_US&amp;offset=0&amp;query=any,contains,991003847159702656","Catalog Record")</f>
        <v/>
      </c>
      <c r="AT662">
        <f>HYPERLINK("http://www.worldcat.org/oclc/1633064","WorldCat Record")</f>
        <v/>
      </c>
      <c r="AU662" t="inlineStr">
        <is>
          <t>431934825:eng</t>
        </is>
      </c>
      <c r="AV662" t="inlineStr">
        <is>
          <t>1633064</t>
        </is>
      </c>
      <c r="AW662" t="inlineStr">
        <is>
          <t>991003847159702656</t>
        </is>
      </c>
      <c r="AX662" t="inlineStr">
        <is>
          <t>991003847159702656</t>
        </is>
      </c>
      <c r="AY662" t="inlineStr">
        <is>
          <t>2255027350002656</t>
        </is>
      </c>
      <c r="AZ662" t="inlineStr">
        <is>
          <t>BOOK</t>
        </is>
      </c>
      <c r="BC662" t="inlineStr">
        <is>
          <t>32285000745231</t>
        </is>
      </c>
      <c r="BD662" t="inlineStr">
        <is>
          <t>893800227</t>
        </is>
      </c>
    </row>
    <row r="663">
      <c r="A663" t="inlineStr">
        <is>
          <t>No</t>
        </is>
      </c>
      <c r="B663" t="inlineStr">
        <is>
          <t>BT382 .M37 1916</t>
        </is>
      </c>
      <c r="C663" t="inlineStr">
        <is>
          <t>0                      BT 0382000M  37          1916</t>
        </is>
      </c>
      <c r="D663" t="inlineStr">
        <is>
          <t>Laws of the spiritual life / by B.W. Maturin.</t>
        </is>
      </c>
      <c r="F663" t="inlineStr">
        <is>
          <t>No</t>
        </is>
      </c>
      <c r="G663" t="inlineStr">
        <is>
          <t>1</t>
        </is>
      </c>
      <c r="H663" t="inlineStr">
        <is>
          <t>No</t>
        </is>
      </c>
      <c r="I663" t="inlineStr">
        <is>
          <t>No</t>
        </is>
      </c>
      <c r="J663" t="inlineStr">
        <is>
          <t>0</t>
        </is>
      </c>
      <c r="K663" t="inlineStr">
        <is>
          <t>Maturin, B. W. (Basil William), 1847-1915.</t>
        </is>
      </c>
      <c r="L663" t="inlineStr">
        <is>
          <t>New York : Longmans, Green, 1916.</t>
        </is>
      </c>
      <c r="M663" t="inlineStr">
        <is>
          <t>1916</t>
        </is>
      </c>
      <c r="O663" t="inlineStr">
        <is>
          <t>eng</t>
        </is>
      </c>
      <c r="P663" t="inlineStr">
        <is>
          <t>nyu</t>
        </is>
      </c>
      <c r="R663" t="inlineStr">
        <is>
          <t xml:space="preserve">BT </t>
        </is>
      </c>
      <c r="S663" t="n">
        <v>9</v>
      </c>
      <c r="T663" t="n">
        <v>9</v>
      </c>
      <c r="U663" t="inlineStr">
        <is>
          <t>2003-04-26</t>
        </is>
      </c>
      <c r="V663" t="inlineStr">
        <is>
          <t>2003-04-26</t>
        </is>
      </c>
      <c r="W663" t="inlineStr">
        <is>
          <t>1991-08-22</t>
        </is>
      </c>
      <c r="X663" t="inlineStr">
        <is>
          <t>1991-08-22</t>
        </is>
      </c>
      <c r="Y663" t="n">
        <v>17</v>
      </c>
      <c r="Z663" t="n">
        <v>14</v>
      </c>
      <c r="AA663" t="n">
        <v>122</v>
      </c>
      <c r="AB663" t="n">
        <v>1</v>
      </c>
      <c r="AC663" t="n">
        <v>1</v>
      </c>
      <c r="AD663" t="n">
        <v>3</v>
      </c>
      <c r="AE663" t="n">
        <v>15</v>
      </c>
      <c r="AF663" t="n">
        <v>0</v>
      </c>
      <c r="AG663" t="n">
        <v>3</v>
      </c>
      <c r="AH663" t="n">
        <v>1</v>
      </c>
      <c r="AI663" t="n">
        <v>4</v>
      </c>
      <c r="AJ663" t="n">
        <v>2</v>
      </c>
      <c r="AK663" t="n">
        <v>11</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HYPERLINK("https://creighton-primo.hosted.exlibrisgroup.com/primo-explore/search?tab=default_tab&amp;search_scope=EVERYTHING&amp;vid=01CRU&amp;lang=en_US&amp;offset=0&amp;query=any,contains,991000993939702656","Catalog Record")</f>
        <v/>
      </c>
      <c r="AT663">
        <f>HYPERLINK("http://www.worldcat.org/oclc/15117800","WorldCat Record")</f>
        <v/>
      </c>
      <c r="AU663" t="inlineStr">
        <is>
          <t>3855559105:eng</t>
        </is>
      </c>
      <c r="AV663" t="inlineStr">
        <is>
          <t>15117800</t>
        </is>
      </c>
      <c r="AW663" t="inlineStr">
        <is>
          <t>991000993939702656</t>
        </is>
      </c>
      <c r="AX663" t="inlineStr">
        <is>
          <t>991000993939702656</t>
        </is>
      </c>
      <c r="AY663" t="inlineStr">
        <is>
          <t>2265968360002656</t>
        </is>
      </c>
      <c r="AZ663" t="inlineStr">
        <is>
          <t>BOOK</t>
        </is>
      </c>
      <c r="BC663" t="inlineStr">
        <is>
          <t>32285000745249</t>
        </is>
      </c>
      <c r="BD663" t="inlineStr">
        <is>
          <t>893884944</t>
        </is>
      </c>
    </row>
    <row r="664">
      <c r="A664" t="inlineStr">
        <is>
          <t>No</t>
        </is>
      </c>
      <c r="B664" t="inlineStr">
        <is>
          <t>BT40 .B58 1993</t>
        </is>
      </c>
      <c r="C664" t="inlineStr">
        <is>
          <t>0                      BT 0040000B  58          1993</t>
        </is>
      </c>
      <c r="D664" t="inlineStr">
        <is>
          <t>Athens and Jerusalem : the role of philosophy in theology / by Jack A. Bonsor.</t>
        </is>
      </c>
      <c r="F664" t="inlineStr">
        <is>
          <t>No</t>
        </is>
      </c>
      <c r="G664" t="inlineStr">
        <is>
          <t>1</t>
        </is>
      </c>
      <c r="H664" t="inlineStr">
        <is>
          <t>No</t>
        </is>
      </c>
      <c r="I664" t="inlineStr">
        <is>
          <t>No</t>
        </is>
      </c>
      <c r="J664" t="inlineStr">
        <is>
          <t>0</t>
        </is>
      </c>
      <c r="K664" t="inlineStr">
        <is>
          <t>Bonsor, Jack Arthur, 1944-</t>
        </is>
      </c>
      <c r="L664" t="inlineStr">
        <is>
          <t>New York : Paulist Press, c1993.</t>
        </is>
      </c>
      <c r="M664" t="inlineStr">
        <is>
          <t>1993</t>
        </is>
      </c>
      <c r="O664" t="inlineStr">
        <is>
          <t>eng</t>
        </is>
      </c>
      <c r="P664" t="inlineStr">
        <is>
          <t>nyu</t>
        </is>
      </c>
      <c r="R664" t="inlineStr">
        <is>
          <t xml:space="preserve">BT </t>
        </is>
      </c>
      <c r="S664" t="n">
        <v>9</v>
      </c>
      <c r="T664" t="n">
        <v>9</v>
      </c>
      <c r="U664" t="inlineStr">
        <is>
          <t>2004-08-09</t>
        </is>
      </c>
      <c r="V664" t="inlineStr">
        <is>
          <t>2004-08-09</t>
        </is>
      </c>
      <c r="W664" t="inlineStr">
        <is>
          <t>1993-09-08</t>
        </is>
      </c>
      <c r="X664" t="inlineStr">
        <is>
          <t>1993-09-08</t>
        </is>
      </c>
      <c r="Y664" t="n">
        <v>283</v>
      </c>
      <c r="Z664" t="n">
        <v>227</v>
      </c>
      <c r="AA664" t="n">
        <v>241</v>
      </c>
      <c r="AB664" t="n">
        <v>5</v>
      </c>
      <c r="AC664" t="n">
        <v>5</v>
      </c>
      <c r="AD664" t="n">
        <v>22</v>
      </c>
      <c r="AE664" t="n">
        <v>23</v>
      </c>
      <c r="AF664" t="n">
        <v>7</v>
      </c>
      <c r="AG664" t="n">
        <v>7</v>
      </c>
      <c r="AH664" t="n">
        <v>4</v>
      </c>
      <c r="AI664" t="n">
        <v>5</v>
      </c>
      <c r="AJ664" t="n">
        <v>14</v>
      </c>
      <c r="AK664" t="n">
        <v>14</v>
      </c>
      <c r="AL664" t="n">
        <v>3</v>
      </c>
      <c r="AM664" t="n">
        <v>3</v>
      </c>
      <c r="AN664" t="n">
        <v>0</v>
      </c>
      <c r="AO664" t="n">
        <v>0</v>
      </c>
      <c r="AP664" t="inlineStr">
        <is>
          <t>No</t>
        </is>
      </c>
      <c r="AQ664" t="inlineStr">
        <is>
          <t>Yes</t>
        </is>
      </c>
      <c r="AR664">
        <f>HYPERLINK("http://catalog.hathitrust.org/Record/002698758","HathiTrust Record")</f>
        <v/>
      </c>
      <c r="AS664">
        <f>HYPERLINK("https://creighton-primo.hosted.exlibrisgroup.com/primo-explore/search?tab=default_tab&amp;search_scope=EVERYTHING&amp;vid=01CRU&amp;lang=en_US&amp;offset=0&amp;query=any,contains,991002151409702656","Catalog Record")</f>
        <v/>
      </c>
      <c r="AT664">
        <f>HYPERLINK("http://www.worldcat.org/oclc/27726739","WorldCat Record")</f>
        <v/>
      </c>
      <c r="AU664" t="inlineStr">
        <is>
          <t>353082:eng</t>
        </is>
      </c>
      <c r="AV664" t="inlineStr">
        <is>
          <t>27726739</t>
        </is>
      </c>
      <c r="AW664" t="inlineStr">
        <is>
          <t>991002151409702656</t>
        </is>
      </c>
      <c r="AX664" t="inlineStr">
        <is>
          <t>991002151409702656</t>
        </is>
      </c>
      <c r="AY664" t="inlineStr">
        <is>
          <t>2265030370002656</t>
        </is>
      </c>
      <c r="AZ664" t="inlineStr">
        <is>
          <t>BOOK</t>
        </is>
      </c>
      <c r="BB664" t="inlineStr">
        <is>
          <t>9780809133987</t>
        </is>
      </c>
      <c r="BC664" t="inlineStr">
        <is>
          <t>32285001730000</t>
        </is>
      </c>
      <c r="BD664" t="inlineStr">
        <is>
          <t>893250877</t>
        </is>
      </c>
    </row>
    <row r="665">
      <c r="A665" t="inlineStr">
        <is>
          <t>No</t>
        </is>
      </c>
      <c r="B665" t="inlineStr">
        <is>
          <t>BT40 .B67 1971</t>
        </is>
      </c>
      <c r="C665" t="inlineStr">
        <is>
          <t>0                      BT 0040000B  67          1971</t>
        </is>
      </c>
      <c r="D665" t="inlineStr">
        <is>
          <t>Kierkegaard, Heidegger, Buber and Barth / James Brown.</t>
        </is>
      </c>
      <c r="F665" t="inlineStr">
        <is>
          <t>No</t>
        </is>
      </c>
      <c r="G665" t="inlineStr">
        <is>
          <t>1</t>
        </is>
      </c>
      <c r="H665" t="inlineStr">
        <is>
          <t>No</t>
        </is>
      </c>
      <c r="I665" t="inlineStr">
        <is>
          <t>No</t>
        </is>
      </c>
      <c r="J665" t="inlineStr">
        <is>
          <t>0</t>
        </is>
      </c>
      <c r="K665" t="inlineStr">
        <is>
          <t>Brown, James (Minister)</t>
        </is>
      </c>
      <c r="L665" t="inlineStr">
        <is>
          <t>New York, Collier [1971, c1955]</t>
        </is>
      </c>
      <c r="M665" t="inlineStr">
        <is>
          <t>1971</t>
        </is>
      </c>
      <c r="O665" t="inlineStr">
        <is>
          <t>eng</t>
        </is>
      </c>
      <c r="P665" t="inlineStr">
        <is>
          <t>___</t>
        </is>
      </c>
      <c r="Q665" t="inlineStr">
        <is>
          <t>The Croall lectures, 1953</t>
        </is>
      </c>
      <c r="R665" t="inlineStr">
        <is>
          <t xml:space="preserve">BT </t>
        </is>
      </c>
      <c r="S665" t="n">
        <v>4</v>
      </c>
      <c r="T665" t="n">
        <v>4</v>
      </c>
      <c r="U665" t="inlineStr">
        <is>
          <t>1998-04-28</t>
        </is>
      </c>
      <c r="V665" t="inlineStr">
        <is>
          <t>1998-04-28</t>
        </is>
      </c>
      <c r="W665" t="inlineStr">
        <is>
          <t>1991-06-19</t>
        </is>
      </c>
      <c r="X665" t="inlineStr">
        <is>
          <t>1991-06-19</t>
        </is>
      </c>
      <c r="Y665" t="n">
        <v>59</v>
      </c>
      <c r="Z665" t="n">
        <v>51</v>
      </c>
      <c r="AA665" t="n">
        <v>425</v>
      </c>
      <c r="AB665" t="n">
        <v>2</v>
      </c>
      <c r="AC665" t="n">
        <v>6</v>
      </c>
      <c r="AD665" t="n">
        <v>4</v>
      </c>
      <c r="AE665" t="n">
        <v>26</v>
      </c>
      <c r="AF665" t="n">
        <v>1</v>
      </c>
      <c r="AG665" t="n">
        <v>9</v>
      </c>
      <c r="AH665" t="n">
        <v>2</v>
      </c>
      <c r="AI665" t="n">
        <v>5</v>
      </c>
      <c r="AJ665" t="n">
        <v>2</v>
      </c>
      <c r="AK665" t="n">
        <v>14</v>
      </c>
      <c r="AL665" t="n">
        <v>1</v>
      </c>
      <c r="AM665" t="n">
        <v>4</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HYPERLINK("https://creighton-primo.hosted.exlibrisgroup.com/primo-explore/search?tab=default_tab&amp;search_scope=EVERYTHING&amp;vid=01CRU&amp;lang=en_US&amp;offset=0&amp;query=any,contains,991002017309702656","Catalog Record")</f>
        <v/>
      </c>
      <c r="AT665">
        <f>HYPERLINK("http://www.worldcat.org/oclc/259291","WorldCat Record")</f>
        <v/>
      </c>
      <c r="AU665" t="inlineStr">
        <is>
          <t>2848885:eng</t>
        </is>
      </c>
      <c r="AV665" t="inlineStr">
        <is>
          <t>259291</t>
        </is>
      </c>
      <c r="AW665" t="inlineStr">
        <is>
          <t>991002017309702656</t>
        </is>
      </c>
      <c r="AX665" t="inlineStr">
        <is>
          <t>991002017309702656</t>
        </is>
      </c>
      <c r="AY665" t="inlineStr">
        <is>
          <t>2272624990002656</t>
        </is>
      </c>
      <c r="AZ665" t="inlineStr">
        <is>
          <t>BOOK</t>
        </is>
      </c>
      <c r="BC665" t="inlineStr">
        <is>
          <t>32285000687128</t>
        </is>
      </c>
      <c r="BD665" t="inlineStr">
        <is>
          <t>893316279</t>
        </is>
      </c>
    </row>
    <row r="666">
      <c r="A666" t="inlineStr">
        <is>
          <t>No</t>
        </is>
      </c>
      <c r="B666" t="inlineStr">
        <is>
          <t>BT40 .D59 1990</t>
        </is>
      </c>
      <c r="C666" t="inlineStr">
        <is>
          <t>0                      BT 0040000D  59          1990</t>
        </is>
      </c>
      <c r="D666" t="inlineStr">
        <is>
          <t>Divine action : studies inspired by the philosophical theology of Austin Farrer / edited by Brian Hebblethwaite and Edward Henderson.</t>
        </is>
      </c>
      <c r="F666" t="inlineStr">
        <is>
          <t>No</t>
        </is>
      </c>
      <c r="G666" t="inlineStr">
        <is>
          <t>1</t>
        </is>
      </c>
      <c r="H666" t="inlineStr">
        <is>
          <t>No</t>
        </is>
      </c>
      <c r="I666" t="inlineStr">
        <is>
          <t>No</t>
        </is>
      </c>
      <c r="J666" t="inlineStr">
        <is>
          <t>0</t>
        </is>
      </c>
      <c r="L666" t="inlineStr">
        <is>
          <t>Edinburgh [Scotland] : T. &amp; T. Clark, 1990.</t>
        </is>
      </c>
      <c r="M666" t="inlineStr">
        <is>
          <t>1990</t>
        </is>
      </c>
      <c r="O666" t="inlineStr">
        <is>
          <t>eng</t>
        </is>
      </c>
      <c r="P666" t="inlineStr">
        <is>
          <t>stk</t>
        </is>
      </c>
      <c r="R666" t="inlineStr">
        <is>
          <t xml:space="preserve">BT </t>
        </is>
      </c>
      <c r="S666" t="n">
        <v>6</v>
      </c>
      <c r="T666" t="n">
        <v>6</v>
      </c>
      <c r="U666" t="inlineStr">
        <is>
          <t>1997-01-08</t>
        </is>
      </c>
      <c r="V666" t="inlineStr">
        <is>
          <t>1997-01-08</t>
        </is>
      </c>
      <c r="W666" t="inlineStr">
        <is>
          <t>1992-01-23</t>
        </is>
      </c>
      <c r="X666" t="inlineStr">
        <is>
          <t>1992-01-23</t>
        </is>
      </c>
      <c r="Y666" t="n">
        <v>255</v>
      </c>
      <c r="Z666" t="n">
        <v>176</v>
      </c>
      <c r="AA666" t="n">
        <v>177</v>
      </c>
      <c r="AB666" t="n">
        <v>1</v>
      </c>
      <c r="AC666" t="n">
        <v>1</v>
      </c>
      <c r="AD666" t="n">
        <v>12</v>
      </c>
      <c r="AE666" t="n">
        <v>12</v>
      </c>
      <c r="AF666" t="n">
        <v>5</v>
      </c>
      <c r="AG666" t="n">
        <v>5</v>
      </c>
      <c r="AH666" t="n">
        <v>2</v>
      </c>
      <c r="AI666" t="n">
        <v>2</v>
      </c>
      <c r="AJ666" t="n">
        <v>8</v>
      </c>
      <c r="AK666" t="n">
        <v>8</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HYPERLINK("https://creighton-primo.hosted.exlibrisgroup.com/primo-explore/search?tab=default_tab&amp;search_scope=EVERYTHING&amp;vid=01CRU&amp;lang=en_US&amp;offset=0&amp;query=any,contains,991001634269702656","Catalog Record")</f>
        <v/>
      </c>
      <c r="AT666">
        <f>HYPERLINK("http://www.worldcat.org/oclc/26504325","WorldCat Record")</f>
        <v/>
      </c>
      <c r="AU666" t="inlineStr">
        <is>
          <t>892254864:eng</t>
        </is>
      </c>
      <c r="AV666" t="inlineStr">
        <is>
          <t>26504325</t>
        </is>
      </c>
      <c r="AW666" t="inlineStr">
        <is>
          <t>991001634269702656</t>
        </is>
      </c>
      <c r="AX666" t="inlineStr">
        <is>
          <t>991001634269702656</t>
        </is>
      </c>
      <c r="AY666" t="inlineStr">
        <is>
          <t>2264332330002656</t>
        </is>
      </c>
      <c r="AZ666" t="inlineStr">
        <is>
          <t>BOOK</t>
        </is>
      </c>
      <c r="BB666" t="inlineStr">
        <is>
          <t>9780567095282</t>
        </is>
      </c>
      <c r="BC666" t="inlineStr">
        <is>
          <t>32285000865997</t>
        </is>
      </c>
      <c r="BD666" t="inlineStr">
        <is>
          <t>893426722</t>
        </is>
      </c>
    </row>
    <row r="667">
      <c r="A667" t="inlineStr">
        <is>
          <t>No</t>
        </is>
      </c>
      <c r="B667" t="inlineStr">
        <is>
          <t>BT40 .F35</t>
        </is>
      </c>
      <c r="C667" t="inlineStr">
        <is>
          <t>0                      BT 0040000F  35</t>
        </is>
      </c>
      <c r="D667" t="inlineStr">
        <is>
          <t>Faith and speculation : an essay in philosophical theology; containing the Deems lectures delivered at New York University in 1964 / by Austin Farrer.</t>
        </is>
      </c>
      <c r="F667" t="inlineStr">
        <is>
          <t>No</t>
        </is>
      </c>
      <c r="G667" t="inlineStr">
        <is>
          <t>1</t>
        </is>
      </c>
      <c r="H667" t="inlineStr">
        <is>
          <t>No</t>
        </is>
      </c>
      <c r="I667" t="inlineStr">
        <is>
          <t>No</t>
        </is>
      </c>
      <c r="J667" t="inlineStr">
        <is>
          <t>0</t>
        </is>
      </c>
      <c r="K667" t="inlineStr">
        <is>
          <t>Farrer, Austin, 1904-1968.</t>
        </is>
      </c>
      <c r="L667" t="inlineStr">
        <is>
          <t>New York : New York University Press; London : A. &amp; C. Black, 1967.</t>
        </is>
      </c>
      <c r="M667" t="inlineStr">
        <is>
          <t>1967</t>
        </is>
      </c>
      <c r="O667" t="inlineStr">
        <is>
          <t>eng</t>
        </is>
      </c>
      <c r="P667" t="inlineStr">
        <is>
          <t>nyu</t>
        </is>
      </c>
      <c r="Q667" t="inlineStr">
        <is>
          <t>The Deems lectures, 1964</t>
        </is>
      </c>
      <c r="R667" t="inlineStr">
        <is>
          <t xml:space="preserve">BT </t>
        </is>
      </c>
      <c r="S667" t="n">
        <v>2</v>
      </c>
      <c r="T667" t="n">
        <v>2</v>
      </c>
      <c r="U667" t="inlineStr">
        <is>
          <t>1999-05-06</t>
        </is>
      </c>
      <c r="V667" t="inlineStr">
        <is>
          <t>1999-05-06</t>
        </is>
      </c>
      <c r="W667" t="inlineStr">
        <is>
          <t>1991-06-19</t>
        </is>
      </c>
      <c r="X667" t="inlineStr">
        <is>
          <t>1991-06-19</t>
        </is>
      </c>
      <c r="Y667" t="n">
        <v>151</v>
      </c>
      <c r="Z667" t="n">
        <v>142</v>
      </c>
      <c r="AA667" t="n">
        <v>169</v>
      </c>
      <c r="AB667" t="n">
        <v>2</v>
      </c>
      <c r="AC667" t="n">
        <v>2</v>
      </c>
      <c r="AD667" t="n">
        <v>18</v>
      </c>
      <c r="AE667" t="n">
        <v>18</v>
      </c>
      <c r="AF667" t="n">
        <v>4</v>
      </c>
      <c r="AG667" t="n">
        <v>4</v>
      </c>
      <c r="AH667" t="n">
        <v>2</v>
      </c>
      <c r="AI667" t="n">
        <v>2</v>
      </c>
      <c r="AJ667" t="n">
        <v>14</v>
      </c>
      <c r="AK667" t="n">
        <v>14</v>
      </c>
      <c r="AL667" t="n">
        <v>1</v>
      </c>
      <c r="AM667" t="n">
        <v>1</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HYPERLINK("https://creighton-primo.hosted.exlibrisgroup.com/primo-explore/search?tab=default_tab&amp;search_scope=EVERYTHING&amp;vid=01CRU&amp;lang=en_US&amp;offset=0&amp;query=any,contains,991005076029702656","Catalog Record")</f>
        <v/>
      </c>
      <c r="AT667">
        <f>HYPERLINK("http://www.worldcat.org/oclc/7114136","WorldCat Record")</f>
        <v/>
      </c>
      <c r="AU667" t="inlineStr">
        <is>
          <t>343731970:eng</t>
        </is>
      </c>
      <c r="AV667" t="inlineStr">
        <is>
          <t>7114136</t>
        </is>
      </c>
      <c r="AW667" t="inlineStr">
        <is>
          <t>991005076029702656</t>
        </is>
      </c>
      <c r="AX667" t="inlineStr">
        <is>
          <t>991005076029702656</t>
        </is>
      </c>
      <c r="AY667" t="inlineStr">
        <is>
          <t>2264007470002656</t>
        </is>
      </c>
      <c r="AZ667" t="inlineStr">
        <is>
          <t>BOOK</t>
        </is>
      </c>
      <c r="BC667" t="inlineStr">
        <is>
          <t>32285000687144</t>
        </is>
      </c>
      <c r="BD667" t="inlineStr">
        <is>
          <t>893437101</t>
        </is>
      </c>
    </row>
    <row r="668">
      <c r="A668" t="inlineStr">
        <is>
          <t>No</t>
        </is>
      </c>
      <c r="B668" t="inlineStr">
        <is>
          <t>BT40 .F54</t>
        </is>
      </c>
      <c r="C668" t="inlineStr">
        <is>
          <t>0                      BT 0040000F  54</t>
        </is>
      </c>
      <c r="D668" t="inlineStr">
        <is>
          <t>New essays in philosophical theology / ed. by Antony Flew [and] Alasdair MacIntyre.</t>
        </is>
      </c>
      <c r="F668" t="inlineStr">
        <is>
          <t>No</t>
        </is>
      </c>
      <c r="G668" t="inlineStr">
        <is>
          <t>1</t>
        </is>
      </c>
      <c r="H668" t="inlineStr">
        <is>
          <t>No</t>
        </is>
      </c>
      <c r="I668" t="inlineStr">
        <is>
          <t>No</t>
        </is>
      </c>
      <c r="J668" t="inlineStr">
        <is>
          <t>0</t>
        </is>
      </c>
      <c r="K668" t="inlineStr">
        <is>
          <t>Flew, Antony, 1923-2010, editor.</t>
        </is>
      </c>
      <c r="L668" t="inlineStr">
        <is>
          <t>New York, Macmillan [1964]</t>
        </is>
      </c>
      <c r="M668" t="inlineStr">
        <is>
          <t>1964</t>
        </is>
      </c>
      <c r="O668" t="inlineStr">
        <is>
          <t>eng</t>
        </is>
      </c>
      <c r="P668" t="inlineStr">
        <is>
          <t>nyu</t>
        </is>
      </c>
      <c r="Q668" t="inlineStr">
        <is>
          <t>Macmillan paperback edition, MP184</t>
        </is>
      </c>
      <c r="R668" t="inlineStr">
        <is>
          <t xml:space="preserve">BT </t>
        </is>
      </c>
      <c r="S668" t="n">
        <v>6</v>
      </c>
      <c r="T668" t="n">
        <v>6</v>
      </c>
      <c r="U668" t="inlineStr">
        <is>
          <t>2004-11-01</t>
        </is>
      </c>
      <c r="V668" t="inlineStr">
        <is>
          <t>2004-11-01</t>
        </is>
      </c>
      <c r="W668" t="inlineStr">
        <is>
          <t>1990-08-01</t>
        </is>
      </c>
      <c r="X668" t="inlineStr">
        <is>
          <t>1990-08-01</t>
        </is>
      </c>
      <c r="Y668" t="n">
        <v>486</v>
      </c>
      <c r="Z668" t="n">
        <v>455</v>
      </c>
      <c r="AA668" t="n">
        <v>963</v>
      </c>
      <c r="AB668" t="n">
        <v>3</v>
      </c>
      <c r="AC668" t="n">
        <v>5</v>
      </c>
      <c r="AD668" t="n">
        <v>28</v>
      </c>
      <c r="AE668" t="n">
        <v>51</v>
      </c>
      <c r="AF668" t="n">
        <v>11</v>
      </c>
      <c r="AG668" t="n">
        <v>24</v>
      </c>
      <c r="AH668" t="n">
        <v>5</v>
      </c>
      <c r="AI668" t="n">
        <v>10</v>
      </c>
      <c r="AJ668" t="n">
        <v>17</v>
      </c>
      <c r="AK668" t="n">
        <v>28</v>
      </c>
      <c r="AL668" t="n">
        <v>1</v>
      </c>
      <c r="AM668" t="n">
        <v>3</v>
      </c>
      <c r="AN668" t="n">
        <v>0</v>
      </c>
      <c r="AO668" t="n">
        <v>0</v>
      </c>
      <c r="AP668" t="inlineStr">
        <is>
          <t>No</t>
        </is>
      </c>
      <c r="AQ668" t="inlineStr">
        <is>
          <t>Yes</t>
        </is>
      </c>
      <c r="AR668">
        <f>HYPERLINK("http://catalog.hathitrust.org/Record/001411609","HathiTrust Record")</f>
        <v/>
      </c>
      <c r="AS668">
        <f>HYPERLINK("https://creighton-primo.hosted.exlibrisgroup.com/primo-explore/search?tab=default_tab&amp;search_scope=EVERYTHING&amp;vid=01CRU&amp;lang=en_US&amp;offset=0&amp;query=any,contains,991001214289702656","Catalog Record")</f>
        <v/>
      </c>
      <c r="AT668">
        <f>HYPERLINK("http://www.worldcat.org/oclc/193494","WorldCat Record")</f>
        <v/>
      </c>
      <c r="AU668" t="inlineStr">
        <is>
          <t>476405549:eng</t>
        </is>
      </c>
      <c r="AV668" t="inlineStr">
        <is>
          <t>193494</t>
        </is>
      </c>
      <c r="AW668" t="inlineStr">
        <is>
          <t>991001214289702656</t>
        </is>
      </c>
      <c r="AX668" t="inlineStr">
        <is>
          <t>991001214289702656</t>
        </is>
      </c>
      <c r="AY668" t="inlineStr">
        <is>
          <t>2268926570002656</t>
        </is>
      </c>
      <c r="AZ668" t="inlineStr">
        <is>
          <t>BOOK</t>
        </is>
      </c>
      <c r="BC668" t="inlineStr">
        <is>
          <t>32285000262021</t>
        </is>
      </c>
      <c r="BD668" t="inlineStr">
        <is>
          <t>893327965</t>
        </is>
      </c>
    </row>
    <row r="669">
      <c r="A669" t="inlineStr">
        <is>
          <t>No</t>
        </is>
      </c>
      <c r="B669" t="inlineStr">
        <is>
          <t>BT40 .M5</t>
        </is>
      </c>
      <c r="C669" t="inlineStr">
        <is>
          <t>0                      BT 0040000M  5</t>
        </is>
      </c>
      <c r="D669" t="inlineStr">
        <is>
          <t>Faith and logic : Oxford essays in philosophical theology / edited by Basil Mitchell.</t>
        </is>
      </c>
      <c r="F669" t="inlineStr">
        <is>
          <t>No</t>
        </is>
      </c>
      <c r="G669" t="inlineStr">
        <is>
          <t>1</t>
        </is>
      </c>
      <c r="H669" t="inlineStr">
        <is>
          <t>No</t>
        </is>
      </c>
      <c r="I669" t="inlineStr">
        <is>
          <t>No</t>
        </is>
      </c>
      <c r="J669" t="inlineStr">
        <is>
          <t>0</t>
        </is>
      </c>
      <c r="L669" t="inlineStr">
        <is>
          <t>London : Allen &amp; Unwin, [1957]</t>
        </is>
      </c>
      <c r="M669" t="inlineStr">
        <is>
          <t>1957</t>
        </is>
      </c>
      <c r="O669" t="inlineStr">
        <is>
          <t>eng</t>
        </is>
      </c>
      <c r="P669" t="inlineStr">
        <is>
          <t>enk</t>
        </is>
      </c>
      <c r="R669" t="inlineStr">
        <is>
          <t xml:space="preserve">BT </t>
        </is>
      </c>
      <c r="S669" t="n">
        <v>3</v>
      </c>
      <c r="T669" t="n">
        <v>3</v>
      </c>
      <c r="U669" t="inlineStr">
        <is>
          <t>1999-03-03</t>
        </is>
      </c>
      <c r="V669" t="inlineStr">
        <is>
          <t>1999-03-03</t>
        </is>
      </c>
      <c r="W669" t="inlineStr">
        <is>
          <t>1991-06-19</t>
        </is>
      </c>
      <c r="X669" t="inlineStr">
        <is>
          <t>1991-06-19</t>
        </is>
      </c>
      <c r="Y669" t="n">
        <v>414</v>
      </c>
      <c r="Z669" t="n">
        <v>296</v>
      </c>
      <c r="AA669" t="n">
        <v>624</v>
      </c>
      <c r="AB669" t="n">
        <v>4</v>
      </c>
      <c r="AC669" t="n">
        <v>5</v>
      </c>
      <c r="AD669" t="n">
        <v>17</v>
      </c>
      <c r="AE669" t="n">
        <v>35</v>
      </c>
      <c r="AF669" t="n">
        <v>7</v>
      </c>
      <c r="AG669" t="n">
        <v>12</v>
      </c>
      <c r="AH669" t="n">
        <v>4</v>
      </c>
      <c r="AI669" t="n">
        <v>8</v>
      </c>
      <c r="AJ669" t="n">
        <v>9</v>
      </c>
      <c r="AK669" t="n">
        <v>21</v>
      </c>
      <c r="AL669" t="n">
        <v>2</v>
      </c>
      <c r="AM669" t="n">
        <v>3</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HYPERLINK("https://creighton-primo.hosted.exlibrisgroup.com/primo-explore/search?tab=default_tab&amp;search_scope=EVERYTHING&amp;vid=01CRU&amp;lang=en_US&amp;offset=0&amp;query=any,contains,991004221299702656","Catalog Record")</f>
        <v/>
      </c>
      <c r="AT669">
        <f>HYPERLINK("http://www.worldcat.org/oclc/2713294","WorldCat Record")</f>
        <v/>
      </c>
      <c r="AU669" t="inlineStr">
        <is>
          <t>890933881:eng</t>
        </is>
      </c>
      <c r="AV669" t="inlineStr">
        <is>
          <t>2713294</t>
        </is>
      </c>
      <c r="AW669" t="inlineStr">
        <is>
          <t>991004221299702656</t>
        </is>
      </c>
      <c r="AX669" t="inlineStr">
        <is>
          <t>991004221299702656</t>
        </is>
      </c>
      <c r="AY669" t="inlineStr">
        <is>
          <t>2269418830002656</t>
        </is>
      </c>
      <c r="AZ669" t="inlineStr">
        <is>
          <t>BOOK</t>
        </is>
      </c>
      <c r="BC669" t="inlineStr">
        <is>
          <t>32285000687177</t>
        </is>
      </c>
      <c r="BD669" t="inlineStr">
        <is>
          <t>893693683</t>
        </is>
      </c>
    </row>
    <row r="670">
      <c r="A670" t="inlineStr">
        <is>
          <t>No</t>
        </is>
      </c>
      <c r="B670" t="inlineStr">
        <is>
          <t>BT40 .M69 1987</t>
        </is>
      </c>
      <c r="C670" t="inlineStr">
        <is>
          <t>0                      BT 0040000M  69          1987</t>
        </is>
      </c>
      <c r="D670" t="inlineStr">
        <is>
          <t>Anselmian explorations : essays in philosophical theology / Thomas V. Morris.</t>
        </is>
      </c>
      <c r="F670" t="inlineStr">
        <is>
          <t>No</t>
        </is>
      </c>
      <c r="G670" t="inlineStr">
        <is>
          <t>1</t>
        </is>
      </c>
      <c r="H670" t="inlineStr">
        <is>
          <t>No</t>
        </is>
      </c>
      <c r="I670" t="inlineStr">
        <is>
          <t>No</t>
        </is>
      </c>
      <c r="J670" t="inlineStr">
        <is>
          <t>0</t>
        </is>
      </c>
      <c r="K670" t="inlineStr">
        <is>
          <t>Morris, Thomas V.</t>
        </is>
      </c>
      <c r="L670" t="inlineStr">
        <is>
          <t>Notre Dame, Ind. : University of Notre Dame Press, c1987.</t>
        </is>
      </c>
      <c r="M670" t="inlineStr">
        <is>
          <t>1987</t>
        </is>
      </c>
      <c r="O670" t="inlineStr">
        <is>
          <t>eng</t>
        </is>
      </c>
      <c r="P670" t="inlineStr">
        <is>
          <t>inu</t>
        </is>
      </c>
      <c r="R670" t="inlineStr">
        <is>
          <t xml:space="preserve">BT </t>
        </is>
      </c>
      <c r="S670" t="n">
        <v>9</v>
      </c>
      <c r="T670" t="n">
        <v>9</v>
      </c>
      <c r="U670" t="inlineStr">
        <is>
          <t>2008-04-15</t>
        </is>
      </c>
      <c r="V670" t="inlineStr">
        <is>
          <t>2008-04-15</t>
        </is>
      </c>
      <c r="W670" t="inlineStr">
        <is>
          <t>1991-06-19</t>
        </is>
      </c>
      <c r="X670" t="inlineStr">
        <is>
          <t>1991-06-19</t>
        </is>
      </c>
      <c r="Y670" t="n">
        <v>529</v>
      </c>
      <c r="Z670" t="n">
        <v>444</v>
      </c>
      <c r="AA670" t="n">
        <v>461</v>
      </c>
      <c r="AB670" t="n">
        <v>3</v>
      </c>
      <c r="AC670" t="n">
        <v>3</v>
      </c>
      <c r="AD670" t="n">
        <v>33</v>
      </c>
      <c r="AE670" t="n">
        <v>33</v>
      </c>
      <c r="AF670" t="n">
        <v>14</v>
      </c>
      <c r="AG670" t="n">
        <v>14</v>
      </c>
      <c r="AH670" t="n">
        <v>8</v>
      </c>
      <c r="AI670" t="n">
        <v>8</v>
      </c>
      <c r="AJ670" t="n">
        <v>21</v>
      </c>
      <c r="AK670" t="n">
        <v>21</v>
      </c>
      <c r="AL670" t="n">
        <v>2</v>
      </c>
      <c r="AM670" t="n">
        <v>2</v>
      </c>
      <c r="AN670" t="n">
        <v>0</v>
      </c>
      <c r="AO670" t="n">
        <v>0</v>
      </c>
      <c r="AP670" t="inlineStr">
        <is>
          <t>No</t>
        </is>
      </c>
      <c r="AQ670" t="inlineStr">
        <is>
          <t>Yes</t>
        </is>
      </c>
      <c r="AR670">
        <f>HYPERLINK("http://catalog.hathitrust.org/Record/000812487","HathiTrust Record")</f>
        <v/>
      </c>
      <c r="AS670">
        <f>HYPERLINK("https://creighton-primo.hosted.exlibrisgroup.com/primo-explore/search?tab=default_tab&amp;search_scope=EVERYTHING&amp;vid=01CRU&amp;lang=en_US&amp;offset=0&amp;query=any,contains,991000901559702656","Catalog Record")</f>
        <v/>
      </c>
      <c r="AT670">
        <f>HYPERLINK("http://www.worldcat.org/oclc/14068028","WorldCat Record")</f>
        <v/>
      </c>
      <c r="AU670" t="inlineStr">
        <is>
          <t>7214497:eng</t>
        </is>
      </c>
      <c r="AV670" t="inlineStr">
        <is>
          <t>14068028</t>
        </is>
      </c>
      <c r="AW670" t="inlineStr">
        <is>
          <t>991000901559702656</t>
        </is>
      </c>
      <c r="AX670" t="inlineStr">
        <is>
          <t>991000901559702656</t>
        </is>
      </c>
      <c r="AY670" t="inlineStr">
        <is>
          <t>2256929890002656</t>
        </is>
      </c>
      <c r="AZ670" t="inlineStr">
        <is>
          <t>BOOK</t>
        </is>
      </c>
      <c r="BB670" t="inlineStr">
        <is>
          <t>9780268006167</t>
        </is>
      </c>
      <c r="BC670" t="inlineStr">
        <is>
          <t>32285000687185</t>
        </is>
      </c>
      <c r="BD670" t="inlineStr">
        <is>
          <t>893602153</t>
        </is>
      </c>
    </row>
    <row r="671">
      <c r="A671" t="inlineStr">
        <is>
          <t>No</t>
        </is>
      </c>
      <c r="B671" t="inlineStr">
        <is>
          <t>BT40 .O44 1984</t>
        </is>
      </c>
      <c r="C671" t="inlineStr">
        <is>
          <t>0                      BT 0040000O  44          1984</t>
        </is>
      </c>
      <c r="D671" t="inlineStr">
        <is>
          <t>Relatedness : essays in metaphysics and theology / Harold H. Oliver.</t>
        </is>
      </c>
      <c r="F671" t="inlineStr">
        <is>
          <t>No</t>
        </is>
      </c>
      <c r="G671" t="inlineStr">
        <is>
          <t>1</t>
        </is>
      </c>
      <c r="H671" t="inlineStr">
        <is>
          <t>No</t>
        </is>
      </c>
      <c r="I671" t="inlineStr">
        <is>
          <t>No</t>
        </is>
      </c>
      <c r="J671" t="inlineStr">
        <is>
          <t>0</t>
        </is>
      </c>
      <c r="K671" t="inlineStr">
        <is>
          <t>Oliver, Harold H.</t>
        </is>
      </c>
      <c r="L671" t="inlineStr">
        <is>
          <t>Macon, Ga. : Mercer, c1984.</t>
        </is>
      </c>
      <c r="M671" t="inlineStr">
        <is>
          <t>1984</t>
        </is>
      </c>
      <c r="O671" t="inlineStr">
        <is>
          <t>eng</t>
        </is>
      </c>
      <c r="P671" t="inlineStr">
        <is>
          <t>gau</t>
        </is>
      </c>
      <c r="R671" t="inlineStr">
        <is>
          <t xml:space="preserve">BT </t>
        </is>
      </c>
      <c r="S671" t="n">
        <v>2</v>
      </c>
      <c r="T671" t="n">
        <v>2</v>
      </c>
      <c r="U671" t="inlineStr">
        <is>
          <t>1992-04-09</t>
        </is>
      </c>
      <c r="V671" t="inlineStr">
        <is>
          <t>1992-04-09</t>
        </is>
      </c>
      <c r="W671" t="inlineStr">
        <is>
          <t>1991-06-19</t>
        </is>
      </c>
      <c r="X671" t="inlineStr">
        <is>
          <t>1991-06-19</t>
        </is>
      </c>
      <c r="Y671" t="n">
        <v>267</v>
      </c>
      <c r="Z671" t="n">
        <v>239</v>
      </c>
      <c r="AA671" t="n">
        <v>240</v>
      </c>
      <c r="AB671" t="n">
        <v>2</v>
      </c>
      <c r="AC671" t="n">
        <v>2</v>
      </c>
      <c r="AD671" t="n">
        <v>15</v>
      </c>
      <c r="AE671" t="n">
        <v>15</v>
      </c>
      <c r="AF671" t="n">
        <v>4</v>
      </c>
      <c r="AG671" t="n">
        <v>4</v>
      </c>
      <c r="AH671" t="n">
        <v>4</v>
      </c>
      <c r="AI671" t="n">
        <v>4</v>
      </c>
      <c r="AJ671" t="n">
        <v>10</v>
      </c>
      <c r="AK671" t="n">
        <v>10</v>
      </c>
      <c r="AL671" t="n">
        <v>1</v>
      </c>
      <c r="AM671" t="n">
        <v>1</v>
      </c>
      <c r="AN671" t="n">
        <v>0</v>
      </c>
      <c r="AO671" t="n">
        <v>0</v>
      </c>
      <c r="AP671" t="inlineStr">
        <is>
          <t>No</t>
        </is>
      </c>
      <c r="AQ671" t="inlineStr">
        <is>
          <t>Yes</t>
        </is>
      </c>
      <c r="AR671">
        <f>HYPERLINK("http://catalog.hathitrust.org/Record/000165581","HathiTrust Record")</f>
        <v/>
      </c>
      <c r="AS671">
        <f>HYPERLINK("https://creighton-primo.hosted.exlibrisgroup.com/primo-explore/search?tab=default_tab&amp;search_scope=EVERYTHING&amp;vid=01CRU&amp;lang=en_US&amp;offset=0&amp;query=any,contains,991000456299702656","Catalog Record")</f>
        <v/>
      </c>
      <c r="AT671">
        <f>HYPERLINK("http://www.worldcat.org/oclc/10913963","WorldCat Record")</f>
        <v/>
      </c>
      <c r="AU671" t="inlineStr">
        <is>
          <t>428630577:eng</t>
        </is>
      </c>
      <c r="AV671" t="inlineStr">
        <is>
          <t>10913963</t>
        </is>
      </c>
      <c r="AW671" t="inlineStr">
        <is>
          <t>991000456299702656</t>
        </is>
      </c>
      <c r="AX671" t="inlineStr">
        <is>
          <t>991000456299702656</t>
        </is>
      </c>
      <c r="AY671" t="inlineStr">
        <is>
          <t>2258525260002656</t>
        </is>
      </c>
      <c r="AZ671" t="inlineStr">
        <is>
          <t>BOOK</t>
        </is>
      </c>
      <c r="BB671" t="inlineStr">
        <is>
          <t>9780865541412</t>
        </is>
      </c>
      <c r="BC671" t="inlineStr">
        <is>
          <t>32285000687193</t>
        </is>
      </c>
      <c r="BD671" t="inlineStr">
        <is>
          <t>893626309</t>
        </is>
      </c>
    </row>
    <row r="672">
      <c r="A672" t="inlineStr">
        <is>
          <t>No</t>
        </is>
      </c>
      <c r="B672" t="inlineStr">
        <is>
          <t>BT40 .R313</t>
        </is>
      </c>
      <c r="C672" t="inlineStr">
        <is>
          <t>0                      BT 0040000R  313</t>
        </is>
      </c>
      <c r="D672" t="inlineStr">
        <is>
          <t>Faith and doubt / by Olivier A. Rabut. Translated by Bonnie and William Whitman.</t>
        </is>
      </c>
      <c r="F672" t="inlineStr">
        <is>
          <t>No</t>
        </is>
      </c>
      <c r="G672" t="inlineStr">
        <is>
          <t>1</t>
        </is>
      </c>
      <c r="H672" t="inlineStr">
        <is>
          <t>No</t>
        </is>
      </c>
      <c r="I672" t="inlineStr">
        <is>
          <t>No</t>
        </is>
      </c>
      <c r="J672" t="inlineStr">
        <is>
          <t>0</t>
        </is>
      </c>
      <c r="K672" t="inlineStr">
        <is>
          <t>Rabut, Olivier A.</t>
        </is>
      </c>
      <c r="L672" t="inlineStr">
        <is>
          <t>New York, Sheed and Ward [1967]</t>
        </is>
      </c>
      <c r="M672" t="inlineStr">
        <is>
          <t>1967</t>
        </is>
      </c>
      <c r="O672" t="inlineStr">
        <is>
          <t>eng</t>
        </is>
      </c>
      <c r="P672" t="inlineStr">
        <is>
          <t>nyu</t>
        </is>
      </c>
      <c r="R672" t="inlineStr">
        <is>
          <t xml:space="preserve">BT </t>
        </is>
      </c>
      <c r="S672" t="n">
        <v>3</v>
      </c>
      <c r="T672" t="n">
        <v>3</v>
      </c>
      <c r="U672" t="inlineStr">
        <is>
          <t>1995-05-24</t>
        </is>
      </c>
      <c r="V672" t="inlineStr">
        <is>
          <t>1995-05-24</t>
        </is>
      </c>
      <c r="W672" t="inlineStr">
        <is>
          <t>1991-06-19</t>
        </is>
      </c>
      <c r="X672" t="inlineStr">
        <is>
          <t>1991-06-19</t>
        </is>
      </c>
      <c r="Y672" t="n">
        <v>199</v>
      </c>
      <c r="Z672" t="n">
        <v>178</v>
      </c>
      <c r="AA672" t="n">
        <v>183</v>
      </c>
      <c r="AB672" t="n">
        <v>2</v>
      </c>
      <c r="AC672" t="n">
        <v>2</v>
      </c>
      <c r="AD672" t="n">
        <v>27</v>
      </c>
      <c r="AE672" t="n">
        <v>27</v>
      </c>
      <c r="AF672" t="n">
        <v>9</v>
      </c>
      <c r="AG672" t="n">
        <v>9</v>
      </c>
      <c r="AH672" t="n">
        <v>7</v>
      </c>
      <c r="AI672" t="n">
        <v>7</v>
      </c>
      <c r="AJ672" t="n">
        <v>22</v>
      </c>
      <c r="AK672" t="n">
        <v>22</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HYPERLINK("https://creighton-primo.hosted.exlibrisgroup.com/primo-explore/search?tab=default_tab&amp;search_scope=EVERYTHING&amp;vid=01CRU&amp;lang=en_US&amp;offset=0&amp;query=any,contains,991003105299702656","Catalog Record")</f>
        <v/>
      </c>
      <c r="AT672">
        <f>HYPERLINK("http://www.worldcat.org/oclc/653615","WorldCat Record")</f>
        <v/>
      </c>
      <c r="AU672" t="inlineStr">
        <is>
          <t>1611329:eng</t>
        </is>
      </c>
      <c r="AV672" t="inlineStr">
        <is>
          <t>653615</t>
        </is>
      </c>
      <c r="AW672" t="inlineStr">
        <is>
          <t>991003105299702656</t>
        </is>
      </c>
      <c r="AX672" t="inlineStr">
        <is>
          <t>991003105299702656</t>
        </is>
      </c>
      <c r="AY672" t="inlineStr">
        <is>
          <t>2264106980002656</t>
        </is>
      </c>
      <c r="AZ672" t="inlineStr">
        <is>
          <t>BOOK</t>
        </is>
      </c>
      <c r="BC672" t="inlineStr">
        <is>
          <t>32285000687201</t>
        </is>
      </c>
      <c r="BD672" t="inlineStr">
        <is>
          <t>893617010</t>
        </is>
      </c>
    </row>
    <row r="673">
      <c r="A673" t="inlineStr">
        <is>
          <t>No</t>
        </is>
      </c>
      <c r="B673" t="inlineStr">
        <is>
          <t>BT40 .R335 2000</t>
        </is>
      </c>
      <c r="C673" t="inlineStr">
        <is>
          <t>0                      BT 0040000R  335         2000</t>
        </is>
      </c>
      <c r="D673" t="inlineStr">
        <is>
          <t>Radical orthodoxy? : a Catholic enquiry / edited by Laurence Paul Hemming.</t>
        </is>
      </c>
      <c r="F673" t="inlineStr">
        <is>
          <t>No</t>
        </is>
      </c>
      <c r="G673" t="inlineStr">
        <is>
          <t>1</t>
        </is>
      </c>
      <c r="H673" t="inlineStr">
        <is>
          <t>No</t>
        </is>
      </c>
      <c r="I673" t="inlineStr">
        <is>
          <t>No</t>
        </is>
      </c>
      <c r="J673" t="inlineStr">
        <is>
          <t>0</t>
        </is>
      </c>
      <c r="L673" t="inlineStr">
        <is>
          <t>Aldershot, England ; Burlington, Vt. : Ashgate, c2000.</t>
        </is>
      </c>
      <c r="M673" t="inlineStr">
        <is>
          <t>2000</t>
        </is>
      </c>
      <c r="O673" t="inlineStr">
        <is>
          <t>eng</t>
        </is>
      </c>
      <c r="P673" t="inlineStr">
        <is>
          <t>enk</t>
        </is>
      </c>
      <c r="Q673" t="inlineStr">
        <is>
          <t>Heythrop studies in contemporary philosophy, religion, &amp; theology</t>
        </is>
      </c>
      <c r="R673" t="inlineStr">
        <is>
          <t xml:space="preserve">BT </t>
        </is>
      </c>
      <c r="S673" t="n">
        <v>1</v>
      </c>
      <c r="T673" t="n">
        <v>1</v>
      </c>
      <c r="U673" t="inlineStr">
        <is>
          <t>2000-12-12</t>
        </is>
      </c>
      <c r="V673" t="inlineStr">
        <is>
          <t>2000-12-12</t>
        </is>
      </c>
      <c r="W673" t="inlineStr">
        <is>
          <t>2000-12-12</t>
        </is>
      </c>
      <c r="X673" t="inlineStr">
        <is>
          <t>2000-12-12</t>
        </is>
      </c>
      <c r="Y673" t="n">
        <v>267</v>
      </c>
      <c r="Z673" t="n">
        <v>185</v>
      </c>
      <c r="AA673" t="n">
        <v>211</v>
      </c>
      <c r="AB673" t="n">
        <v>1</v>
      </c>
      <c r="AC673" t="n">
        <v>1</v>
      </c>
      <c r="AD673" t="n">
        <v>23</v>
      </c>
      <c r="AE673" t="n">
        <v>23</v>
      </c>
      <c r="AF673" t="n">
        <v>9</v>
      </c>
      <c r="AG673" t="n">
        <v>9</v>
      </c>
      <c r="AH673" t="n">
        <v>5</v>
      </c>
      <c r="AI673" t="n">
        <v>5</v>
      </c>
      <c r="AJ673" t="n">
        <v>18</v>
      </c>
      <c r="AK673" t="n">
        <v>18</v>
      </c>
      <c r="AL673" t="n">
        <v>0</v>
      </c>
      <c r="AM673" t="n">
        <v>0</v>
      </c>
      <c r="AN673" t="n">
        <v>0</v>
      </c>
      <c r="AO673" t="n">
        <v>0</v>
      </c>
      <c r="AP673" t="inlineStr">
        <is>
          <t>No</t>
        </is>
      </c>
      <c r="AQ673" t="inlineStr">
        <is>
          <t>Yes</t>
        </is>
      </c>
      <c r="AR673">
        <f>HYPERLINK("http://catalog.hathitrust.org/Record/004116740","HathiTrust Record")</f>
        <v/>
      </c>
      <c r="AS673">
        <f>HYPERLINK("https://creighton-primo.hosted.exlibrisgroup.com/primo-explore/search?tab=default_tab&amp;search_scope=EVERYTHING&amp;vid=01CRU&amp;lang=en_US&amp;offset=0&amp;query=any,contains,991003334259702656","Catalog Record")</f>
        <v/>
      </c>
      <c r="AT673">
        <f>HYPERLINK("http://www.worldcat.org/oclc/43580874","WorldCat Record")</f>
        <v/>
      </c>
      <c r="AU673" t="inlineStr">
        <is>
          <t>837080325:eng</t>
        </is>
      </c>
      <c r="AV673" t="inlineStr">
        <is>
          <t>43580874</t>
        </is>
      </c>
      <c r="AW673" t="inlineStr">
        <is>
          <t>991003334259702656</t>
        </is>
      </c>
      <c r="AX673" t="inlineStr">
        <is>
          <t>991003334259702656</t>
        </is>
      </c>
      <c r="AY673" t="inlineStr">
        <is>
          <t>2270107700002656</t>
        </is>
      </c>
      <c r="AZ673" t="inlineStr">
        <is>
          <t>BOOK</t>
        </is>
      </c>
      <c r="BB673" t="inlineStr">
        <is>
          <t>9780754612926</t>
        </is>
      </c>
      <c r="BC673" t="inlineStr">
        <is>
          <t>32285004276068</t>
        </is>
      </c>
      <c r="BD673" t="inlineStr">
        <is>
          <t>893511851</t>
        </is>
      </c>
    </row>
    <row r="674">
      <c r="A674" t="inlineStr">
        <is>
          <t>No</t>
        </is>
      </c>
      <c r="B674" t="inlineStr">
        <is>
          <t>BT40 .R38 1985</t>
        </is>
      </c>
      <c r="C674" t="inlineStr">
        <is>
          <t>0                      BT 0040000R  38          1985</t>
        </is>
      </c>
      <c r="D674" t="inlineStr">
        <is>
          <t>Faith, philosophy, and theology / Joseph Cardinal Ratzinger. Philosophy and the God of Abraham / James A. Weisheipl. Karol Wojtyła and Marxism : his thought and action as professor, prelate and supreme pontiff / George Hunston Williams. The Christian humanism and adequate personalism of Karol Wojtyła / Andrew N. Woznicki. Homily / given by Joseph Cardinal Ratzinger.</t>
        </is>
      </c>
      <c r="F674" t="inlineStr">
        <is>
          <t>No</t>
        </is>
      </c>
      <c r="G674" t="inlineStr">
        <is>
          <t>1</t>
        </is>
      </c>
      <c r="H674" t="inlineStr">
        <is>
          <t>No</t>
        </is>
      </c>
      <c r="I674" t="inlineStr">
        <is>
          <t>No</t>
        </is>
      </c>
      <c r="J674" t="inlineStr">
        <is>
          <t>0</t>
        </is>
      </c>
      <c r="K674" t="inlineStr">
        <is>
          <t>Benedict XVI, Pope, 1927-</t>
        </is>
      </c>
      <c r="L674" t="inlineStr">
        <is>
          <t>St. Paul, Minn. (2115 Summit Ave., St. Paul 55105) : College of St. Thomas : St. John Vianney Seminary, c1985.</t>
        </is>
      </c>
      <c r="M674" t="inlineStr">
        <is>
          <t>1985</t>
        </is>
      </c>
      <c r="O674" t="inlineStr">
        <is>
          <t>eng</t>
        </is>
      </c>
      <c r="P674" t="inlineStr">
        <is>
          <t>mnu</t>
        </is>
      </c>
      <c r="Q674" t="inlineStr">
        <is>
          <t>Pope John Paul II lecture series</t>
        </is>
      </c>
      <c r="R674" t="inlineStr">
        <is>
          <t xml:space="preserve">BT </t>
        </is>
      </c>
      <c r="S674" t="n">
        <v>6</v>
      </c>
      <c r="T674" t="n">
        <v>6</v>
      </c>
      <c r="U674" t="inlineStr">
        <is>
          <t>2005-09-26</t>
        </is>
      </c>
      <c r="V674" t="inlineStr">
        <is>
          <t>2005-09-26</t>
        </is>
      </c>
      <c r="W674" t="inlineStr">
        <is>
          <t>1991-06-19</t>
        </is>
      </c>
      <c r="X674" t="inlineStr">
        <is>
          <t>1991-06-19</t>
        </is>
      </c>
      <c r="Y674" t="n">
        <v>66</v>
      </c>
      <c r="Z674" t="n">
        <v>61</v>
      </c>
      <c r="AA674" t="n">
        <v>61</v>
      </c>
      <c r="AB674" t="n">
        <v>1</v>
      </c>
      <c r="AC674" t="n">
        <v>1</v>
      </c>
      <c r="AD674" t="n">
        <v>7</v>
      </c>
      <c r="AE674" t="n">
        <v>7</v>
      </c>
      <c r="AF674" t="n">
        <v>1</v>
      </c>
      <c r="AG674" t="n">
        <v>1</v>
      </c>
      <c r="AH674" t="n">
        <v>2</v>
      </c>
      <c r="AI674" t="n">
        <v>2</v>
      </c>
      <c r="AJ674" t="n">
        <v>6</v>
      </c>
      <c r="AK674" t="n">
        <v>6</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HYPERLINK("https://creighton-primo.hosted.exlibrisgroup.com/primo-explore/search?tab=default_tab&amp;search_scope=EVERYTHING&amp;vid=01CRU&amp;lang=en_US&amp;offset=0&amp;query=any,contains,991000771899702656","Catalog Record")</f>
        <v/>
      </c>
      <c r="AT674">
        <f>HYPERLINK("http://www.worldcat.org/oclc/13023428","WorldCat Record")</f>
        <v/>
      </c>
      <c r="AU674" t="inlineStr">
        <is>
          <t>190994790:eng</t>
        </is>
      </c>
      <c r="AV674" t="inlineStr">
        <is>
          <t>13023428</t>
        </is>
      </c>
      <c r="AW674" t="inlineStr">
        <is>
          <t>991000771899702656</t>
        </is>
      </c>
      <c r="AX674" t="inlineStr">
        <is>
          <t>991000771899702656</t>
        </is>
      </c>
      <c r="AY674" t="inlineStr">
        <is>
          <t>2263465510002656</t>
        </is>
      </c>
      <c r="AZ674" t="inlineStr">
        <is>
          <t>BOOK</t>
        </is>
      </c>
      <c r="BC674" t="inlineStr">
        <is>
          <t>32285000687219</t>
        </is>
      </c>
      <c r="BD674" t="inlineStr">
        <is>
          <t>893702416</t>
        </is>
      </c>
    </row>
    <row r="675">
      <c r="A675" t="inlineStr">
        <is>
          <t>No</t>
        </is>
      </c>
      <c r="B675" t="inlineStr">
        <is>
          <t>BT40 .R42 1994</t>
        </is>
      </c>
      <c r="C675" t="inlineStr">
        <is>
          <t>0                      BT 0040000R  42          1994</t>
        </is>
      </c>
      <c r="D675" t="inlineStr">
        <is>
          <t>Reason and the Christian religion : essays in honour of Richard Swinburne / edited by Alan G. Padgett.</t>
        </is>
      </c>
      <c r="F675" t="inlineStr">
        <is>
          <t>No</t>
        </is>
      </c>
      <c r="G675" t="inlineStr">
        <is>
          <t>1</t>
        </is>
      </c>
      <c r="H675" t="inlineStr">
        <is>
          <t>No</t>
        </is>
      </c>
      <c r="I675" t="inlineStr">
        <is>
          <t>No</t>
        </is>
      </c>
      <c r="J675" t="inlineStr">
        <is>
          <t>0</t>
        </is>
      </c>
      <c r="L675" t="inlineStr">
        <is>
          <t>Oxford : Clarendon Press ; Oxford ; New York : Oxford University Press, 1994.</t>
        </is>
      </c>
      <c r="M675" t="inlineStr">
        <is>
          <t>1994</t>
        </is>
      </c>
      <c r="O675" t="inlineStr">
        <is>
          <t>eng</t>
        </is>
      </c>
      <c r="P675" t="inlineStr">
        <is>
          <t>enk</t>
        </is>
      </c>
      <c r="R675" t="inlineStr">
        <is>
          <t xml:space="preserve">BT </t>
        </is>
      </c>
      <c r="S675" t="n">
        <v>4</v>
      </c>
      <c r="T675" t="n">
        <v>4</v>
      </c>
      <c r="U675" t="inlineStr">
        <is>
          <t>2008-02-15</t>
        </is>
      </c>
      <c r="V675" t="inlineStr">
        <is>
          <t>2008-02-15</t>
        </is>
      </c>
      <c r="W675" t="inlineStr">
        <is>
          <t>1997-01-23</t>
        </is>
      </c>
      <c r="X675" t="inlineStr">
        <is>
          <t>1997-01-23</t>
        </is>
      </c>
      <c r="Y675" t="n">
        <v>311</v>
      </c>
      <c r="Z675" t="n">
        <v>227</v>
      </c>
      <c r="AA675" t="n">
        <v>232</v>
      </c>
      <c r="AB675" t="n">
        <v>2</v>
      </c>
      <c r="AC675" t="n">
        <v>2</v>
      </c>
      <c r="AD675" t="n">
        <v>11</v>
      </c>
      <c r="AE675" t="n">
        <v>11</v>
      </c>
      <c r="AF675" t="n">
        <v>3</v>
      </c>
      <c r="AG675" t="n">
        <v>3</v>
      </c>
      <c r="AH675" t="n">
        <v>2</v>
      </c>
      <c r="AI675" t="n">
        <v>2</v>
      </c>
      <c r="AJ675" t="n">
        <v>6</v>
      </c>
      <c r="AK675" t="n">
        <v>6</v>
      </c>
      <c r="AL675" t="n">
        <v>1</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HYPERLINK("https://creighton-primo.hosted.exlibrisgroup.com/primo-explore/search?tab=default_tab&amp;search_scope=EVERYTHING&amp;vid=01CRU&amp;lang=en_US&amp;offset=0&amp;query=any,contains,991002359719702656","Catalog Record")</f>
        <v/>
      </c>
      <c r="AT675">
        <f>HYPERLINK("http://www.worldcat.org/oclc/30700385","WorldCat Record")</f>
        <v/>
      </c>
      <c r="AU675" t="inlineStr">
        <is>
          <t>1060431335:eng</t>
        </is>
      </c>
      <c r="AV675" t="inlineStr">
        <is>
          <t>30700385</t>
        </is>
      </c>
      <c r="AW675" t="inlineStr">
        <is>
          <t>991002359719702656</t>
        </is>
      </c>
      <c r="AX675" t="inlineStr">
        <is>
          <t>991002359719702656</t>
        </is>
      </c>
      <c r="AY675" t="inlineStr">
        <is>
          <t>2263480720002656</t>
        </is>
      </c>
      <c r="AZ675" t="inlineStr">
        <is>
          <t>BOOK</t>
        </is>
      </c>
      <c r="BB675" t="inlineStr">
        <is>
          <t>9780198240426</t>
        </is>
      </c>
      <c r="BC675" t="inlineStr">
        <is>
          <t>32285002410495</t>
        </is>
      </c>
      <c r="BD675" t="inlineStr">
        <is>
          <t>893603492</t>
        </is>
      </c>
    </row>
    <row r="676">
      <c r="A676" t="inlineStr">
        <is>
          <t>No</t>
        </is>
      </c>
      <c r="B676" t="inlineStr">
        <is>
          <t>BT40 .R6</t>
        </is>
      </c>
      <c r="C676" t="inlineStr">
        <is>
          <t>0                      BT 0040000R  6</t>
        </is>
      </c>
      <c r="D676" t="inlineStr">
        <is>
          <t>Philosophical theology / by James F. Ross.</t>
        </is>
      </c>
      <c r="F676" t="inlineStr">
        <is>
          <t>No</t>
        </is>
      </c>
      <c r="G676" t="inlineStr">
        <is>
          <t>1</t>
        </is>
      </c>
      <c r="H676" t="inlineStr">
        <is>
          <t>No</t>
        </is>
      </c>
      <c r="I676" t="inlineStr">
        <is>
          <t>No</t>
        </is>
      </c>
      <c r="J676" t="inlineStr">
        <is>
          <t>0</t>
        </is>
      </c>
      <c r="K676" t="inlineStr">
        <is>
          <t>Ross, James F., 1931-</t>
        </is>
      </c>
      <c r="L676" t="inlineStr">
        <is>
          <t>Indianapolis, Bobbs-Merrill [1969]</t>
        </is>
      </c>
      <c r="M676" t="inlineStr">
        <is>
          <t>1969</t>
        </is>
      </c>
      <c r="O676" t="inlineStr">
        <is>
          <t>eng</t>
        </is>
      </c>
      <c r="P676" t="inlineStr">
        <is>
          <t>inu</t>
        </is>
      </c>
      <c r="R676" t="inlineStr">
        <is>
          <t xml:space="preserve">BT </t>
        </is>
      </c>
      <c r="S676" t="n">
        <v>8</v>
      </c>
      <c r="T676" t="n">
        <v>8</v>
      </c>
      <c r="U676" t="inlineStr">
        <is>
          <t>2005-04-04</t>
        </is>
      </c>
      <c r="V676" t="inlineStr">
        <is>
          <t>2005-04-04</t>
        </is>
      </c>
      <c r="W676" t="inlineStr">
        <is>
          <t>1991-06-19</t>
        </is>
      </c>
      <c r="X676" t="inlineStr">
        <is>
          <t>1991-06-19</t>
        </is>
      </c>
      <c r="Y676" t="n">
        <v>707</v>
      </c>
      <c r="Z676" t="n">
        <v>598</v>
      </c>
      <c r="AA676" t="n">
        <v>661</v>
      </c>
      <c r="AB676" t="n">
        <v>5</v>
      </c>
      <c r="AC676" t="n">
        <v>5</v>
      </c>
      <c r="AD676" t="n">
        <v>38</v>
      </c>
      <c r="AE676" t="n">
        <v>41</v>
      </c>
      <c r="AF676" t="n">
        <v>13</v>
      </c>
      <c r="AG676" t="n">
        <v>15</v>
      </c>
      <c r="AH676" t="n">
        <v>8</v>
      </c>
      <c r="AI676" t="n">
        <v>8</v>
      </c>
      <c r="AJ676" t="n">
        <v>24</v>
      </c>
      <c r="AK676" t="n">
        <v>25</v>
      </c>
      <c r="AL676" t="n">
        <v>4</v>
      </c>
      <c r="AM676" t="n">
        <v>4</v>
      </c>
      <c r="AN676" t="n">
        <v>0</v>
      </c>
      <c r="AO676" t="n">
        <v>0</v>
      </c>
      <c r="AP676" t="inlineStr">
        <is>
          <t>No</t>
        </is>
      </c>
      <c r="AQ676" t="inlineStr">
        <is>
          <t>Yes</t>
        </is>
      </c>
      <c r="AR676">
        <f>HYPERLINK("http://catalog.hathitrust.org/Record/001411614","HathiTrust Record")</f>
        <v/>
      </c>
      <c r="AS676">
        <f>HYPERLINK("https://creighton-primo.hosted.exlibrisgroup.com/primo-explore/search?tab=default_tab&amp;search_scope=EVERYTHING&amp;vid=01CRU&amp;lang=en_US&amp;offset=0&amp;query=any,contains,991002224969702656","Catalog Record")</f>
        <v/>
      </c>
      <c r="AT676">
        <f>HYPERLINK("http://www.worldcat.org/oclc/291258","WorldCat Record")</f>
        <v/>
      </c>
      <c r="AU676" t="inlineStr">
        <is>
          <t>350528723:eng</t>
        </is>
      </c>
      <c r="AV676" t="inlineStr">
        <is>
          <t>291258</t>
        </is>
      </c>
      <c r="AW676" t="inlineStr">
        <is>
          <t>991002224969702656</t>
        </is>
      </c>
      <c r="AX676" t="inlineStr">
        <is>
          <t>991002224969702656</t>
        </is>
      </c>
      <c r="AY676" t="inlineStr">
        <is>
          <t>2268072940002656</t>
        </is>
      </c>
      <c r="AZ676" t="inlineStr">
        <is>
          <t>BOOK</t>
        </is>
      </c>
      <c r="BC676" t="inlineStr">
        <is>
          <t>32285000687227</t>
        </is>
      </c>
      <c r="BD676" t="inlineStr">
        <is>
          <t>893691349</t>
        </is>
      </c>
    </row>
    <row r="677">
      <c r="A677" t="inlineStr">
        <is>
          <t>No</t>
        </is>
      </c>
      <c r="B677" t="inlineStr">
        <is>
          <t>BT40 .S28 1989</t>
        </is>
      </c>
      <c r="C677" t="inlineStr">
        <is>
          <t>0                      BT 0040000S  28          1989</t>
        </is>
      </c>
      <c r="D677" t="inlineStr">
        <is>
          <t>Inscriptions and reflections : essays in philosophical theology / Robert P. Scharlemann.</t>
        </is>
      </c>
      <c r="F677" t="inlineStr">
        <is>
          <t>No</t>
        </is>
      </c>
      <c r="G677" t="inlineStr">
        <is>
          <t>1</t>
        </is>
      </c>
      <c r="H677" t="inlineStr">
        <is>
          <t>No</t>
        </is>
      </c>
      <c r="I677" t="inlineStr">
        <is>
          <t>No</t>
        </is>
      </c>
      <c r="J677" t="inlineStr">
        <is>
          <t>0</t>
        </is>
      </c>
      <c r="K677" t="inlineStr">
        <is>
          <t>Scharlemann, Robert P.</t>
        </is>
      </c>
      <c r="L677" t="inlineStr">
        <is>
          <t>Charlottesville : University Press of Virginia, 1989.</t>
        </is>
      </c>
      <c r="M677" t="inlineStr">
        <is>
          <t>1989</t>
        </is>
      </c>
      <c r="O677" t="inlineStr">
        <is>
          <t>eng</t>
        </is>
      </c>
      <c r="P677" t="inlineStr">
        <is>
          <t>vau</t>
        </is>
      </c>
      <c r="Q677" t="inlineStr">
        <is>
          <t>Studies in religion and culture</t>
        </is>
      </c>
      <c r="R677" t="inlineStr">
        <is>
          <t xml:space="preserve">BT </t>
        </is>
      </c>
      <c r="S677" t="n">
        <v>2</v>
      </c>
      <c r="T677" t="n">
        <v>2</v>
      </c>
      <c r="U677" t="inlineStr">
        <is>
          <t>2004-04-26</t>
        </is>
      </c>
      <c r="V677" t="inlineStr">
        <is>
          <t>2004-04-26</t>
        </is>
      </c>
      <c r="W677" t="inlineStr">
        <is>
          <t>1991-09-17</t>
        </is>
      </c>
      <c r="X677" t="inlineStr">
        <is>
          <t>1991-09-17</t>
        </is>
      </c>
      <c r="Y677" t="n">
        <v>297</v>
      </c>
      <c r="Z677" t="n">
        <v>256</v>
      </c>
      <c r="AA677" t="n">
        <v>256</v>
      </c>
      <c r="AB677" t="n">
        <v>2</v>
      </c>
      <c r="AC677" t="n">
        <v>2</v>
      </c>
      <c r="AD677" t="n">
        <v>16</v>
      </c>
      <c r="AE677" t="n">
        <v>16</v>
      </c>
      <c r="AF677" t="n">
        <v>7</v>
      </c>
      <c r="AG677" t="n">
        <v>7</v>
      </c>
      <c r="AH677" t="n">
        <v>4</v>
      </c>
      <c r="AI677" t="n">
        <v>4</v>
      </c>
      <c r="AJ677" t="n">
        <v>10</v>
      </c>
      <c r="AK677" t="n">
        <v>10</v>
      </c>
      <c r="AL677" t="n">
        <v>1</v>
      </c>
      <c r="AM677" t="n">
        <v>1</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HYPERLINK("https://creighton-primo.hosted.exlibrisgroup.com/primo-explore/search?tab=default_tab&amp;search_scope=EVERYTHING&amp;vid=01CRU&amp;lang=en_US&amp;offset=0&amp;query=any,contains,991001418479702656","Catalog Record")</f>
        <v/>
      </c>
      <c r="AT677">
        <f>HYPERLINK("http://www.worldcat.org/oclc/18960478","WorldCat Record")</f>
        <v/>
      </c>
      <c r="AU677" t="inlineStr">
        <is>
          <t>364703369:eng</t>
        </is>
      </c>
      <c r="AV677" t="inlineStr">
        <is>
          <t>18960478</t>
        </is>
      </c>
      <c r="AW677" t="inlineStr">
        <is>
          <t>991001418479702656</t>
        </is>
      </c>
      <c r="AX677" t="inlineStr">
        <is>
          <t>991001418479702656</t>
        </is>
      </c>
      <c r="AY677" t="inlineStr">
        <is>
          <t>2262508470002656</t>
        </is>
      </c>
      <c r="AZ677" t="inlineStr">
        <is>
          <t>BOOK</t>
        </is>
      </c>
      <c r="BB677" t="inlineStr">
        <is>
          <t>9780813912257</t>
        </is>
      </c>
      <c r="BC677" t="inlineStr">
        <is>
          <t>32285000703453</t>
        </is>
      </c>
      <c r="BD677" t="inlineStr">
        <is>
          <t>893432854</t>
        </is>
      </c>
    </row>
    <row r="678">
      <c r="A678" t="inlineStr">
        <is>
          <t>No</t>
        </is>
      </c>
      <c r="B678" t="inlineStr">
        <is>
          <t>BT40 .W64 1990</t>
        </is>
      </c>
      <c r="C678" t="inlineStr">
        <is>
          <t>0                      BT 0040000W  64          1990</t>
        </is>
      </c>
      <c r="D678" t="inlineStr">
        <is>
          <t>The philosophical theology of John Duns Scotus / Allan B. Wolter ; Marilyn McCord Adams, editor.</t>
        </is>
      </c>
      <c r="F678" t="inlineStr">
        <is>
          <t>No</t>
        </is>
      </c>
      <c r="G678" t="inlineStr">
        <is>
          <t>1</t>
        </is>
      </c>
      <c r="H678" t="inlineStr">
        <is>
          <t>No</t>
        </is>
      </c>
      <c r="I678" t="inlineStr">
        <is>
          <t>No</t>
        </is>
      </c>
      <c r="J678" t="inlineStr">
        <is>
          <t>0</t>
        </is>
      </c>
      <c r="K678" t="inlineStr">
        <is>
          <t>Wolter, Allan B., 1913-2006.</t>
        </is>
      </c>
      <c r="L678" t="inlineStr">
        <is>
          <t>Ithaca : Cornell University Press, 1990.</t>
        </is>
      </c>
      <c r="M678" t="inlineStr">
        <is>
          <t>1990</t>
        </is>
      </c>
      <c r="O678" t="inlineStr">
        <is>
          <t>eng</t>
        </is>
      </c>
      <c r="P678" t="inlineStr">
        <is>
          <t>nyu</t>
        </is>
      </c>
      <c r="R678" t="inlineStr">
        <is>
          <t xml:space="preserve">BT </t>
        </is>
      </c>
      <c r="S678" t="n">
        <v>7</v>
      </c>
      <c r="T678" t="n">
        <v>7</v>
      </c>
      <c r="U678" t="inlineStr">
        <is>
          <t>1998-09-13</t>
        </is>
      </c>
      <c r="V678" t="inlineStr">
        <is>
          <t>1998-09-13</t>
        </is>
      </c>
      <c r="W678" t="inlineStr">
        <is>
          <t>1991-02-12</t>
        </is>
      </c>
      <c r="X678" t="inlineStr">
        <is>
          <t>1991-02-12</t>
        </is>
      </c>
      <c r="Y678" t="n">
        <v>397</v>
      </c>
      <c r="Z678" t="n">
        <v>316</v>
      </c>
      <c r="AA678" t="n">
        <v>320</v>
      </c>
      <c r="AB678" t="n">
        <v>3</v>
      </c>
      <c r="AC678" t="n">
        <v>3</v>
      </c>
      <c r="AD678" t="n">
        <v>25</v>
      </c>
      <c r="AE678" t="n">
        <v>25</v>
      </c>
      <c r="AF678" t="n">
        <v>10</v>
      </c>
      <c r="AG678" t="n">
        <v>10</v>
      </c>
      <c r="AH678" t="n">
        <v>5</v>
      </c>
      <c r="AI678" t="n">
        <v>5</v>
      </c>
      <c r="AJ678" t="n">
        <v>16</v>
      </c>
      <c r="AK678" t="n">
        <v>16</v>
      </c>
      <c r="AL678" t="n">
        <v>2</v>
      </c>
      <c r="AM678" t="n">
        <v>2</v>
      </c>
      <c r="AN678" t="n">
        <v>0</v>
      </c>
      <c r="AO678" t="n">
        <v>0</v>
      </c>
      <c r="AP678" t="inlineStr">
        <is>
          <t>No</t>
        </is>
      </c>
      <c r="AQ678" t="inlineStr">
        <is>
          <t>Yes</t>
        </is>
      </c>
      <c r="AR678">
        <f>HYPERLINK("http://catalog.hathitrust.org/Record/002171434","HathiTrust Record")</f>
        <v/>
      </c>
      <c r="AS678">
        <f>HYPERLINK("https://creighton-primo.hosted.exlibrisgroup.com/primo-explore/search?tab=default_tab&amp;search_scope=EVERYTHING&amp;vid=01CRU&amp;lang=en_US&amp;offset=0&amp;query=any,contains,991001587369702656","Catalog Record")</f>
        <v/>
      </c>
      <c r="AT678">
        <f>HYPERLINK("http://www.worldcat.org/oclc/20560186","WorldCat Record")</f>
        <v/>
      </c>
      <c r="AU678" t="inlineStr">
        <is>
          <t>22131984:eng</t>
        </is>
      </c>
      <c r="AV678" t="inlineStr">
        <is>
          <t>20560186</t>
        </is>
      </c>
      <c r="AW678" t="inlineStr">
        <is>
          <t>991001587369702656</t>
        </is>
      </c>
      <c r="AX678" t="inlineStr">
        <is>
          <t>991001587369702656</t>
        </is>
      </c>
      <c r="AY678" t="inlineStr">
        <is>
          <t>2259345930002656</t>
        </is>
      </c>
      <c r="AZ678" t="inlineStr">
        <is>
          <t>BOOK</t>
        </is>
      </c>
      <c r="BB678" t="inlineStr">
        <is>
          <t>9780801423857</t>
        </is>
      </c>
      <c r="BC678" t="inlineStr">
        <is>
          <t>32285000464478</t>
        </is>
      </c>
      <c r="BD678" t="inlineStr">
        <is>
          <t>893608964</t>
        </is>
      </c>
    </row>
    <row r="679">
      <c r="A679" t="inlineStr">
        <is>
          <t>No</t>
        </is>
      </c>
      <c r="B679" t="inlineStr">
        <is>
          <t>BT40 .W66</t>
        </is>
      </c>
      <c r="C679" t="inlineStr">
        <is>
          <t>0                      BT 0040000W  66</t>
        </is>
      </c>
      <c r="D679" t="inlineStr">
        <is>
          <t>With all your mind : a Christian philosophy / Yandall Woodfin.</t>
        </is>
      </c>
      <c r="F679" t="inlineStr">
        <is>
          <t>No</t>
        </is>
      </c>
      <c r="G679" t="inlineStr">
        <is>
          <t>1</t>
        </is>
      </c>
      <c r="H679" t="inlineStr">
        <is>
          <t>No</t>
        </is>
      </c>
      <c r="I679" t="inlineStr">
        <is>
          <t>No</t>
        </is>
      </c>
      <c r="J679" t="inlineStr">
        <is>
          <t>0</t>
        </is>
      </c>
      <c r="K679" t="inlineStr">
        <is>
          <t>Woodfin, Yandall, 1929-</t>
        </is>
      </c>
      <c r="L679" t="inlineStr">
        <is>
          <t>Nashville, Tenn. : Abingdon, c1980.</t>
        </is>
      </c>
      <c r="M679" t="inlineStr">
        <is>
          <t>1980</t>
        </is>
      </c>
      <c r="O679" t="inlineStr">
        <is>
          <t>eng</t>
        </is>
      </c>
      <c r="P679" t="inlineStr">
        <is>
          <t>tnu</t>
        </is>
      </c>
      <c r="R679" t="inlineStr">
        <is>
          <t xml:space="preserve">BT </t>
        </is>
      </c>
      <c r="S679" t="n">
        <v>2</v>
      </c>
      <c r="T679" t="n">
        <v>2</v>
      </c>
      <c r="U679" t="inlineStr">
        <is>
          <t>1995-04-11</t>
        </is>
      </c>
      <c r="V679" t="inlineStr">
        <is>
          <t>1995-04-11</t>
        </is>
      </c>
      <c r="W679" t="inlineStr">
        <is>
          <t>1991-06-19</t>
        </is>
      </c>
      <c r="X679" t="inlineStr">
        <is>
          <t>1991-06-19</t>
        </is>
      </c>
      <c r="Y679" t="n">
        <v>238</v>
      </c>
      <c r="Z679" t="n">
        <v>214</v>
      </c>
      <c r="AA679" t="n">
        <v>221</v>
      </c>
      <c r="AB679" t="n">
        <v>3</v>
      </c>
      <c r="AC679" t="n">
        <v>3</v>
      </c>
      <c r="AD679" t="n">
        <v>9</v>
      </c>
      <c r="AE679" t="n">
        <v>9</v>
      </c>
      <c r="AF679" t="n">
        <v>4</v>
      </c>
      <c r="AG679" t="n">
        <v>4</v>
      </c>
      <c r="AH679" t="n">
        <v>1</v>
      </c>
      <c r="AI679" t="n">
        <v>1</v>
      </c>
      <c r="AJ679" t="n">
        <v>4</v>
      </c>
      <c r="AK679" t="n">
        <v>4</v>
      </c>
      <c r="AL679" t="n">
        <v>1</v>
      </c>
      <c r="AM679" t="n">
        <v>1</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HYPERLINK("https://creighton-primo.hosted.exlibrisgroup.com/primo-explore/search?tab=default_tab&amp;search_scope=EVERYTHING&amp;vid=01CRU&amp;lang=en_US&amp;offset=0&amp;query=any,contains,991005048149702656","Catalog Record")</f>
        <v/>
      </c>
      <c r="AT679">
        <f>HYPERLINK("http://www.worldcat.org/oclc/6861856","WorldCat Record")</f>
        <v/>
      </c>
      <c r="AU679" t="inlineStr">
        <is>
          <t>23924499:eng</t>
        </is>
      </c>
      <c r="AV679" t="inlineStr">
        <is>
          <t>6861856</t>
        </is>
      </c>
      <c r="AW679" t="inlineStr">
        <is>
          <t>991005048149702656</t>
        </is>
      </c>
      <c r="AX679" t="inlineStr">
        <is>
          <t>991005048149702656</t>
        </is>
      </c>
      <c r="AY679" t="inlineStr">
        <is>
          <t>2272818620002656</t>
        </is>
      </c>
      <c r="AZ679" t="inlineStr">
        <is>
          <t>BOOK</t>
        </is>
      </c>
      <c r="BB679" t="inlineStr">
        <is>
          <t>9780687458394</t>
        </is>
      </c>
      <c r="BC679" t="inlineStr">
        <is>
          <t>32285000687284</t>
        </is>
      </c>
      <c r="BD679" t="inlineStr">
        <is>
          <t>893902029</t>
        </is>
      </c>
    </row>
    <row r="680">
      <c r="A680" t="inlineStr">
        <is>
          <t>No</t>
        </is>
      </c>
      <c r="B680" t="inlineStr">
        <is>
          <t>BT400 .H68 1987</t>
        </is>
      </c>
      <c r="C680" t="inlineStr">
        <is>
          <t>0                      BT 0400000H  68          1987</t>
        </is>
      </c>
      <c r="D680" t="inlineStr">
        <is>
          <t>Backward into light : the passion and resurrection of Jesus according to Matthew and Mark / J.L. Houlden.</t>
        </is>
      </c>
      <c r="F680" t="inlineStr">
        <is>
          <t>No</t>
        </is>
      </c>
      <c r="G680" t="inlineStr">
        <is>
          <t>1</t>
        </is>
      </c>
      <c r="H680" t="inlineStr">
        <is>
          <t>No</t>
        </is>
      </c>
      <c r="I680" t="inlineStr">
        <is>
          <t>No</t>
        </is>
      </c>
      <c r="J680" t="inlineStr">
        <is>
          <t>0</t>
        </is>
      </c>
      <c r="K680" t="inlineStr">
        <is>
          <t>Houlden, J. L. (James Leslie)</t>
        </is>
      </c>
      <c r="L680" t="inlineStr">
        <is>
          <t>London : SCM, 1987.</t>
        </is>
      </c>
      <c r="M680" t="inlineStr">
        <is>
          <t>1987</t>
        </is>
      </c>
      <c r="O680" t="inlineStr">
        <is>
          <t>eng</t>
        </is>
      </c>
      <c r="P680" t="inlineStr">
        <is>
          <t>enk</t>
        </is>
      </c>
      <c r="R680" t="inlineStr">
        <is>
          <t xml:space="preserve">BT </t>
        </is>
      </c>
      <c r="S680" t="n">
        <v>9</v>
      </c>
      <c r="T680" t="n">
        <v>9</v>
      </c>
      <c r="U680" t="inlineStr">
        <is>
          <t>2004-10-14</t>
        </is>
      </c>
      <c r="V680" t="inlineStr">
        <is>
          <t>2004-10-14</t>
        </is>
      </c>
      <c r="W680" t="inlineStr">
        <is>
          <t>1991-08-22</t>
        </is>
      </c>
      <c r="X680" t="inlineStr">
        <is>
          <t>1991-08-22</t>
        </is>
      </c>
      <c r="Y680" t="n">
        <v>202</v>
      </c>
      <c r="Z680" t="n">
        <v>130</v>
      </c>
      <c r="AA680" t="n">
        <v>136</v>
      </c>
      <c r="AB680" t="n">
        <v>1</v>
      </c>
      <c r="AC680" t="n">
        <v>1</v>
      </c>
      <c r="AD680" t="n">
        <v>8</v>
      </c>
      <c r="AE680" t="n">
        <v>8</v>
      </c>
      <c r="AF680" t="n">
        <v>3</v>
      </c>
      <c r="AG680" t="n">
        <v>3</v>
      </c>
      <c r="AH680" t="n">
        <v>2</v>
      </c>
      <c r="AI680" t="n">
        <v>2</v>
      </c>
      <c r="AJ680" t="n">
        <v>5</v>
      </c>
      <c r="AK680" t="n">
        <v>5</v>
      </c>
      <c r="AL680" t="n">
        <v>0</v>
      </c>
      <c r="AM680" t="n">
        <v>0</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HYPERLINK("https://creighton-primo.hosted.exlibrisgroup.com/primo-explore/search?tab=default_tab&amp;search_scope=EVERYTHING&amp;vid=01CRU&amp;lang=en_US&amp;offset=0&amp;query=any,contains,991000999949702656","Catalog Record")</f>
        <v/>
      </c>
      <c r="AT680">
        <f>HYPERLINK("http://www.worldcat.org/oclc/15196813","WorldCat Record")</f>
        <v/>
      </c>
      <c r="AU680" t="inlineStr">
        <is>
          <t>836706501:eng</t>
        </is>
      </c>
      <c r="AV680" t="inlineStr">
        <is>
          <t>15196813</t>
        </is>
      </c>
      <c r="AW680" t="inlineStr">
        <is>
          <t>991000999949702656</t>
        </is>
      </c>
      <c r="AX680" t="inlineStr">
        <is>
          <t>991000999949702656</t>
        </is>
      </c>
      <c r="AY680" t="inlineStr">
        <is>
          <t>2259879460002656</t>
        </is>
      </c>
      <c r="AZ680" t="inlineStr">
        <is>
          <t>BOOK</t>
        </is>
      </c>
      <c r="BB680" t="inlineStr">
        <is>
          <t>9780334000679</t>
        </is>
      </c>
      <c r="BC680" t="inlineStr">
        <is>
          <t>32285000745280</t>
        </is>
      </c>
      <c r="BD680" t="inlineStr">
        <is>
          <t>893715081</t>
        </is>
      </c>
    </row>
    <row r="681">
      <c r="A681" t="inlineStr">
        <is>
          <t>No</t>
        </is>
      </c>
      <c r="B681" t="inlineStr">
        <is>
          <t>BT410 .W55 1986</t>
        </is>
      </c>
      <c r="C681" t="inlineStr">
        <is>
          <t>0                      BT 0410000W  55          1986</t>
        </is>
      </c>
      <c r="D681" t="inlineStr">
        <is>
          <t>His face shone like the sun : encountering the transfigured Christ in Scripture / by Robert Wild.</t>
        </is>
      </c>
      <c r="F681" t="inlineStr">
        <is>
          <t>No</t>
        </is>
      </c>
      <c r="G681" t="inlineStr">
        <is>
          <t>1</t>
        </is>
      </c>
      <c r="H681" t="inlineStr">
        <is>
          <t>No</t>
        </is>
      </c>
      <c r="I681" t="inlineStr">
        <is>
          <t>No</t>
        </is>
      </c>
      <c r="J681" t="inlineStr">
        <is>
          <t>0</t>
        </is>
      </c>
      <c r="K681" t="inlineStr">
        <is>
          <t>Wild, Robert A., 1936-</t>
        </is>
      </c>
      <c r="L681" t="inlineStr">
        <is>
          <t>New York, N.Y. : Alba House, c1986.</t>
        </is>
      </c>
      <c r="M681" t="inlineStr">
        <is>
          <t>1986</t>
        </is>
      </c>
      <c r="O681" t="inlineStr">
        <is>
          <t>eng</t>
        </is>
      </c>
      <c r="P681" t="inlineStr">
        <is>
          <t>nyu</t>
        </is>
      </c>
      <c r="R681" t="inlineStr">
        <is>
          <t xml:space="preserve">BT </t>
        </is>
      </c>
      <c r="S681" t="n">
        <v>9</v>
      </c>
      <c r="T681" t="n">
        <v>9</v>
      </c>
      <c r="U681" t="inlineStr">
        <is>
          <t>2002-10-17</t>
        </is>
      </c>
      <c r="V681" t="inlineStr">
        <is>
          <t>2002-10-17</t>
        </is>
      </c>
      <c r="W681" t="inlineStr">
        <is>
          <t>1991-08-22</t>
        </is>
      </c>
      <c r="X681" t="inlineStr">
        <is>
          <t>1991-08-22</t>
        </is>
      </c>
      <c r="Y681" t="n">
        <v>53</v>
      </c>
      <c r="Z681" t="n">
        <v>43</v>
      </c>
      <c r="AA681" t="n">
        <v>43</v>
      </c>
      <c r="AB681" t="n">
        <v>1</v>
      </c>
      <c r="AC681" t="n">
        <v>1</v>
      </c>
      <c r="AD681" t="n">
        <v>6</v>
      </c>
      <c r="AE681" t="n">
        <v>6</v>
      </c>
      <c r="AF681" t="n">
        <v>0</v>
      </c>
      <c r="AG681" t="n">
        <v>0</v>
      </c>
      <c r="AH681" t="n">
        <v>3</v>
      </c>
      <c r="AI681" t="n">
        <v>3</v>
      </c>
      <c r="AJ681" t="n">
        <v>3</v>
      </c>
      <c r="AK681" t="n">
        <v>3</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HYPERLINK("https://creighton-primo.hosted.exlibrisgroup.com/primo-explore/search?tab=default_tab&amp;search_scope=EVERYTHING&amp;vid=01CRU&amp;lang=en_US&amp;offset=0&amp;query=any,contains,991000837499702656","Catalog Record")</f>
        <v/>
      </c>
      <c r="AT681">
        <f>HYPERLINK("http://www.worldcat.org/oclc/13498895","WorldCat Record")</f>
        <v/>
      </c>
      <c r="AU681" t="inlineStr">
        <is>
          <t>7963247:eng</t>
        </is>
      </c>
      <c r="AV681" t="inlineStr">
        <is>
          <t>13498895</t>
        </is>
      </c>
      <c r="AW681" t="inlineStr">
        <is>
          <t>991000837499702656</t>
        </is>
      </c>
      <c r="AX681" t="inlineStr">
        <is>
          <t>991000837499702656</t>
        </is>
      </c>
      <c r="AY681" t="inlineStr">
        <is>
          <t>2263865750002656</t>
        </is>
      </c>
      <c r="AZ681" t="inlineStr">
        <is>
          <t>BOOK</t>
        </is>
      </c>
      <c r="BB681" t="inlineStr">
        <is>
          <t>9780818905018</t>
        </is>
      </c>
      <c r="BC681" t="inlineStr">
        <is>
          <t>32285000745298</t>
        </is>
      </c>
      <c r="BD681" t="inlineStr">
        <is>
          <t>893255779</t>
        </is>
      </c>
    </row>
    <row r="682">
      <c r="A682" t="inlineStr">
        <is>
          <t>No</t>
        </is>
      </c>
      <c r="B682" t="inlineStr">
        <is>
          <t>BT414 .R813</t>
        </is>
      </c>
      <c r="C682" t="inlineStr">
        <is>
          <t>0                      BT 0414000R  813</t>
        </is>
      </c>
      <c r="D682" t="inlineStr">
        <is>
          <t>Chronology of the last days of Jesus ; a critical study / Eugen Ruckstuhl ; translated from the German by Victor J. Drapela.</t>
        </is>
      </c>
      <c r="F682" t="inlineStr">
        <is>
          <t>No</t>
        </is>
      </c>
      <c r="G682" t="inlineStr">
        <is>
          <t>1</t>
        </is>
      </c>
      <c r="H682" t="inlineStr">
        <is>
          <t>No</t>
        </is>
      </c>
      <c r="I682" t="inlineStr">
        <is>
          <t>No</t>
        </is>
      </c>
      <c r="J682" t="inlineStr">
        <is>
          <t>0</t>
        </is>
      </c>
      <c r="K682" t="inlineStr">
        <is>
          <t>Ruckstuhl, Eugen.</t>
        </is>
      </c>
      <c r="L682" t="inlineStr">
        <is>
          <t>New York ; Tournai : Desclee Co., c1965.</t>
        </is>
      </c>
      <c r="M682" t="inlineStr">
        <is>
          <t>1965</t>
        </is>
      </c>
      <c r="O682" t="inlineStr">
        <is>
          <t>eng</t>
        </is>
      </c>
      <c r="P682" t="inlineStr">
        <is>
          <t>nyu</t>
        </is>
      </c>
      <c r="R682" t="inlineStr">
        <is>
          <t xml:space="preserve">BT </t>
        </is>
      </c>
      <c r="S682" t="n">
        <v>1</v>
      </c>
      <c r="T682" t="n">
        <v>1</v>
      </c>
      <c r="U682" t="inlineStr">
        <is>
          <t>1992-03-16</t>
        </is>
      </c>
      <c r="V682" t="inlineStr">
        <is>
          <t>1992-03-16</t>
        </is>
      </c>
      <c r="W682" t="inlineStr">
        <is>
          <t>1990-02-09</t>
        </is>
      </c>
      <c r="X682" t="inlineStr">
        <is>
          <t>1990-02-09</t>
        </is>
      </c>
      <c r="Y682" t="n">
        <v>260</v>
      </c>
      <c r="Z682" t="n">
        <v>231</v>
      </c>
      <c r="AA682" t="n">
        <v>231</v>
      </c>
      <c r="AB682" t="n">
        <v>2</v>
      </c>
      <c r="AC682" t="n">
        <v>2</v>
      </c>
      <c r="AD682" t="n">
        <v>24</v>
      </c>
      <c r="AE682" t="n">
        <v>24</v>
      </c>
      <c r="AF682" t="n">
        <v>10</v>
      </c>
      <c r="AG682" t="n">
        <v>10</v>
      </c>
      <c r="AH682" t="n">
        <v>6</v>
      </c>
      <c r="AI682" t="n">
        <v>6</v>
      </c>
      <c r="AJ682" t="n">
        <v>16</v>
      </c>
      <c r="AK682" t="n">
        <v>16</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HYPERLINK("https://creighton-primo.hosted.exlibrisgroup.com/primo-explore/search?tab=default_tab&amp;search_scope=EVERYTHING&amp;vid=01CRU&amp;lang=en_US&amp;offset=0&amp;query=any,contains,991003945129702656","Catalog Record")</f>
        <v/>
      </c>
      <c r="AT682">
        <f>HYPERLINK("http://www.worldcat.org/oclc/1945030","WorldCat Record")</f>
        <v/>
      </c>
      <c r="AU682" t="inlineStr">
        <is>
          <t>365596944:eng</t>
        </is>
      </c>
      <c r="AV682" t="inlineStr">
        <is>
          <t>1945030</t>
        </is>
      </c>
      <c r="AW682" t="inlineStr">
        <is>
          <t>991003945129702656</t>
        </is>
      </c>
      <c r="AX682" t="inlineStr">
        <is>
          <t>991003945129702656</t>
        </is>
      </c>
      <c r="AY682" t="inlineStr">
        <is>
          <t>2265017270002656</t>
        </is>
      </c>
      <c r="AZ682" t="inlineStr">
        <is>
          <t>BOOK</t>
        </is>
      </c>
      <c r="BC682" t="inlineStr">
        <is>
          <t>32285000035005</t>
        </is>
      </c>
      <c r="BD682" t="inlineStr">
        <is>
          <t>893705811</t>
        </is>
      </c>
    </row>
    <row r="683">
      <c r="A683" t="inlineStr">
        <is>
          <t>No</t>
        </is>
      </c>
      <c r="B683" t="inlineStr">
        <is>
          <t>BT420 .B3</t>
        </is>
      </c>
      <c r="C683" t="inlineStr">
        <is>
          <t>0                      BT 0420000B  3</t>
        </is>
      </c>
      <c r="D683" t="inlineStr">
        <is>
          <t>The Dead Sea people's sacred meal and Jesus' Last Supper / Leonard F. Badia.</t>
        </is>
      </c>
      <c r="F683" t="inlineStr">
        <is>
          <t>No</t>
        </is>
      </c>
      <c r="G683" t="inlineStr">
        <is>
          <t>1</t>
        </is>
      </c>
      <c r="H683" t="inlineStr">
        <is>
          <t>No</t>
        </is>
      </c>
      <c r="I683" t="inlineStr">
        <is>
          <t>No</t>
        </is>
      </c>
      <c r="J683" t="inlineStr">
        <is>
          <t>0</t>
        </is>
      </c>
      <c r="K683" t="inlineStr">
        <is>
          <t>Badia, Leonard F.</t>
        </is>
      </c>
      <c r="L683" t="inlineStr">
        <is>
          <t>Washington : University Press of America, c1979.</t>
        </is>
      </c>
      <c r="M683" t="inlineStr">
        <is>
          <t>1979</t>
        </is>
      </c>
      <c r="O683" t="inlineStr">
        <is>
          <t>eng</t>
        </is>
      </c>
      <c r="P683" t="inlineStr">
        <is>
          <t>dcu</t>
        </is>
      </c>
      <c r="R683" t="inlineStr">
        <is>
          <t xml:space="preserve">BT </t>
        </is>
      </c>
      <c r="S683" t="n">
        <v>8</v>
      </c>
      <c r="T683" t="n">
        <v>8</v>
      </c>
      <c r="U683" t="inlineStr">
        <is>
          <t>1996-11-09</t>
        </is>
      </c>
      <c r="V683" t="inlineStr">
        <is>
          <t>1996-11-09</t>
        </is>
      </c>
      <c r="W683" t="inlineStr">
        <is>
          <t>1991-08-22</t>
        </is>
      </c>
      <c r="X683" t="inlineStr">
        <is>
          <t>1991-08-22</t>
        </is>
      </c>
      <c r="Y683" t="n">
        <v>138</v>
      </c>
      <c r="Z683" t="n">
        <v>127</v>
      </c>
      <c r="AA683" t="n">
        <v>127</v>
      </c>
      <c r="AB683" t="n">
        <v>1</v>
      </c>
      <c r="AC683" t="n">
        <v>1</v>
      </c>
      <c r="AD683" t="n">
        <v>6</v>
      </c>
      <c r="AE683" t="n">
        <v>6</v>
      </c>
      <c r="AF683" t="n">
        <v>4</v>
      </c>
      <c r="AG683" t="n">
        <v>4</v>
      </c>
      <c r="AH683" t="n">
        <v>0</v>
      </c>
      <c r="AI683" t="n">
        <v>0</v>
      </c>
      <c r="AJ683" t="n">
        <v>6</v>
      </c>
      <c r="AK683" t="n">
        <v>6</v>
      </c>
      <c r="AL683" t="n">
        <v>0</v>
      </c>
      <c r="AM683" t="n">
        <v>0</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HYPERLINK("https://creighton-primo.hosted.exlibrisgroup.com/primo-explore/search?tab=default_tab&amp;search_scope=EVERYTHING&amp;vid=01CRU&amp;lang=en_US&amp;offset=0&amp;query=any,contains,991004891439702656","Catalog Record")</f>
        <v/>
      </c>
      <c r="AT683">
        <f>HYPERLINK("http://www.worldcat.org/oclc/5878187","WorldCat Record")</f>
        <v/>
      </c>
      <c r="AU683" t="inlineStr">
        <is>
          <t>20048371:eng</t>
        </is>
      </c>
      <c r="AV683" t="inlineStr">
        <is>
          <t>5878187</t>
        </is>
      </c>
      <c r="AW683" t="inlineStr">
        <is>
          <t>991004891439702656</t>
        </is>
      </c>
      <c r="AX683" t="inlineStr">
        <is>
          <t>991004891439702656</t>
        </is>
      </c>
      <c r="AY683" t="inlineStr">
        <is>
          <t>2264326730002656</t>
        </is>
      </c>
      <c r="AZ683" t="inlineStr">
        <is>
          <t>BOOK</t>
        </is>
      </c>
      <c r="BB683" t="inlineStr">
        <is>
          <t>9780819108074</t>
        </is>
      </c>
      <c r="BC683" t="inlineStr">
        <is>
          <t>32285000745306</t>
        </is>
      </c>
      <c r="BD683" t="inlineStr">
        <is>
          <t>893418116</t>
        </is>
      </c>
    </row>
    <row r="684">
      <c r="A684" t="inlineStr">
        <is>
          <t>No</t>
        </is>
      </c>
      <c r="B684" t="inlineStr">
        <is>
          <t>BT420 .B3613</t>
        </is>
      </c>
      <c r="C684" t="inlineStr">
        <is>
          <t>0                      BT 0420000B  3613</t>
        </is>
      </c>
      <c r="D684" t="inlineStr">
        <is>
          <t>The last discourse of Jesus [by] G.M.Behler. With a foreword by F.M.Braun. [Translated from the French by Robert T.Francouer]</t>
        </is>
      </c>
      <c r="F684" t="inlineStr">
        <is>
          <t>No</t>
        </is>
      </c>
      <c r="G684" t="inlineStr">
        <is>
          <t>1</t>
        </is>
      </c>
      <c r="H684" t="inlineStr">
        <is>
          <t>No</t>
        </is>
      </c>
      <c r="I684" t="inlineStr">
        <is>
          <t>No</t>
        </is>
      </c>
      <c r="J684" t="inlineStr">
        <is>
          <t>0</t>
        </is>
      </c>
      <c r="K684" t="inlineStr">
        <is>
          <t>Behler, G. M. (Gebhard Maria)</t>
        </is>
      </c>
      <c r="L684" t="inlineStr">
        <is>
          <t>Baltimore, Helicon [1965]</t>
        </is>
      </c>
      <c r="M684" t="inlineStr">
        <is>
          <t>1965</t>
        </is>
      </c>
      <c r="O684" t="inlineStr">
        <is>
          <t>eng</t>
        </is>
      </c>
      <c r="P684" t="inlineStr">
        <is>
          <t>___</t>
        </is>
      </c>
      <c r="R684" t="inlineStr">
        <is>
          <t xml:space="preserve">BT </t>
        </is>
      </c>
      <c r="S684" t="n">
        <v>6</v>
      </c>
      <c r="T684" t="n">
        <v>6</v>
      </c>
      <c r="U684" t="inlineStr">
        <is>
          <t>2001-04-03</t>
        </is>
      </c>
      <c r="V684" t="inlineStr">
        <is>
          <t>2001-04-03</t>
        </is>
      </c>
      <c r="W684" t="inlineStr">
        <is>
          <t>1991-08-22</t>
        </is>
      </c>
      <c r="X684" t="inlineStr">
        <is>
          <t>1991-08-22</t>
        </is>
      </c>
      <c r="Y684" t="n">
        <v>199</v>
      </c>
      <c r="Z684" t="n">
        <v>164</v>
      </c>
      <c r="AA684" t="n">
        <v>165</v>
      </c>
      <c r="AB684" t="n">
        <v>1</v>
      </c>
      <c r="AC684" t="n">
        <v>1</v>
      </c>
      <c r="AD684" t="n">
        <v>18</v>
      </c>
      <c r="AE684" t="n">
        <v>18</v>
      </c>
      <c r="AF684" t="n">
        <v>4</v>
      </c>
      <c r="AG684" t="n">
        <v>4</v>
      </c>
      <c r="AH684" t="n">
        <v>5</v>
      </c>
      <c r="AI684" t="n">
        <v>5</v>
      </c>
      <c r="AJ684" t="n">
        <v>14</v>
      </c>
      <c r="AK684" t="n">
        <v>14</v>
      </c>
      <c r="AL684" t="n">
        <v>0</v>
      </c>
      <c r="AM684" t="n">
        <v>0</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HYPERLINK("https://creighton-primo.hosted.exlibrisgroup.com/primo-explore/search?tab=default_tab&amp;search_scope=EVERYTHING&amp;vid=01CRU&amp;lang=en_US&amp;offset=0&amp;query=any,contains,991002668859702656","Catalog Record")</f>
        <v/>
      </c>
      <c r="AT684">
        <f>HYPERLINK("http://www.worldcat.org/oclc/394454","WorldCat Record")</f>
        <v/>
      </c>
      <c r="AU684" t="inlineStr">
        <is>
          <t>10567291130:eng</t>
        </is>
      </c>
      <c r="AV684" t="inlineStr">
        <is>
          <t>394454</t>
        </is>
      </c>
      <c r="AW684" t="inlineStr">
        <is>
          <t>991002668859702656</t>
        </is>
      </c>
      <c r="AX684" t="inlineStr">
        <is>
          <t>991002668859702656</t>
        </is>
      </c>
      <c r="AY684" t="inlineStr">
        <is>
          <t>2260047290002656</t>
        </is>
      </c>
      <c r="AZ684" t="inlineStr">
        <is>
          <t>BOOK</t>
        </is>
      </c>
      <c r="BC684" t="inlineStr">
        <is>
          <t>32285000745314</t>
        </is>
      </c>
      <c r="BD684" t="inlineStr">
        <is>
          <t>893347775</t>
        </is>
      </c>
    </row>
    <row r="685">
      <c r="A685" t="inlineStr">
        <is>
          <t>No</t>
        </is>
      </c>
      <c r="B685" t="inlineStr">
        <is>
          <t>BT420 .P4</t>
        </is>
      </c>
      <c r="C685" t="inlineStr">
        <is>
          <t>0                      BT 0420000P  4</t>
        </is>
      </c>
      <c r="D685" t="inlineStr">
        <is>
          <t>Das Abendmahl und Jesu Todesverständnis / Rudolf Pesch.</t>
        </is>
      </c>
      <c r="F685" t="inlineStr">
        <is>
          <t>No</t>
        </is>
      </c>
      <c r="G685" t="inlineStr">
        <is>
          <t>1</t>
        </is>
      </c>
      <c r="H685" t="inlineStr">
        <is>
          <t>No</t>
        </is>
      </c>
      <c r="I685" t="inlineStr">
        <is>
          <t>No</t>
        </is>
      </c>
      <c r="J685" t="inlineStr">
        <is>
          <t>0</t>
        </is>
      </c>
      <c r="K685" t="inlineStr">
        <is>
          <t>Pesch, Rudolf, 1936-2011.</t>
        </is>
      </c>
      <c r="L685" t="inlineStr">
        <is>
          <t>Freiburg : Herder, c1978.</t>
        </is>
      </c>
      <c r="M685" t="inlineStr">
        <is>
          <t>1978</t>
        </is>
      </c>
      <c r="O685" t="inlineStr">
        <is>
          <t>ger</t>
        </is>
      </c>
      <c r="P685" t="inlineStr">
        <is>
          <t xml:space="preserve">gw </t>
        </is>
      </c>
      <c r="Q685" t="inlineStr">
        <is>
          <t>Quaestiones disputatae ; 80</t>
        </is>
      </c>
      <c r="R685" t="inlineStr">
        <is>
          <t xml:space="preserve">BT </t>
        </is>
      </c>
      <c r="S685" t="n">
        <v>0</v>
      </c>
      <c r="T685" t="n">
        <v>0</v>
      </c>
      <c r="U685" t="inlineStr">
        <is>
          <t>2003-05-01</t>
        </is>
      </c>
      <c r="V685" t="inlineStr">
        <is>
          <t>2003-05-01</t>
        </is>
      </c>
      <c r="W685" t="inlineStr">
        <is>
          <t>1991-08-22</t>
        </is>
      </c>
      <c r="X685" t="inlineStr">
        <is>
          <t>1991-08-22</t>
        </is>
      </c>
      <c r="Y685" t="n">
        <v>121</v>
      </c>
      <c r="Z685" t="n">
        <v>59</v>
      </c>
      <c r="AA685" t="n">
        <v>60</v>
      </c>
      <c r="AB685" t="n">
        <v>1</v>
      </c>
      <c r="AC685" t="n">
        <v>1</v>
      </c>
      <c r="AD685" t="n">
        <v>9</v>
      </c>
      <c r="AE685" t="n">
        <v>9</v>
      </c>
      <c r="AF685" t="n">
        <v>0</v>
      </c>
      <c r="AG685" t="n">
        <v>0</v>
      </c>
      <c r="AH685" t="n">
        <v>3</v>
      </c>
      <c r="AI685" t="n">
        <v>3</v>
      </c>
      <c r="AJ685" t="n">
        <v>7</v>
      </c>
      <c r="AK685" t="n">
        <v>7</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HYPERLINK("https://creighton-primo.hosted.exlibrisgroup.com/primo-explore/search?tab=default_tab&amp;search_scope=EVERYTHING&amp;vid=01CRU&amp;lang=en_US&amp;offset=0&amp;query=any,contains,991004698209702656","Catalog Record")</f>
        <v/>
      </c>
      <c r="AT685">
        <f>HYPERLINK("http://www.worldcat.org/oclc/4654692","WorldCat Record")</f>
        <v/>
      </c>
      <c r="AU685" t="inlineStr">
        <is>
          <t>771459767:ger</t>
        </is>
      </c>
      <c r="AV685" t="inlineStr">
        <is>
          <t>4654692</t>
        </is>
      </c>
      <c r="AW685" t="inlineStr">
        <is>
          <t>991004698209702656</t>
        </is>
      </c>
      <c r="AX685" t="inlineStr">
        <is>
          <t>991004698209702656</t>
        </is>
      </c>
      <c r="AY685" t="inlineStr">
        <is>
          <t>2255948440002656</t>
        </is>
      </c>
      <c r="AZ685" t="inlineStr">
        <is>
          <t>BOOK</t>
        </is>
      </c>
      <c r="BB685" t="inlineStr">
        <is>
          <t>9783451020803</t>
        </is>
      </c>
      <c r="BC685" t="inlineStr">
        <is>
          <t>32285000745322</t>
        </is>
      </c>
      <c r="BD685" t="inlineStr">
        <is>
          <t>893895363</t>
        </is>
      </c>
    </row>
    <row r="686">
      <c r="A686" t="inlineStr">
        <is>
          <t>No</t>
        </is>
      </c>
      <c r="B686" t="inlineStr">
        <is>
          <t>BT430 .G64 1960</t>
        </is>
      </c>
      <c r="C686" t="inlineStr">
        <is>
          <t>0                      BT 0430000G  64          1960</t>
        </is>
      </c>
      <c r="D686" t="inlineStr">
        <is>
          <t>The last hours of Jesus / Ralph Gorman.</t>
        </is>
      </c>
      <c r="F686" t="inlineStr">
        <is>
          <t>No</t>
        </is>
      </c>
      <c r="G686" t="inlineStr">
        <is>
          <t>1</t>
        </is>
      </c>
      <c r="H686" t="inlineStr">
        <is>
          <t>No</t>
        </is>
      </c>
      <c r="I686" t="inlineStr">
        <is>
          <t>No</t>
        </is>
      </c>
      <c r="J686" t="inlineStr">
        <is>
          <t>0</t>
        </is>
      </c>
      <c r="K686" t="inlineStr">
        <is>
          <t>Gorman, Ralph.</t>
        </is>
      </c>
      <c r="L686" t="inlineStr">
        <is>
          <t>New York : Sheed &amp; Ward, [1960]</t>
        </is>
      </c>
      <c r="M686" t="inlineStr">
        <is>
          <t>1960</t>
        </is>
      </c>
      <c r="O686" t="inlineStr">
        <is>
          <t>eng</t>
        </is>
      </c>
      <c r="P686" t="inlineStr">
        <is>
          <t>nyu</t>
        </is>
      </c>
      <c r="R686" t="inlineStr">
        <is>
          <t xml:space="preserve">BT </t>
        </is>
      </c>
      <c r="S686" t="n">
        <v>8</v>
      </c>
      <c r="T686" t="n">
        <v>8</v>
      </c>
      <c r="U686" t="inlineStr">
        <is>
          <t>1996-02-22</t>
        </is>
      </c>
      <c r="V686" t="inlineStr">
        <is>
          <t>1996-02-22</t>
        </is>
      </c>
      <c r="W686" t="inlineStr">
        <is>
          <t>1990-02-09</t>
        </is>
      </c>
      <c r="X686" t="inlineStr">
        <is>
          <t>1990-02-09</t>
        </is>
      </c>
      <c r="Y686" t="n">
        <v>294</v>
      </c>
      <c r="Z686" t="n">
        <v>265</v>
      </c>
      <c r="AA686" t="n">
        <v>296</v>
      </c>
      <c r="AB686" t="n">
        <v>3</v>
      </c>
      <c r="AC686" t="n">
        <v>3</v>
      </c>
      <c r="AD686" t="n">
        <v>33</v>
      </c>
      <c r="AE686" t="n">
        <v>33</v>
      </c>
      <c r="AF686" t="n">
        <v>11</v>
      </c>
      <c r="AG686" t="n">
        <v>11</v>
      </c>
      <c r="AH686" t="n">
        <v>8</v>
      </c>
      <c r="AI686" t="n">
        <v>8</v>
      </c>
      <c r="AJ686" t="n">
        <v>26</v>
      </c>
      <c r="AK686" t="n">
        <v>26</v>
      </c>
      <c r="AL686" t="n">
        <v>1</v>
      </c>
      <c r="AM686" t="n">
        <v>1</v>
      </c>
      <c r="AN686" t="n">
        <v>0</v>
      </c>
      <c r="AO686" t="n">
        <v>0</v>
      </c>
      <c r="AP686" t="inlineStr">
        <is>
          <t>No</t>
        </is>
      </c>
      <c r="AQ686" t="inlineStr">
        <is>
          <t>Yes</t>
        </is>
      </c>
      <c r="AR686">
        <f>HYPERLINK("http://catalog.hathitrust.org/Record/100895147","HathiTrust Record")</f>
        <v/>
      </c>
      <c r="AS686">
        <f>HYPERLINK("https://creighton-primo.hosted.exlibrisgroup.com/primo-explore/search?tab=default_tab&amp;search_scope=EVERYTHING&amp;vid=01CRU&amp;lang=en_US&amp;offset=0&amp;query=any,contains,991003139239702656","Catalog Record")</f>
        <v/>
      </c>
      <c r="AT686">
        <f>HYPERLINK("http://www.worldcat.org/oclc/681023","WorldCat Record")</f>
        <v/>
      </c>
      <c r="AU686" t="inlineStr">
        <is>
          <t>1752314:eng</t>
        </is>
      </c>
      <c r="AV686" t="inlineStr">
        <is>
          <t>681023</t>
        </is>
      </c>
      <c r="AW686" t="inlineStr">
        <is>
          <t>991003139239702656</t>
        </is>
      </c>
      <c r="AX686" t="inlineStr">
        <is>
          <t>991003139239702656</t>
        </is>
      </c>
      <c r="AY686" t="inlineStr">
        <is>
          <t>2268538010002656</t>
        </is>
      </c>
      <c r="AZ686" t="inlineStr">
        <is>
          <t>BOOK</t>
        </is>
      </c>
      <c r="BC686" t="inlineStr">
        <is>
          <t>32285000045012</t>
        </is>
      </c>
      <c r="BD686" t="inlineStr">
        <is>
          <t>893868132</t>
        </is>
      </c>
    </row>
    <row r="687">
      <c r="A687" t="inlineStr">
        <is>
          <t>No</t>
        </is>
      </c>
      <c r="B687" t="inlineStr">
        <is>
          <t>BT430 .L18 1923</t>
        </is>
      </c>
      <c r="C687" t="inlineStr">
        <is>
          <t>0                      BT 0430000L  18          1923</t>
        </is>
      </c>
      <c r="D687" t="inlineStr">
        <is>
          <t>The passion of Our Lord / by His Eminence Gaetano cardinal de Lai ; translated from the Italian by His Eminence William cardinal O'Connell.</t>
        </is>
      </c>
      <c r="F687" t="inlineStr">
        <is>
          <t>No</t>
        </is>
      </c>
      <c r="G687" t="inlineStr">
        <is>
          <t>1</t>
        </is>
      </c>
      <c r="H687" t="inlineStr">
        <is>
          <t>No</t>
        </is>
      </c>
      <c r="I687" t="inlineStr">
        <is>
          <t>No</t>
        </is>
      </c>
      <c r="J687" t="inlineStr">
        <is>
          <t>0</t>
        </is>
      </c>
      <c r="K687" t="inlineStr">
        <is>
          <t>Lai, Gaetano de, 1853-1928.</t>
        </is>
      </c>
      <c r="L687" t="inlineStr">
        <is>
          <t>Boston : The Pilot Publishing Company, c1923, 1938 printing.</t>
        </is>
      </c>
      <c r="M687" t="inlineStr">
        <is>
          <t>1923</t>
        </is>
      </c>
      <c r="O687" t="inlineStr">
        <is>
          <t>eng</t>
        </is>
      </c>
      <c r="P687" t="inlineStr">
        <is>
          <t>mau</t>
        </is>
      </c>
      <c r="R687" t="inlineStr">
        <is>
          <t xml:space="preserve">BT </t>
        </is>
      </c>
      <c r="S687" t="n">
        <v>1</v>
      </c>
      <c r="T687" t="n">
        <v>1</v>
      </c>
      <c r="U687" t="inlineStr">
        <is>
          <t>1992-10-22</t>
        </is>
      </c>
      <c r="V687" t="inlineStr">
        <is>
          <t>1992-10-22</t>
        </is>
      </c>
      <c r="W687" t="inlineStr">
        <is>
          <t>1991-08-22</t>
        </is>
      </c>
      <c r="X687" t="inlineStr">
        <is>
          <t>1991-08-22</t>
        </is>
      </c>
      <c r="Y687" t="n">
        <v>112</v>
      </c>
      <c r="Z687" t="n">
        <v>97</v>
      </c>
      <c r="AA687" t="n">
        <v>112</v>
      </c>
      <c r="AB687" t="n">
        <v>2</v>
      </c>
      <c r="AC687" t="n">
        <v>3</v>
      </c>
      <c r="AD687" t="n">
        <v>21</v>
      </c>
      <c r="AE687" t="n">
        <v>21</v>
      </c>
      <c r="AF687" t="n">
        <v>9</v>
      </c>
      <c r="AG687" t="n">
        <v>9</v>
      </c>
      <c r="AH687" t="n">
        <v>5</v>
      </c>
      <c r="AI687" t="n">
        <v>5</v>
      </c>
      <c r="AJ687" t="n">
        <v>16</v>
      </c>
      <c r="AK687" t="n">
        <v>16</v>
      </c>
      <c r="AL687" t="n">
        <v>0</v>
      </c>
      <c r="AM687" t="n">
        <v>0</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HYPERLINK("https://creighton-primo.hosted.exlibrisgroup.com/primo-explore/search?tab=default_tab&amp;search_scope=EVERYTHING&amp;vid=01CRU&amp;lang=en_US&amp;offset=0&amp;query=any,contains,991003968009702656","Catalog Record")</f>
        <v/>
      </c>
      <c r="AT687">
        <f>HYPERLINK("http://www.worldcat.org/oclc/1990754","WorldCat Record")</f>
        <v/>
      </c>
      <c r="AU687" t="inlineStr">
        <is>
          <t>272872122:eng</t>
        </is>
      </c>
      <c r="AV687" t="inlineStr">
        <is>
          <t>1990754</t>
        </is>
      </c>
      <c r="AW687" t="inlineStr">
        <is>
          <t>991003968009702656</t>
        </is>
      </c>
      <c r="AX687" t="inlineStr">
        <is>
          <t>991003968009702656</t>
        </is>
      </c>
      <c r="AY687" t="inlineStr">
        <is>
          <t>2261904270002656</t>
        </is>
      </c>
      <c r="AZ687" t="inlineStr">
        <is>
          <t>BOOK</t>
        </is>
      </c>
      <c r="BC687" t="inlineStr">
        <is>
          <t>32285000745371</t>
        </is>
      </c>
      <c r="BD687" t="inlineStr">
        <is>
          <t>893531821</t>
        </is>
      </c>
    </row>
    <row r="688">
      <c r="A688" t="inlineStr">
        <is>
          <t>No</t>
        </is>
      </c>
      <c r="B688" t="inlineStr">
        <is>
          <t>BT430 .L65 1951</t>
        </is>
      </c>
      <c r="C688" t="inlineStr">
        <is>
          <t>0                      BT 0430000L  65          1951</t>
        </is>
      </c>
      <c r="D688" t="inlineStr">
        <is>
          <t>His passion forever / by Daniel A. Lord.</t>
        </is>
      </c>
      <c r="F688" t="inlineStr">
        <is>
          <t>No</t>
        </is>
      </c>
      <c r="G688" t="inlineStr">
        <is>
          <t>1</t>
        </is>
      </c>
      <c r="H688" t="inlineStr">
        <is>
          <t>No</t>
        </is>
      </c>
      <c r="I688" t="inlineStr">
        <is>
          <t>No</t>
        </is>
      </c>
      <c r="J688" t="inlineStr">
        <is>
          <t>0</t>
        </is>
      </c>
      <c r="K688" t="inlineStr">
        <is>
          <t>Lord, Daniel A. (Daniel Aloysius), 1888-1955.</t>
        </is>
      </c>
      <c r="L688" t="inlineStr">
        <is>
          <t>Milwaukee : Bruce, [1951]</t>
        </is>
      </c>
      <c r="M688" t="inlineStr">
        <is>
          <t>1951</t>
        </is>
      </c>
      <c r="O688" t="inlineStr">
        <is>
          <t>eng</t>
        </is>
      </c>
      <c r="P688" t="inlineStr">
        <is>
          <t>___</t>
        </is>
      </c>
      <c r="R688" t="inlineStr">
        <is>
          <t xml:space="preserve">BT </t>
        </is>
      </c>
      <c r="S688" t="n">
        <v>1</v>
      </c>
      <c r="T688" t="n">
        <v>1</v>
      </c>
      <c r="U688" t="inlineStr">
        <is>
          <t>1993-04-20</t>
        </is>
      </c>
      <c r="V688" t="inlineStr">
        <is>
          <t>1993-04-20</t>
        </is>
      </c>
      <c r="W688" t="inlineStr">
        <is>
          <t>1991-08-22</t>
        </is>
      </c>
      <c r="X688" t="inlineStr">
        <is>
          <t>1991-08-22</t>
        </is>
      </c>
      <c r="Y688" t="n">
        <v>122</v>
      </c>
      <c r="Z688" t="n">
        <v>114</v>
      </c>
      <c r="AA688" t="n">
        <v>116</v>
      </c>
      <c r="AB688" t="n">
        <v>3</v>
      </c>
      <c r="AC688" t="n">
        <v>3</v>
      </c>
      <c r="AD688" t="n">
        <v>20</v>
      </c>
      <c r="AE688" t="n">
        <v>20</v>
      </c>
      <c r="AF688" t="n">
        <v>5</v>
      </c>
      <c r="AG688" t="n">
        <v>5</v>
      </c>
      <c r="AH688" t="n">
        <v>7</v>
      </c>
      <c r="AI688" t="n">
        <v>7</v>
      </c>
      <c r="AJ688" t="n">
        <v>16</v>
      </c>
      <c r="AK688" t="n">
        <v>16</v>
      </c>
      <c r="AL688" t="n">
        <v>0</v>
      </c>
      <c r="AM688" t="n">
        <v>0</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HYPERLINK("https://creighton-primo.hosted.exlibrisgroup.com/primo-explore/search?tab=default_tab&amp;search_scope=EVERYTHING&amp;vid=01CRU&amp;lang=en_US&amp;offset=0&amp;query=any,contains,991002265739702656","Catalog Record")</f>
        <v/>
      </c>
      <c r="AT688">
        <f>HYPERLINK("http://www.worldcat.org/oclc/306921","WorldCat Record")</f>
        <v/>
      </c>
      <c r="AU688" t="inlineStr">
        <is>
          <t>1359818:eng</t>
        </is>
      </c>
      <c r="AV688" t="inlineStr">
        <is>
          <t>306921</t>
        </is>
      </c>
      <c r="AW688" t="inlineStr">
        <is>
          <t>991002265739702656</t>
        </is>
      </c>
      <c r="AX688" t="inlineStr">
        <is>
          <t>991002265739702656</t>
        </is>
      </c>
      <c r="AY688" t="inlineStr">
        <is>
          <t>2266154800002656</t>
        </is>
      </c>
      <c r="AZ688" t="inlineStr">
        <is>
          <t>BOOK</t>
        </is>
      </c>
      <c r="BC688" t="inlineStr">
        <is>
          <t>32285000745389</t>
        </is>
      </c>
      <c r="BD688" t="inlineStr">
        <is>
          <t>893779612</t>
        </is>
      </c>
    </row>
    <row r="689">
      <c r="A689" t="inlineStr">
        <is>
          <t>No</t>
        </is>
      </c>
      <c r="B689" t="inlineStr">
        <is>
          <t>BT430 .M413</t>
        </is>
      </c>
      <c r="C689" t="inlineStr">
        <is>
          <t>0                      BT 0430000M  413</t>
        </is>
      </c>
      <c r="D689" t="inlineStr">
        <is>
          <t>On Pascha and fragments / Melito of Sardis ; texts and translations edited by Stuart George Hall.</t>
        </is>
      </c>
      <c r="F689" t="inlineStr">
        <is>
          <t>No</t>
        </is>
      </c>
      <c r="G689" t="inlineStr">
        <is>
          <t>1</t>
        </is>
      </c>
      <c r="H689" t="inlineStr">
        <is>
          <t>No</t>
        </is>
      </c>
      <c r="I689" t="inlineStr">
        <is>
          <t>No</t>
        </is>
      </c>
      <c r="J689" t="inlineStr">
        <is>
          <t>0</t>
        </is>
      </c>
      <c r="K689" t="inlineStr">
        <is>
          <t>Melito, Saint, Bishop of Sardis, active 2nd century.</t>
        </is>
      </c>
      <c r="L689" t="inlineStr">
        <is>
          <t>Oxford : Clarendon Press, 1979.</t>
        </is>
      </c>
      <c r="M689" t="inlineStr">
        <is>
          <t>1979</t>
        </is>
      </c>
      <c r="O689" t="inlineStr">
        <is>
          <t>eng</t>
        </is>
      </c>
      <c r="P689" t="inlineStr">
        <is>
          <t>enk</t>
        </is>
      </c>
      <c r="Q689" t="inlineStr">
        <is>
          <t>Oxford early Christian texts</t>
        </is>
      </c>
      <c r="R689" t="inlineStr">
        <is>
          <t xml:space="preserve">BT </t>
        </is>
      </c>
      <c r="S689" t="n">
        <v>7</v>
      </c>
      <c r="T689" t="n">
        <v>7</v>
      </c>
      <c r="U689" t="inlineStr">
        <is>
          <t>2010-07-02</t>
        </is>
      </c>
      <c r="V689" t="inlineStr">
        <is>
          <t>2010-07-02</t>
        </is>
      </c>
      <c r="W689" t="inlineStr">
        <is>
          <t>1991-08-22</t>
        </is>
      </c>
      <c r="X689" t="inlineStr">
        <is>
          <t>1991-08-22</t>
        </is>
      </c>
      <c r="Y689" t="n">
        <v>357</v>
      </c>
      <c r="Z689" t="n">
        <v>271</v>
      </c>
      <c r="AA689" t="n">
        <v>271</v>
      </c>
      <c r="AB689" t="n">
        <v>3</v>
      </c>
      <c r="AC689" t="n">
        <v>3</v>
      </c>
      <c r="AD689" t="n">
        <v>22</v>
      </c>
      <c r="AE689" t="n">
        <v>22</v>
      </c>
      <c r="AF689" t="n">
        <v>8</v>
      </c>
      <c r="AG689" t="n">
        <v>8</v>
      </c>
      <c r="AH689" t="n">
        <v>3</v>
      </c>
      <c r="AI689" t="n">
        <v>3</v>
      </c>
      <c r="AJ689" t="n">
        <v>13</v>
      </c>
      <c r="AK689" t="n">
        <v>13</v>
      </c>
      <c r="AL689" t="n">
        <v>2</v>
      </c>
      <c r="AM689" t="n">
        <v>2</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HYPERLINK("https://creighton-primo.hosted.exlibrisgroup.com/primo-explore/search?tab=default_tab&amp;search_scope=EVERYTHING&amp;vid=01CRU&amp;lang=en_US&amp;offset=0&amp;query=any,contains,991004738489702656","Catalog Record")</f>
        <v/>
      </c>
      <c r="AT689">
        <f>HYPERLINK("http://www.worldcat.org/oclc/4867053","WorldCat Record")</f>
        <v/>
      </c>
      <c r="AU689" t="inlineStr">
        <is>
          <t>1862543758:eng</t>
        </is>
      </c>
      <c r="AV689" t="inlineStr">
        <is>
          <t>4867053</t>
        </is>
      </c>
      <c r="AW689" t="inlineStr">
        <is>
          <t>991004738489702656</t>
        </is>
      </c>
      <c r="AX689" t="inlineStr">
        <is>
          <t>991004738489702656</t>
        </is>
      </c>
      <c r="AY689" t="inlineStr">
        <is>
          <t>2265456200002656</t>
        </is>
      </c>
      <c r="AZ689" t="inlineStr">
        <is>
          <t>BOOK</t>
        </is>
      </c>
      <c r="BB689" t="inlineStr">
        <is>
          <t>9780198268116</t>
        </is>
      </c>
      <c r="BC689" t="inlineStr">
        <is>
          <t>32285000745397</t>
        </is>
      </c>
      <c r="BD689" t="inlineStr">
        <is>
          <t>893519995</t>
        </is>
      </c>
    </row>
    <row r="690">
      <c r="A690" t="inlineStr">
        <is>
          <t>No</t>
        </is>
      </c>
      <c r="B690" t="inlineStr">
        <is>
          <t>BT430 .M83 1896</t>
        </is>
      </c>
      <c r="C690" t="inlineStr">
        <is>
          <t>0                      BT 0430000M  83          1896</t>
        </is>
      </c>
      <c r="D690" t="inlineStr">
        <is>
          <t>The seven last words of Our Most Holy Redeemer : with meditations on some scenes in His passion / by Alfred G. Mortimer.</t>
        </is>
      </c>
      <c r="F690" t="inlineStr">
        <is>
          <t>No</t>
        </is>
      </c>
      <c r="G690" t="inlineStr">
        <is>
          <t>1</t>
        </is>
      </c>
      <c r="H690" t="inlineStr">
        <is>
          <t>No</t>
        </is>
      </c>
      <c r="I690" t="inlineStr">
        <is>
          <t>No</t>
        </is>
      </c>
      <c r="J690" t="inlineStr">
        <is>
          <t>0</t>
        </is>
      </c>
      <c r="K690" t="inlineStr">
        <is>
          <t>Mortimer, Alfred G. (Alfred Garnett), 1848-1924.</t>
        </is>
      </c>
      <c r="L690" t="inlineStr">
        <is>
          <t>New York : Longmans, Green and Co., c1896, 1902 printing.</t>
        </is>
      </c>
      <c r="M690" t="inlineStr">
        <is>
          <t>1896</t>
        </is>
      </c>
      <c r="O690" t="inlineStr">
        <is>
          <t>eng</t>
        </is>
      </c>
      <c r="P690" t="inlineStr">
        <is>
          <t>nyu</t>
        </is>
      </c>
      <c r="R690" t="inlineStr">
        <is>
          <t xml:space="preserve">BT </t>
        </is>
      </c>
      <c r="S690" t="n">
        <v>3</v>
      </c>
      <c r="T690" t="n">
        <v>3</v>
      </c>
      <c r="U690" t="inlineStr">
        <is>
          <t>1992-04-15</t>
        </is>
      </c>
      <c r="V690" t="inlineStr">
        <is>
          <t>1992-04-15</t>
        </is>
      </c>
      <c r="W690" t="inlineStr">
        <is>
          <t>1991-08-22</t>
        </is>
      </c>
      <c r="X690" t="inlineStr">
        <is>
          <t>1991-08-22</t>
        </is>
      </c>
      <c r="Y690" t="n">
        <v>29</v>
      </c>
      <c r="Z690" t="n">
        <v>25</v>
      </c>
      <c r="AA690" t="n">
        <v>26</v>
      </c>
      <c r="AB690" t="n">
        <v>1</v>
      </c>
      <c r="AC690" t="n">
        <v>1</v>
      </c>
      <c r="AD690" t="n">
        <v>2</v>
      </c>
      <c r="AE690" t="n">
        <v>2</v>
      </c>
      <c r="AF690" t="n">
        <v>0</v>
      </c>
      <c r="AG690" t="n">
        <v>0</v>
      </c>
      <c r="AH690" t="n">
        <v>0</v>
      </c>
      <c r="AI690" t="n">
        <v>0</v>
      </c>
      <c r="AJ690" t="n">
        <v>2</v>
      </c>
      <c r="AK690" t="n">
        <v>2</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HYPERLINK("https://creighton-primo.hosted.exlibrisgroup.com/primo-explore/search?tab=default_tab&amp;search_scope=EVERYTHING&amp;vid=01CRU&amp;lang=en_US&amp;offset=0&amp;query=any,contains,991004028809702656","Catalog Record")</f>
        <v/>
      </c>
      <c r="AT690">
        <f>HYPERLINK("http://www.worldcat.org/oclc/2146336","WorldCat Record")</f>
        <v/>
      </c>
      <c r="AU690" t="inlineStr">
        <is>
          <t>155778447:eng</t>
        </is>
      </c>
      <c r="AV690" t="inlineStr">
        <is>
          <t>2146336</t>
        </is>
      </c>
      <c r="AW690" t="inlineStr">
        <is>
          <t>991004028809702656</t>
        </is>
      </c>
      <c r="AX690" t="inlineStr">
        <is>
          <t>991004028809702656</t>
        </is>
      </c>
      <c r="AY690" t="inlineStr">
        <is>
          <t>2256970370002656</t>
        </is>
      </c>
      <c r="AZ690" t="inlineStr">
        <is>
          <t>BOOK</t>
        </is>
      </c>
      <c r="BC690" t="inlineStr">
        <is>
          <t>32285000745413</t>
        </is>
      </c>
      <c r="BD690" t="inlineStr">
        <is>
          <t>893353170</t>
        </is>
      </c>
    </row>
    <row r="691">
      <c r="A691" t="inlineStr">
        <is>
          <t>No</t>
        </is>
      </c>
      <c r="B691" t="inlineStr">
        <is>
          <t>BT430 .P3 1889</t>
        </is>
      </c>
      <c r="C691" t="inlineStr">
        <is>
          <t>0                      BT 0430000P  3           1889</t>
        </is>
      </c>
      <c r="D691" t="inlineStr">
        <is>
          <t>The history of the sacred passion : from the Spanish of Luis de la Palma ; the translation revised and edited by Henry James Coleridge.</t>
        </is>
      </c>
      <c r="F691" t="inlineStr">
        <is>
          <t>No</t>
        </is>
      </c>
      <c r="G691" t="inlineStr">
        <is>
          <t>1</t>
        </is>
      </c>
      <c r="H691" t="inlineStr">
        <is>
          <t>No</t>
        </is>
      </c>
      <c r="I691" t="inlineStr">
        <is>
          <t>No</t>
        </is>
      </c>
      <c r="J691" t="inlineStr">
        <is>
          <t>0</t>
        </is>
      </c>
      <c r="K691" t="inlineStr">
        <is>
          <t>Palma, Luis de la, 1559-1641.</t>
        </is>
      </c>
      <c r="L691" t="inlineStr">
        <is>
          <t>London : Burns and Oates, 1889.</t>
        </is>
      </c>
      <c r="M691" t="inlineStr">
        <is>
          <t>1889</t>
        </is>
      </c>
      <c r="N691" t="inlineStr">
        <is>
          <t>A new edition.</t>
        </is>
      </c>
      <c r="O691" t="inlineStr">
        <is>
          <t>eng</t>
        </is>
      </c>
      <c r="P691" t="inlineStr">
        <is>
          <t>enk</t>
        </is>
      </c>
      <c r="Q691" t="inlineStr">
        <is>
          <t>Half-title: Quarterly series ; v. 3</t>
        </is>
      </c>
      <c r="R691" t="inlineStr">
        <is>
          <t xml:space="preserve">BT </t>
        </is>
      </c>
      <c r="S691" t="n">
        <v>3</v>
      </c>
      <c r="T691" t="n">
        <v>3</v>
      </c>
      <c r="U691" t="inlineStr">
        <is>
          <t>1992-10-22</t>
        </is>
      </c>
      <c r="V691" t="inlineStr">
        <is>
          <t>1992-10-22</t>
        </is>
      </c>
      <c r="W691" t="inlineStr">
        <is>
          <t>1991-08-22</t>
        </is>
      </c>
      <c r="X691" t="inlineStr">
        <is>
          <t>1991-08-22</t>
        </is>
      </c>
      <c r="Y691" t="n">
        <v>4</v>
      </c>
      <c r="Z691" t="n">
        <v>4</v>
      </c>
      <c r="AA691" t="n">
        <v>72</v>
      </c>
      <c r="AB691" t="n">
        <v>1</v>
      </c>
      <c r="AC691" t="n">
        <v>1</v>
      </c>
      <c r="AD691" t="n">
        <v>3</v>
      </c>
      <c r="AE691" t="n">
        <v>15</v>
      </c>
      <c r="AF691" t="n">
        <v>0</v>
      </c>
      <c r="AG691" t="n">
        <v>3</v>
      </c>
      <c r="AH691" t="n">
        <v>1</v>
      </c>
      <c r="AI691" t="n">
        <v>5</v>
      </c>
      <c r="AJ691" t="n">
        <v>2</v>
      </c>
      <c r="AK691" t="n">
        <v>12</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HYPERLINK("https://creighton-primo.hosted.exlibrisgroup.com/primo-explore/search?tab=default_tab&amp;search_scope=EVERYTHING&amp;vid=01CRU&amp;lang=en_US&amp;offset=0&amp;query=any,contains,991000950199702656","Catalog Record")</f>
        <v/>
      </c>
      <c r="AT691">
        <f>HYPERLINK("http://www.worldcat.org/oclc/14634997","WorldCat Record")</f>
        <v/>
      </c>
      <c r="AU691" t="inlineStr">
        <is>
          <t>3901455628:eng</t>
        </is>
      </c>
      <c r="AV691" t="inlineStr">
        <is>
          <t>14634997</t>
        </is>
      </c>
      <c r="AW691" t="inlineStr">
        <is>
          <t>991000950199702656</t>
        </is>
      </c>
      <c r="AX691" t="inlineStr">
        <is>
          <t>991000950199702656</t>
        </is>
      </c>
      <c r="AY691" t="inlineStr">
        <is>
          <t>2262717930002656</t>
        </is>
      </c>
      <c r="AZ691" t="inlineStr">
        <is>
          <t>BOOK</t>
        </is>
      </c>
      <c r="BC691" t="inlineStr">
        <is>
          <t>32285000745421</t>
        </is>
      </c>
      <c r="BD691" t="inlineStr">
        <is>
          <t>893808885</t>
        </is>
      </c>
    </row>
    <row r="692">
      <c r="A692" t="inlineStr">
        <is>
          <t>No</t>
        </is>
      </c>
      <c r="B692" t="inlineStr">
        <is>
          <t>BT430 .P44 1922</t>
        </is>
      </c>
      <c r="C692" t="inlineStr">
        <is>
          <t>0                      BT 0430000P  44          1922</t>
        </is>
      </c>
      <c r="D692" t="inlineStr">
        <is>
          <t>The ascent of Calvary / by Père Louis Perroy; authorized translation from the French by Marian Lindsay, with introduction by Most Rev. John J. Glennon.</t>
        </is>
      </c>
      <c r="F692" t="inlineStr">
        <is>
          <t>No</t>
        </is>
      </c>
      <c r="G692" t="inlineStr">
        <is>
          <t>1</t>
        </is>
      </c>
      <c r="H692" t="inlineStr">
        <is>
          <t>No</t>
        </is>
      </c>
      <c r="I692" t="inlineStr">
        <is>
          <t>No</t>
        </is>
      </c>
      <c r="J692" t="inlineStr">
        <is>
          <t>0</t>
        </is>
      </c>
      <c r="K692" t="inlineStr">
        <is>
          <t>Perroy, Louis, 1858-</t>
        </is>
      </c>
      <c r="L692" t="inlineStr">
        <is>
          <t>New York : P. J. Kenedy &amp; sons, [1922]</t>
        </is>
      </c>
      <c r="M692" t="inlineStr">
        <is>
          <t>1922</t>
        </is>
      </c>
      <c r="O692" t="inlineStr">
        <is>
          <t>eng</t>
        </is>
      </c>
      <c r="P692" t="inlineStr">
        <is>
          <t>nyu</t>
        </is>
      </c>
      <c r="R692" t="inlineStr">
        <is>
          <t xml:space="preserve">BT </t>
        </is>
      </c>
      <c r="S692" t="n">
        <v>1</v>
      </c>
      <c r="T692" t="n">
        <v>1</v>
      </c>
      <c r="U692" t="inlineStr">
        <is>
          <t>1992-03-16</t>
        </is>
      </c>
      <c r="V692" t="inlineStr">
        <is>
          <t>1992-03-16</t>
        </is>
      </c>
      <c r="W692" t="inlineStr">
        <is>
          <t>1991-08-22</t>
        </is>
      </c>
      <c r="X692" t="inlineStr">
        <is>
          <t>1991-08-22</t>
        </is>
      </c>
      <c r="Y692" t="n">
        <v>84</v>
      </c>
      <c r="Z692" t="n">
        <v>77</v>
      </c>
      <c r="AA692" t="n">
        <v>95</v>
      </c>
      <c r="AB692" t="n">
        <v>3</v>
      </c>
      <c r="AC692" t="n">
        <v>4</v>
      </c>
      <c r="AD692" t="n">
        <v>16</v>
      </c>
      <c r="AE692" t="n">
        <v>17</v>
      </c>
      <c r="AF692" t="n">
        <v>2</v>
      </c>
      <c r="AG692" t="n">
        <v>2</v>
      </c>
      <c r="AH692" t="n">
        <v>6</v>
      </c>
      <c r="AI692" t="n">
        <v>6</v>
      </c>
      <c r="AJ692" t="n">
        <v>13</v>
      </c>
      <c r="AK692" t="n">
        <v>13</v>
      </c>
      <c r="AL692" t="n">
        <v>0</v>
      </c>
      <c r="AM692" t="n">
        <v>1</v>
      </c>
      <c r="AN692" t="n">
        <v>0</v>
      </c>
      <c r="AO692" t="n">
        <v>0</v>
      </c>
      <c r="AP692" t="inlineStr">
        <is>
          <t>Yes</t>
        </is>
      </c>
      <c r="AQ692" t="inlineStr">
        <is>
          <t>No</t>
        </is>
      </c>
      <c r="AR692">
        <f>HYPERLINK("http://catalog.hathitrust.org/Record/006530175","HathiTrust Record")</f>
        <v/>
      </c>
      <c r="AS692">
        <f>HYPERLINK("https://creighton-primo.hosted.exlibrisgroup.com/primo-explore/search?tab=default_tab&amp;search_scope=EVERYTHING&amp;vid=01CRU&amp;lang=en_US&amp;offset=0&amp;query=any,contains,991004588199702656","Catalog Record")</f>
        <v/>
      </c>
      <c r="AT692">
        <f>HYPERLINK("http://www.worldcat.org/oclc/4102570","WorldCat Record")</f>
        <v/>
      </c>
      <c r="AU692" t="inlineStr">
        <is>
          <t>14484405:eng</t>
        </is>
      </c>
      <c r="AV692" t="inlineStr">
        <is>
          <t>4102570</t>
        </is>
      </c>
      <c r="AW692" t="inlineStr">
        <is>
          <t>991004588199702656</t>
        </is>
      </c>
      <c r="AX692" t="inlineStr">
        <is>
          <t>991004588199702656</t>
        </is>
      </c>
      <c r="AY692" t="inlineStr">
        <is>
          <t>2272024820002656</t>
        </is>
      </c>
      <c r="AZ692" t="inlineStr">
        <is>
          <t>BOOK</t>
        </is>
      </c>
      <c r="BC692" t="inlineStr">
        <is>
          <t>32285000745439</t>
        </is>
      </c>
      <c r="BD692" t="inlineStr">
        <is>
          <t>893536079</t>
        </is>
      </c>
    </row>
    <row r="693">
      <c r="A693" t="inlineStr">
        <is>
          <t>No</t>
        </is>
      </c>
      <c r="B693" t="inlineStr">
        <is>
          <t>BT430 .P532</t>
        </is>
      </c>
      <c r="C693" t="inlineStr">
        <is>
          <t>0                      BT 0430000P  532</t>
        </is>
      </c>
      <c r="D693" t="inlineStr">
        <is>
          <t>The Messias / by Rev.Josef Pickl, translated by Rev.Andrew Green.</t>
        </is>
      </c>
      <c r="F693" t="inlineStr">
        <is>
          <t>No</t>
        </is>
      </c>
      <c r="G693" t="inlineStr">
        <is>
          <t>1</t>
        </is>
      </c>
      <c r="H693" t="inlineStr">
        <is>
          <t>No</t>
        </is>
      </c>
      <c r="I693" t="inlineStr">
        <is>
          <t>No</t>
        </is>
      </c>
      <c r="J693" t="inlineStr">
        <is>
          <t>0</t>
        </is>
      </c>
      <c r="K693" t="inlineStr">
        <is>
          <t>Pickl, Josef.</t>
        </is>
      </c>
      <c r="L693" t="inlineStr">
        <is>
          <t>St.Louis,Mo. and London, B.Herder book co., 1946.</t>
        </is>
      </c>
      <c r="M693" t="inlineStr">
        <is>
          <t>1946</t>
        </is>
      </c>
      <c r="O693" t="inlineStr">
        <is>
          <t>eng</t>
        </is>
      </c>
      <c r="P693" t="inlineStr">
        <is>
          <t>___</t>
        </is>
      </c>
      <c r="R693" t="inlineStr">
        <is>
          <t xml:space="preserve">BT </t>
        </is>
      </c>
      <c r="S693" t="n">
        <v>3</v>
      </c>
      <c r="T693" t="n">
        <v>3</v>
      </c>
      <c r="U693" t="inlineStr">
        <is>
          <t>1995-01-12</t>
        </is>
      </c>
      <c r="V693" t="inlineStr">
        <is>
          <t>1995-01-12</t>
        </is>
      </c>
      <c r="W693" t="inlineStr">
        <is>
          <t>1991-08-22</t>
        </is>
      </c>
      <c r="X693" t="inlineStr">
        <is>
          <t>1991-08-22</t>
        </is>
      </c>
      <c r="Y693" t="n">
        <v>138</v>
      </c>
      <c r="Z693" t="n">
        <v>119</v>
      </c>
      <c r="AA693" t="n">
        <v>119</v>
      </c>
      <c r="AB693" t="n">
        <v>2</v>
      </c>
      <c r="AC693" t="n">
        <v>2</v>
      </c>
      <c r="AD693" t="n">
        <v>21</v>
      </c>
      <c r="AE693" t="n">
        <v>21</v>
      </c>
      <c r="AF693" t="n">
        <v>5</v>
      </c>
      <c r="AG693" t="n">
        <v>5</v>
      </c>
      <c r="AH693" t="n">
        <v>7</v>
      </c>
      <c r="AI693" t="n">
        <v>7</v>
      </c>
      <c r="AJ693" t="n">
        <v>17</v>
      </c>
      <c r="AK693" t="n">
        <v>17</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HYPERLINK("https://creighton-primo.hosted.exlibrisgroup.com/primo-explore/search?tab=default_tab&amp;search_scope=EVERYTHING&amp;vid=01CRU&amp;lang=en_US&amp;offset=0&amp;query=any,contains,991003134559702656","Catalog Record")</f>
        <v/>
      </c>
      <c r="AT693">
        <f>HYPERLINK("http://www.worldcat.org/oclc/676639","WorldCat Record")</f>
        <v/>
      </c>
      <c r="AU693" t="inlineStr">
        <is>
          <t>1731913:eng</t>
        </is>
      </c>
      <c r="AV693" t="inlineStr">
        <is>
          <t>676639</t>
        </is>
      </c>
      <c r="AW693" t="inlineStr">
        <is>
          <t>991003134559702656</t>
        </is>
      </c>
      <c r="AX693" t="inlineStr">
        <is>
          <t>991003134559702656</t>
        </is>
      </c>
      <c r="AY693" t="inlineStr">
        <is>
          <t>2270354280002656</t>
        </is>
      </c>
      <c r="AZ693" t="inlineStr">
        <is>
          <t>BOOK</t>
        </is>
      </c>
      <c r="BC693" t="inlineStr">
        <is>
          <t>32285000745447</t>
        </is>
      </c>
      <c r="BD693" t="inlineStr">
        <is>
          <t>893530871</t>
        </is>
      </c>
    </row>
    <row r="694">
      <c r="A694" t="inlineStr">
        <is>
          <t>No</t>
        </is>
      </c>
      <c r="B694" t="inlineStr">
        <is>
          <t>BT430 .S64 1591a</t>
        </is>
      </c>
      <c r="C694" t="inlineStr">
        <is>
          <t>0                      BT 0430000S  64          1591a</t>
        </is>
      </c>
      <c r="D694" t="inlineStr">
        <is>
          <t>Marie Magdalens funeral teares (1591) / by Robert Southwell.</t>
        </is>
      </c>
      <c r="F694" t="inlineStr">
        <is>
          <t>No</t>
        </is>
      </c>
      <c r="G694" t="inlineStr">
        <is>
          <t>1</t>
        </is>
      </c>
      <c r="H694" t="inlineStr">
        <is>
          <t>No</t>
        </is>
      </c>
      <c r="I694" t="inlineStr">
        <is>
          <t>No</t>
        </is>
      </c>
      <c r="J694" t="inlineStr">
        <is>
          <t>0</t>
        </is>
      </c>
      <c r="K694" t="inlineStr">
        <is>
          <t>Southwell, Robert, Saint, 1561?-1595.</t>
        </is>
      </c>
      <c r="L694" t="inlineStr">
        <is>
          <t>Delmar, N.Y. : Scholars' Facsimiles &amp; Reprints, 1975 c1974.</t>
        </is>
      </c>
      <c r="M694" t="inlineStr">
        <is>
          <t>1975</t>
        </is>
      </c>
      <c r="N694" t="inlineStr">
        <is>
          <t>A facsim. reproduction / with an introd. by Vincent B. Leitch.</t>
        </is>
      </c>
      <c r="O694" t="inlineStr">
        <is>
          <t>eng</t>
        </is>
      </c>
      <c r="P694" t="inlineStr">
        <is>
          <t>nyu</t>
        </is>
      </c>
      <c r="R694" t="inlineStr">
        <is>
          <t xml:space="preserve">BT </t>
        </is>
      </c>
      <c r="S694" t="n">
        <v>4</v>
      </c>
      <c r="T694" t="n">
        <v>4</v>
      </c>
      <c r="U694" t="inlineStr">
        <is>
          <t>1997-09-09</t>
        </is>
      </c>
      <c r="V694" t="inlineStr">
        <is>
          <t>1997-09-09</t>
        </is>
      </c>
      <c r="W694" t="inlineStr">
        <is>
          <t>1991-08-22</t>
        </is>
      </c>
      <c r="X694" t="inlineStr">
        <is>
          <t>1991-08-22</t>
        </is>
      </c>
      <c r="Y694" t="n">
        <v>144</v>
      </c>
      <c r="Z694" t="n">
        <v>117</v>
      </c>
      <c r="AA694" t="n">
        <v>126</v>
      </c>
      <c r="AB694" t="n">
        <v>2</v>
      </c>
      <c r="AC694" t="n">
        <v>2</v>
      </c>
      <c r="AD694" t="n">
        <v>12</v>
      </c>
      <c r="AE694" t="n">
        <v>12</v>
      </c>
      <c r="AF694" t="n">
        <v>4</v>
      </c>
      <c r="AG694" t="n">
        <v>4</v>
      </c>
      <c r="AH694" t="n">
        <v>4</v>
      </c>
      <c r="AI694" t="n">
        <v>4</v>
      </c>
      <c r="AJ694" t="n">
        <v>7</v>
      </c>
      <c r="AK694" t="n">
        <v>7</v>
      </c>
      <c r="AL694" t="n">
        <v>1</v>
      </c>
      <c r="AM694" t="n">
        <v>1</v>
      </c>
      <c r="AN694" t="n">
        <v>0</v>
      </c>
      <c r="AO694" t="n">
        <v>0</v>
      </c>
      <c r="AP694" t="inlineStr">
        <is>
          <t>No</t>
        </is>
      </c>
      <c r="AQ694" t="inlineStr">
        <is>
          <t>Yes</t>
        </is>
      </c>
      <c r="AR694">
        <f>HYPERLINK("http://catalog.hathitrust.org/Record/001400592","HathiTrust Record")</f>
        <v/>
      </c>
      <c r="AS694">
        <f>HYPERLINK("https://creighton-primo.hosted.exlibrisgroup.com/primo-explore/search?tab=default_tab&amp;search_scope=EVERYTHING&amp;vid=01CRU&amp;lang=en_US&amp;offset=0&amp;query=any,contains,991003559979702656","Catalog Record")</f>
        <v/>
      </c>
      <c r="AT694">
        <f>HYPERLINK("http://www.worldcat.org/oclc/1130016","WorldCat Record")</f>
        <v/>
      </c>
      <c r="AU694" t="inlineStr">
        <is>
          <t>2863457574:eng</t>
        </is>
      </c>
      <c r="AV694" t="inlineStr">
        <is>
          <t>1130016</t>
        </is>
      </c>
      <c r="AW694" t="inlineStr">
        <is>
          <t>991003559979702656</t>
        </is>
      </c>
      <c r="AX694" t="inlineStr">
        <is>
          <t>991003559979702656</t>
        </is>
      </c>
      <c r="AY694" t="inlineStr">
        <is>
          <t>2263063330002656</t>
        </is>
      </c>
      <c r="AZ694" t="inlineStr">
        <is>
          <t>BOOK</t>
        </is>
      </c>
      <c r="BB694" t="inlineStr">
        <is>
          <t>9780820111445</t>
        </is>
      </c>
      <c r="BC694" t="inlineStr">
        <is>
          <t>32285000745454</t>
        </is>
      </c>
      <c r="BD694" t="inlineStr">
        <is>
          <t>893342693</t>
        </is>
      </c>
    </row>
    <row r="695">
      <c r="A695" t="inlineStr">
        <is>
          <t>No</t>
        </is>
      </c>
      <c r="B695" t="inlineStr">
        <is>
          <t>BT430 .T58 1943</t>
        </is>
      </c>
      <c r="C695" t="inlineStr">
        <is>
          <t>0                      BT 0430000T  58          1943</t>
        </is>
      </c>
      <c r="D695" t="inlineStr">
        <is>
          <t>The great Redeemer : a course of sermons on the passion and death of Christ / by Tihamer Toth ; translated by V. G. Agotai ; edited by Newton Thompson.</t>
        </is>
      </c>
      <c r="F695" t="inlineStr">
        <is>
          <t>No</t>
        </is>
      </c>
      <c r="G695" t="inlineStr">
        <is>
          <t>1</t>
        </is>
      </c>
      <c r="H695" t="inlineStr">
        <is>
          <t>No</t>
        </is>
      </c>
      <c r="I695" t="inlineStr">
        <is>
          <t>No</t>
        </is>
      </c>
      <c r="J695" t="inlineStr">
        <is>
          <t>0</t>
        </is>
      </c>
      <c r="K695" t="inlineStr">
        <is>
          <t>Tóth, Tihamér, 1889-1939.</t>
        </is>
      </c>
      <c r="L695" t="inlineStr">
        <is>
          <t>St. Louis, Mo., London : B. Herder, 1943, c1937.</t>
        </is>
      </c>
      <c r="M695" t="inlineStr">
        <is>
          <t>1943</t>
        </is>
      </c>
      <c r="O695" t="inlineStr">
        <is>
          <t>eng</t>
        </is>
      </c>
      <c r="P695" t="inlineStr">
        <is>
          <t>mou</t>
        </is>
      </c>
      <c r="R695" t="inlineStr">
        <is>
          <t xml:space="preserve">BT </t>
        </is>
      </c>
      <c r="S695" t="n">
        <v>1</v>
      </c>
      <c r="T695" t="n">
        <v>1</v>
      </c>
      <c r="U695" t="inlineStr">
        <is>
          <t>1993-04-20</t>
        </is>
      </c>
      <c r="V695" t="inlineStr">
        <is>
          <t>1993-04-20</t>
        </is>
      </c>
      <c r="W695" t="inlineStr">
        <is>
          <t>1991-08-22</t>
        </is>
      </c>
      <c r="X695" t="inlineStr">
        <is>
          <t>1991-08-22</t>
        </is>
      </c>
      <c r="Y695" t="n">
        <v>12</v>
      </c>
      <c r="Z695" t="n">
        <v>6</v>
      </c>
      <c r="AA695" t="n">
        <v>91</v>
      </c>
      <c r="AB695" t="n">
        <v>1</v>
      </c>
      <c r="AC695" t="n">
        <v>2</v>
      </c>
      <c r="AD695" t="n">
        <v>1</v>
      </c>
      <c r="AE695" t="n">
        <v>16</v>
      </c>
      <c r="AF695" t="n">
        <v>0</v>
      </c>
      <c r="AG695" t="n">
        <v>4</v>
      </c>
      <c r="AH695" t="n">
        <v>1</v>
      </c>
      <c r="AI695" t="n">
        <v>6</v>
      </c>
      <c r="AJ695" t="n">
        <v>0</v>
      </c>
      <c r="AK695" t="n">
        <v>11</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HYPERLINK("https://creighton-primo.hosted.exlibrisgroup.com/primo-explore/search?tab=default_tab&amp;search_scope=EVERYTHING&amp;vid=01CRU&amp;lang=en_US&amp;offset=0&amp;query=any,contains,991000680229702656","Catalog Record")</f>
        <v/>
      </c>
      <c r="AT695">
        <f>HYPERLINK("http://www.worldcat.org/oclc/12379486","WorldCat Record")</f>
        <v/>
      </c>
      <c r="AU695" t="inlineStr">
        <is>
          <t>3901005724:eng</t>
        </is>
      </c>
      <c r="AV695" t="inlineStr">
        <is>
          <t>12379486</t>
        </is>
      </c>
      <c r="AW695" t="inlineStr">
        <is>
          <t>991000680229702656</t>
        </is>
      </c>
      <c r="AX695" t="inlineStr">
        <is>
          <t>991000680229702656</t>
        </is>
      </c>
      <c r="AY695" t="inlineStr">
        <is>
          <t>2256694560002656</t>
        </is>
      </c>
      <c r="AZ695" t="inlineStr">
        <is>
          <t>BOOK</t>
        </is>
      </c>
      <c r="BC695" t="inlineStr">
        <is>
          <t>32285000745462</t>
        </is>
      </c>
      <c r="BD695" t="inlineStr">
        <is>
          <t>893502696</t>
        </is>
      </c>
    </row>
    <row r="696">
      <c r="A696" t="inlineStr">
        <is>
          <t>No</t>
        </is>
      </c>
      <c r="B696" t="inlineStr">
        <is>
          <t>BT430.A3 S63 1987</t>
        </is>
      </c>
      <c r="C696" t="inlineStr">
        <is>
          <t>0                      BT 0430000A  3                  S  63          1987</t>
        </is>
      </c>
      <c r="D696" t="inlineStr">
        <is>
          <t>The Passion according to Luke : the special material of Luke 22 / Marion L. Soards.</t>
        </is>
      </c>
      <c r="F696" t="inlineStr">
        <is>
          <t>No</t>
        </is>
      </c>
      <c r="G696" t="inlineStr">
        <is>
          <t>1</t>
        </is>
      </c>
      <c r="H696" t="inlineStr">
        <is>
          <t>No</t>
        </is>
      </c>
      <c r="I696" t="inlineStr">
        <is>
          <t>No</t>
        </is>
      </c>
      <c r="J696" t="inlineStr">
        <is>
          <t>0</t>
        </is>
      </c>
      <c r="K696" t="inlineStr">
        <is>
          <t>Soards, Marion L., 1952-</t>
        </is>
      </c>
      <c r="L696" t="inlineStr">
        <is>
          <t>Sheffield : JSOT, c1987.</t>
        </is>
      </c>
      <c r="M696" t="inlineStr">
        <is>
          <t>1987</t>
        </is>
      </c>
      <c r="O696" t="inlineStr">
        <is>
          <t>eng</t>
        </is>
      </c>
      <c r="P696" t="inlineStr">
        <is>
          <t>enk</t>
        </is>
      </c>
      <c r="Q696" t="inlineStr">
        <is>
          <t>Journal for the study of the New Testament. Supplement series ; 14</t>
        </is>
      </c>
      <c r="R696" t="inlineStr">
        <is>
          <t xml:space="preserve">BT </t>
        </is>
      </c>
      <c r="S696" t="n">
        <v>2</v>
      </c>
      <c r="T696" t="n">
        <v>2</v>
      </c>
      <c r="U696" t="inlineStr">
        <is>
          <t>2008-12-08</t>
        </is>
      </c>
      <c r="V696" t="inlineStr">
        <is>
          <t>2008-12-08</t>
        </is>
      </c>
      <c r="W696" t="inlineStr">
        <is>
          <t>1991-08-22</t>
        </is>
      </c>
      <c r="X696" t="inlineStr">
        <is>
          <t>1991-08-22</t>
        </is>
      </c>
      <c r="Y696" t="n">
        <v>288</v>
      </c>
      <c r="Z696" t="n">
        <v>190</v>
      </c>
      <c r="AA696" t="n">
        <v>497</v>
      </c>
      <c r="AB696" t="n">
        <v>1</v>
      </c>
      <c r="AC696" t="n">
        <v>3</v>
      </c>
      <c r="AD696" t="n">
        <v>15</v>
      </c>
      <c r="AE696" t="n">
        <v>20</v>
      </c>
      <c r="AF696" t="n">
        <v>5</v>
      </c>
      <c r="AG696" t="n">
        <v>8</v>
      </c>
      <c r="AH696" t="n">
        <v>5</v>
      </c>
      <c r="AI696" t="n">
        <v>6</v>
      </c>
      <c r="AJ696" t="n">
        <v>9</v>
      </c>
      <c r="AK696" t="n">
        <v>10</v>
      </c>
      <c r="AL696" t="n">
        <v>0</v>
      </c>
      <c r="AM696" t="n">
        <v>2</v>
      </c>
      <c r="AN696" t="n">
        <v>0</v>
      </c>
      <c r="AO696" t="n">
        <v>0</v>
      </c>
      <c r="AP696" t="inlineStr">
        <is>
          <t>No</t>
        </is>
      </c>
      <c r="AQ696" t="inlineStr">
        <is>
          <t>Yes</t>
        </is>
      </c>
      <c r="AR696">
        <f>HYPERLINK("http://catalog.hathitrust.org/Record/000854571","HathiTrust Record")</f>
        <v/>
      </c>
      <c r="AS696">
        <f>HYPERLINK("https://creighton-primo.hosted.exlibrisgroup.com/primo-explore/search?tab=default_tab&amp;search_scope=EVERYTHING&amp;vid=01CRU&amp;lang=en_US&amp;offset=0&amp;query=any,contains,991001078219702656","Catalog Record")</f>
        <v/>
      </c>
      <c r="AT696">
        <f>HYPERLINK("http://www.worldcat.org/oclc/17211819","WorldCat Record")</f>
        <v/>
      </c>
      <c r="AU696" t="inlineStr">
        <is>
          <t>836737353:eng</t>
        </is>
      </c>
      <c r="AV696" t="inlineStr">
        <is>
          <t>17211819</t>
        </is>
      </c>
      <c r="AW696" t="inlineStr">
        <is>
          <t>991001078219702656</t>
        </is>
      </c>
      <c r="AX696" t="inlineStr">
        <is>
          <t>991001078219702656</t>
        </is>
      </c>
      <c r="AY696" t="inlineStr">
        <is>
          <t>2259917760002656</t>
        </is>
      </c>
      <c r="AZ696" t="inlineStr">
        <is>
          <t>BOOK</t>
        </is>
      </c>
      <c r="BB696" t="inlineStr">
        <is>
          <t>9781850750376</t>
        </is>
      </c>
      <c r="BC696" t="inlineStr">
        <is>
          <t>32285000745330</t>
        </is>
      </c>
      <c r="BD696" t="inlineStr">
        <is>
          <t>893772289</t>
        </is>
      </c>
    </row>
    <row r="697">
      <c r="A697" t="inlineStr">
        <is>
          <t>No</t>
        </is>
      </c>
      <c r="B697" t="inlineStr">
        <is>
          <t>BT431 .B413 1969</t>
        </is>
      </c>
      <c r="C697" t="inlineStr">
        <is>
          <t>0                      BT 0431000B  413         1969</t>
        </is>
      </c>
      <c r="D697" t="inlineStr">
        <is>
          <t>The passion and Resurrection of Jesus Christ / Pierre Benoit. Translated by Benet Weatherhead.</t>
        </is>
      </c>
      <c r="F697" t="inlineStr">
        <is>
          <t>No</t>
        </is>
      </c>
      <c r="G697" t="inlineStr">
        <is>
          <t>1</t>
        </is>
      </c>
      <c r="H697" t="inlineStr">
        <is>
          <t>No</t>
        </is>
      </c>
      <c r="I697" t="inlineStr">
        <is>
          <t>No</t>
        </is>
      </c>
      <c r="J697" t="inlineStr">
        <is>
          <t>0</t>
        </is>
      </c>
      <c r="K697" t="inlineStr">
        <is>
          <t>Benoit, Pierre, 1906 August 3-1987.</t>
        </is>
      </c>
      <c r="L697" t="inlineStr">
        <is>
          <t>New York : Herder and Herder, [1969]</t>
        </is>
      </c>
      <c r="M697" t="inlineStr">
        <is>
          <t>1969</t>
        </is>
      </c>
      <c r="O697" t="inlineStr">
        <is>
          <t>eng</t>
        </is>
      </c>
      <c r="P697" t="inlineStr">
        <is>
          <t>nyu</t>
        </is>
      </c>
      <c r="R697" t="inlineStr">
        <is>
          <t xml:space="preserve">BT </t>
        </is>
      </c>
      <c r="S697" t="n">
        <v>7</v>
      </c>
      <c r="T697" t="n">
        <v>7</v>
      </c>
      <c r="U697" t="inlineStr">
        <is>
          <t>2008-06-11</t>
        </is>
      </c>
      <c r="V697" t="inlineStr">
        <is>
          <t>2008-06-11</t>
        </is>
      </c>
      <c r="W697" t="inlineStr">
        <is>
          <t>1991-08-22</t>
        </is>
      </c>
      <c r="X697" t="inlineStr">
        <is>
          <t>1991-08-22</t>
        </is>
      </c>
      <c r="Y697" t="n">
        <v>426</v>
      </c>
      <c r="Z697" t="n">
        <v>349</v>
      </c>
      <c r="AA697" t="n">
        <v>358</v>
      </c>
      <c r="AB697" t="n">
        <v>3</v>
      </c>
      <c r="AC697" t="n">
        <v>3</v>
      </c>
      <c r="AD697" t="n">
        <v>36</v>
      </c>
      <c r="AE697" t="n">
        <v>36</v>
      </c>
      <c r="AF697" t="n">
        <v>13</v>
      </c>
      <c r="AG697" t="n">
        <v>13</v>
      </c>
      <c r="AH697" t="n">
        <v>9</v>
      </c>
      <c r="AI697" t="n">
        <v>9</v>
      </c>
      <c r="AJ697" t="n">
        <v>24</v>
      </c>
      <c r="AK697" t="n">
        <v>24</v>
      </c>
      <c r="AL697" t="n">
        <v>1</v>
      </c>
      <c r="AM697" t="n">
        <v>1</v>
      </c>
      <c r="AN697" t="n">
        <v>0</v>
      </c>
      <c r="AO697" t="n">
        <v>0</v>
      </c>
      <c r="AP697" t="inlineStr">
        <is>
          <t>No</t>
        </is>
      </c>
      <c r="AQ697" t="inlineStr">
        <is>
          <t>Yes</t>
        </is>
      </c>
      <c r="AR697">
        <f>HYPERLINK("http://catalog.hathitrust.org/Record/007127012","HathiTrust Record")</f>
        <v/>
      </c>
      <c r="AS697">
        <f>HYPERLINK("https://creighton-primo.hosted.exlibrisgroup.com/primo-explore/search?tab=default_tab&amp;search_scope=EVERYTHING&amp;vid=01CRU&amp;lang=en_US&amp;offset=0&amp;query=any,contains,991000679299702656","Catalog Record")</f>
        <v/>
      </c>
      <c r="AT697">
        <f>HYPERLINK("http://www.worldcat.org/oclc/121062","WorldCat Record")</f>
        <v/>
      </c>
      <c r="AU697" t="inlineStr">
        <is>
          <t>281252320:eng</t>
        </is>
      </c>
      <c r="AV697" t="inlineStr">
        <is>
          <t>121062</t>
        </is>
      </c>
      <c r="AW697" t="inlineStr">
        <is>
          <t>991000679299702656</t>
        </is>
      </c>
      <c r="AX697" t="inlineStr">
        <is>
          <t>991000679299702656</t>
        </is>
      </c>
      <c r="AY697" t="inlineStr">
        <is>
          <t>2262125120002656</t>
        </is>
      </c>
      <c r="AZ697" t="inlineStr">
        <is>
          <t>BOOK</t>
        </is>
      </c>
      <c r="BB697" t="inlineStr">
        <is>
          <t>9780232481105</t>
        </is>
      </c>
      <c r="BC697" t="inlineStr">
        <is>
          <t>32285000745496</t>
        </is>
      </c>
      <c r="BD697" t="inlineStr">
        <is>
          <t>893315141</t>
        </is>
      </c>
    </row>
    <row r="698">
      <c r="A698" t="inlineStr">
        <is>
          <t>No</t>
        </is>
      </c>
      <c r="B698" t="inlineStr">
        <is>
          <t>BT431 .M32 1996</t>
        </is>
      </c>
      <c r="C698" t="inlineStr">
        <is>
          <t>0                      BT 0431000M  32          1996</t>
        </is>
      </c>
      <c r="D698" t="inlineStr">
        <is>
          <t>Cross of death, tree of life : a sacred reading of the story of Redemption / Jerome Machar.</t>
        </is>
      </c>
      <c r="F698" t="inlineStr">
        <is>
          <t>No</t>
        </is>
      </c>
      <c r="G698" t="inlineStr">
        <is>
          <t>1</t>
        </is>
      </c>
      <c r="H698" t="inlineStr">
        <is>
          <t>No</t>
        </is>
      </c>
      <c r="I698" t="inlineStr">
        <is>
          <t>No</t>
        </is>
      </c>
      <c r="J698" t="inlineStr">
        <is>
          <t>0</t>
        </is>
      </c>
      <c r="K698" t="inlineStr">
        <is>
          <t>Machar, Jerome.</t>
        </is>
      </c>
      <c r="L698" t="inlineStr">
        <is>
          <t>Notre Dame, Ind. : Ave Maria Press, c1996.</t>
        </is>
      </c>
      <c r="M698" t="inlineStr">
        <is>
          <t>1996</t>
        </is>
      </c>
      <c r="O698" t="inlineStr">
        <is>
          <t>eng</t>
        </is>
      </c>
      <c r="P698" t="inlineStr">
        <is>
          <t>inu</t>
        </is>
      </c>
      <c r="R698" t="inlineStr">
        <is>
          <t xml:space="preserve">BT </t>
        </is>
      </c>
      <c r="S698" t="n">
        <v>5</v>
      </c>
      <c r="T698" t="n">
        <v>5</v>
      </c>
      <c r="U698" t="inlineStr">
        <is>
          <t>2006-04-26</t>
        </is>
      </c>
      <c r="V698" t="inlineStr">
        <is>
          <t>2006-04-26</t>
        </is>
      </c>
      <c r="W698" t="inlineStr">
        <is>
          <t>1996-11-13</t>
        </is>
      </c>
      <c r="X698" t="inlineStr">
        <is>
          <t>1996-11-13</t>
        </is>
      </c>
      <c r="Y698" t="n">
        <v>99</v>
      </c>
      <c r="Z698" t="n">
        <v>89</v>
      </c>
      <c r="AA698" t="n">
        <v>89</v>
      </c>
      <c r="AB698" t="n">
        <v>2</v>
      </c>
      <c r="AC698" t="n">
        <v>2</v>
      </c>
      <c r="AD698" t="n">
        <v>9</v>
      </c>
      <c r="AE698" t="n">
        <v>9</v>
      </c>
      <c r="AF698" t="n">
        <v>1</v>
      </c>
      <c r="AG698" t="n">
        <v>1</v>
      </c>
      <c r="AH698" t="n">
        <v>3</v>
      </c>
      <c r="AI698" t="n">
        <v>3</v>
      </c>
      <c r="AJ698" t="n">
        <v>5</v>
      </c>
      <c r="AK698" t="n">
        <v>5</v>
      </c>
      <c r="AL698" t="n">
        <v>0</v>
      </c>
      <c r="AM698" t="n">
        <v>0</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HYPERLINK("https://creighton-primo.hosted.exlibrisgroup.com/primo-explore/search?tab=default_tab&amp;search_scope=EVERYTHING&amp;vid=01CRU&amp;lang=en_US&amp;offset=0&amp;query=any,contains,991002682809702656","Catalog Record")</f>
        <v/>
      </c>
      <c r="AT698">
        <f>HYPERLINK("http://www.worldcat.org/oclc/35049638","WorldCat Record")</f>
        <v/>
      </c>
      <c r="AU698" t="inlineStr">
        <is>
          <t>41159379:eng</t>
        </is>
      </c>
      <c r="AV698" t="inlineStr">
        <is>
          <t>35049638</t>
        </is>
      </c>
      <c r="AW698" t="inlineStr">
        <is>
          <t>991002682809702656</t>
        </is>
      </c>
      <c r="AX698" t="inlineStr">
        <is>
          <t>991002682809702656</t>
        </is>
      </c>
      <c r="AY698" t="inlineStr">
        <is>
          <t>2271027570002656</t>
        </is>
      </c>
      <c r="AZ698" t="inlineStr">
        <is>
          <t>BOOK</t>
        </is>
      </c>
      <c r="BB698" t="inlineStr">
        <is>
          <t>9780877935957</t>
        </is>
      </c>
      <c r="BC698" t="inlineStr">
        <is>
          <t>32285002372083</t>
        </is>
      </c>
      <c r="BD698" t="inlineStr">
        <is>
          <t>893233270</t>
        </is>
      </c>
    </row>
    <row r="699">
      <c r="A699" t="inlineStr">
        <is>
          <t>No</t>
        </is>
      </c>
      <c r="B699" t="inlineStr">
        <is>
          <t>BT431 .R48 1969</t>
        </is>
      </c>
      <c r="C699" t="inlineStr">
        <is>
          <t>0                      BT 0431000R  48          1969</t>
        </is>
      </c>
      <c r="D699" t="inlineStr">
        <is>
          <t>The redeeming Christ / [by] Peter J. Riga.</t>
        </is>
      </c>
      <c r="F699" t="inlineStr">
        <is>
          <t>No</t>
        </is>
      </c>
      <c r="G699" t="inlineStr">
        <is>
          <t>1</t>
        </is>
      </c>
      <c r="H699" t="inlineStr">
        <is>
          <t>No</t>
        </is>
      </c>
      <c r="I699" t="inlineStr">
        <is>
          <t>No</t>
        </is>
      </c>
      <c r="J699" t="inlineStr">
        <is>
          <t>0</t>
        </is>
      </c>
      <c r="K699" t="inlineStr">
        <is>
          <t>Riga, Peter J.</t>
        </is>
      </c>
      <c r="L699" t="inlineStr">
        <is>
          <t>Washington : Corpus Books, [1969]</t>
        </is>
      </c>
      <c r="M699" t="inlineStr">
        <is>
          <t>1969</t>
        </is>
      </c>
      <c r="O699" t="inlineStr">
        <is>
          <t>eng</t>
        </is>
      </c>
      <c r="P699" t="inlineStr">
        <is>
          <t>dcu</t>
        </is>
      </c>
      <c r="R699" t="inlineStr">
        <is>
          <t xml:space="preserve">BT </t>
        </is>
      </c>
      <c r="S699" t="n">
        <v>3</v>
      </c>
      <c r="T699" t="n">
        <v>3</v>
      </c>
      <c r="U699" t="inlineStr">
        <is>
          <t>1993-11-09</t>
        </is>
      </c>
      <c r="V699" t="inlineStr">
        <is>
          <t>1993-11-09</t>
        </is>
      </c>
      <c r="W699" t="inlineStr">
        <is>
          <t>1991-08-22</t>
        </is>
      </c>
      <c r="X699" t="inlineStr">
        <is>
          <t>1991-08-22</t>
        </is>
      </c>
      <c r="Y699" t="n">
        <v>183</v>
      </c>
      <c r="Z699" t="n">
        <v>163</v>
      </c>
      <c r="AA699" t="n">
        <v>169</v>
      </c>
      <c r="AB699" t="n">
        <v>4</v>
      </c>
      <c r="AC699" t="n">
        <v>4</v>
      </c>
      <c r="AD699" t="n">
        <v>19</v>
      </c>
      <c r="AE699" t="n">
        <v>19</v>
      </c>
      <c r="AF699" t="n">
        <v>6</v>
      </c>
      <c r="AG699" t="n">
        <v>6</v>
      </c>
      <c r="AH699" t="n">
        <v>5</v>
      </c>
      <c r="AI699" t="n">
        <v>5</v>
      </c>
      <c r="AJ699" t="n">
        <v>12</v>
      </c>
      <c r="AK699" t="n">
        <v>12</v>
      </c>
      <c r="AL699" t="n">
        <v>2</v>
      </c>
      <c r="AM699" t="n">
        <v>2</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HYPERLINK("https://creighton-primo.hosted.exlibrisgroup.com/primo-explore/search?tab=default_tab&amp;search_scope=EVERYTHING&amp;vid=01CRU&amp;lang=en_US&amp;offset=0&amp;query=any,contains,991000744879702656","Catalog Record")</f>
        <v/>
      </c>
      <c r="AT699">
        <f>HYPERLINK("http://www.worldcat.org/oclc/129859","WorldCat Record")</f>
        <v/>
      </c>
      <c r="AU699" t="inlineStr">
        <is>
          <t>1262783:eng</t>
        </is>
      </c>
      <c r="AV699" t="inlineStr">
        <is>
          <t>129859</t>
        </is>
      </c>
      <c r="AW699" t="inlineStr">
        <is>
          <t>991000744879702656</t>
        </is>
      </c>
      <c r="AX699" t="inlineStr">
        <is>
          <t>991000744879702656</t>
        </is>
      </c>
      <c r="AY699" t="inlineStr">
        <is>
          <t>2266670610002656</t>
        </is>
      </c>
      <c r="AZ699" t="inlineStr">
        <is>
          <t>BOOK</t>
        </is>
      </c>
      <c r="BC699" t="inlineStr">
        <is>
          <t>32285000745520</t>
        </is>
      </c>
      <c r="BD699" t="inlineStr">
        <is>
          <t>893784496</t>
        </is>
      </c>
    </row>
    <row r="700">
      <c r="A700" t="inlineStr">
        <is>
          <t>No</t>
        </is>
      </c>
      <c r="B700" t="inlineStr">
        <is>
          <t>BT431 .T76 1983</t>
        </is>
      </c>
      <c r="C700" t="inlineStr">
        <is>
          <t>0                      BT 0431000T  76          1983</t>
        </is>
      </c>
      <c r="D700" t="inlineStr">
        <is>
          <t>The passion as liturgy : a study in the origin of the passion narratives in the four gospels / Etienne Trocmé.</t>
        </is>
      </c>
      <c r="F700" t="inlineStr">
        <is>
          <t>No</t>
        </is>
      </c>
      <c r="G700" t="inlineStr">
        <is>
          <t>1</t>
        </is>
      </c>
      <c r="H700" t="inlineStr">
        <is>
          <t>No</t>
        </is>
      </c>
      <c r="I700" t="inlineStr">
        <is>
          <t>No</t>
        </is>
      </c>
      <c r="J700" t="inlineStr">
        <is>
          <t>0</t>
        </is>
      </c>
      <c r="K700" t="inlineStr">
        <is>
          <t>Trocmé, Etienne, 1924-</t>
        </is>
      </c>
      <c r="L700" t="inlineStr">
        <is>
          <t>London : SCM Press, c1983.</t>
        </is>
      </c>
      <c r="M700" t="inlineStr">
        <is>
          <t>1983</t>
        </is>
      </c>
      <c r="O700" t="inlineStr">
        <is>
          <t>eng</t>
        </is>
      </c>
      <c r="P700" t="inlineStr">
        <is>
          <t>enk</t>
        </is>
      </c>
      <c r="R700" t="inlineStr">
        <is>
          <t xml:space="preserve">BT </t>
        </is>
      </c>
      <c r="S700" t="n">
        <v>8</v>
      </c>
      <c r="T700" t="n">
        <v>8</v>
      </c>
      <c r="U700" t="inlineStr">
        <is>
          <t>2010-02-14</t>
        </is>
      </c>
      <c r="V700" t="inlineStr">
        <is>
          <t>2010-02-14</t>
        </is>
      </c>
      <c r="W700" t="inlineStr">
        <is>
          <t>1991-08-22</t>
        </is>
      </c>
      <c r="X700" t="inlineStr">
        <is>
          <t>1991-08-22</t>
        </is>
      </c>
      <c r="Y700" t="n">
        <v>176</v>
      </c>
      <c r="Z700" t="n">
        <v>103</v>
      </c>
      <c r="AA700" t="n">
        <v>104</v>
      </c>
      <c r="AB700" t="n">
        <v>1</v>
      </c>
      <c r="AC700" t="n">
        <v>1</v>
      </c>
      <c r="AD700" t="n">
        <v>8</v>
      </c>
      <c r="AE700" t="n">
        <v>8</v>
      </c>
      <c r="AF700" t="n">
        <v>1</v>
      </c>
      <c r="AG700" t="n">
        <v>1</v>
      </c>
      <c r="AH700" t="n">
        <v>2</v>
      </c>
      <c r="AI700" t="n">
        <v>2</v>
      </c>
      <c r="AJ700" t="n">
        <v>7</v>
      </c>
      <c r="AK700" t="n">
        <v>7</v>
      </c>
      <c r="AL700" t="n">
        <v>0</v>
      </c>
      <c r="AM700" t="n">
        <v>0</v>
      </c>
      <c r="AN700" t="n">
        <v>0</v>
      </c>
      <c r="AO700" t="n">
        <v>0</v>
      </c>
      <c r="AP700" t="inlineStr">
        <is>
          <t>No</t>
        </is>
      </c>
      <c r="AQ700" t="inlineStr">
        <is>
          <t>Yes</t>
        </is>
      </c>
      <c r="AR700">
        <f>HYPERLINK("http://catalog.hathitrust.org/Record/002197188","HathiTrust Record")</f>
        <v/>
      </c>
      <c r="AS700">
        <f>HYPERLINK("https://creighton-primo.hosted.exlibrisgroup.com/primo-explore/search?tab=default_tab&amp;search_scope=EVERYTHING&amp;vid=01CRU&amp;lang=en_US&amp;offset=0&amp;query=any,contains,991000224489702656","Catalog Record")</f>
        <v/>
      </c>
      <c r="AT700">
        <f>HYPERLINK("http://www.worldcat.org/oclc/59105319","WorldCat Record")</f>
        <v/>
      </c>
      <c r="AU700" t="inlineStr">
        <is>
          <t>203277132:eng</t>
        </is>
      </c>
      <c r="AV700" t="inlineStr">
        <is>
          <t>59105319</t>
        </is>
      </c>
      <c r="AW700" t="inlineStr">
        <is>
          <t>991000224489702656</t>
        </is>
      </c>
      <c r="AX700" t="inlineStr">
        <is>
          <t>991000224489702656</t>
        </is>
      </c>
      <c r="AY700" t="inlineStr">
        <is>
          <t>2256464520002656</t>
        </is>
      </c>
      <c r="AZ700" t="inlineStr">
        <is>
          <t>BOOK</t>
        </is>
      </c>
      <c r="BB700" t="inlineStr">
        <is>
          <t>9780334022398</t>
        </is>
      </c>
      <c r="BC700" t="inlineStr">
        <is>
          <t>32285000745553</t>
        </is>
      </c>
      <c r="BD700" t="inlineStr">
        <is>
          <t>893607759</t>
        </is>
      </c>
    </row>
    <row r="701">
      <c r="A701" t="inlineStr">
        <is>
          <t>No</t>
        </is>
      </c>
      <c r="B701" t="inlineStr">
        <is>
          <t>BT431 .V35 1952</t>
        </is>
      </c>
      <c r="C701" t="inlineStr">
        <is>
          <t>0                      BT 0431000V  35          1952</t>
        </is>
      </c>
      <c r="D701" t="inlineStr">
        <is>
          <t>The pain of Christ and the sorrow of God / by Gerald Vann.</t>
        </is>
      </c>
      <c r="F701" t="inlineStr">
        <is>
          <t>No</t>
        </is>
      </c>
      <c r="G701" t="inlineStr">
        <is>
          <t>1</t>
        </is>
      </c>
      <c r="H701" t="inlineStr">
        <is>
          <t>No</t>
        </is>
      </c>
      <c r="I701" t="inlineStr">
        <is>
          <t>No</t>
        </is>
      </c>
      <c r="J701" t="inlineStr">
        <is>
          <t>0</t>
        </is>
      </c>
      <c r="K701" t="inlineStr">
        <is>
          <t>Vann, Gerald, 1906-1963.</t>
        </is>
      </c>
      <c r="L701" t="inlineStr">
        <is>
          <t>London : Blackfriars, 1952.</t>
        </is>
      </c>
      <c r="M701" t="inlineStr">
        <is>
          <t>1952</t>
        </is>
      </c>
      <c r="N701" t="inlineStr">
        <is>
          <t>3d ed.</t>
        </is>
      </c>
      <c r="O701" t="inlineStr">
        <is>
          <t>eng</t>
        </is>
      </c>
      <c r="P701" t="inlineStr">
        <is>
          <t>enk</t>
        </is>
      </c>
      <c r="R701" t="inlineStr">
        <is>
          <t xml:space="preserve">BT </t>
        </is>
      </c>
      <c r="S701" t="n">
        <v>0</v>
      </c>
      <c r="T701" t="n">
        <v>0</v>
      </c>
      <c r="U701" t="inlineStr">
        <is>
          <t>2003-12-10</t>
        </is>
      </c>
      <c r="V701" t="inlineStr">
        <is>
          <t>2003-12-10</t>
        </is>
      </c>
      <c r="W701" t="inlineStr">
        <is>
          <t>1991-08-22</t>
        </is>
      </c>
      <c r="X701" t="inlineStr">
        <is>
          <t>1991-08-22</t>
        </is>
      </c>
      <c r="Y701" t="n">
        <v>42</v>
      </c>
      <c r="Z701" t="n">
        <v>36</v>
      </c>
      <c r="AA701" t="n">
        <v>121</v>
      </c>
      <c r="AB701" t="n">
        <v>2</v>
      </c>
      <c r="AC701" t="n">
        <v>2</v>
      </c>
      <c r="AD701" t="n">
        <v>11</v>
      </c>
      <c r="AE701" t="n">
        <v>20</v>
      </c>
      <c r="AF701" t="n">
        <v>6</v>
      </c>
      <c r="AG701" t="n">
        <v>8</v>
      </c>
      <c r="AH701" t="n">
        <v>2</v>
      </c>
      <c r="AI701" t="n">
        <v>5</v>
      </c>
      <c r="AJ701" t="n">
        <v>8</v>
      </c>
      <c r="AK701" t="n">
        <v>15</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HYPERLINK("https://creighton-primo.hosted.exlibrisgroup.com/primo-explore/search?tab=default_tab&amp;search_scope=EVERYTHING&amp;vid=01CRU&amp;lang=en_US&amp;offset=0&amp;query=any,contains,991003945039702656","Catalog Record")</f>
        <v/>
      </c>
      <c r="AT701">
        <f>HYPERLINK("http://www.worldcat.org/oclc/1944936","WorldCat Record")</f>
        <v/>
      </c>
      <c r="AU701" t="inlineStr">
        <is>
          <t>2681328:eng</t>
        </is>
      </c>
      <c r="AV701" t="inlineStr">
        <is>
          <t>1944936</t>
        </is>
      </c>
      <c r="AW701" t="inlineStr">
        <is>
          <t>991003945039702656</t>
        </is>
      </c>
      <c r="AX701" t="inlineStr">
        <is>
          <t>991003945039702656</t>
        </is>
      </c>
      <c r="AY701" t="inlineStr">
        <is>
          <t>2266262790002656</t>
        </is>
      </c>
      <c r="AZ701" t="inlineStr">
        <is>
          <t>BOOK</t>
        </is>
      </c>
      <c r="BC701" t="inlineStr">
        <is>
          <t>32285000745561</t>
        </is>
      </c>
      <c r="BD701" t="inlineStr">
        <is>
          <t>893627903</t>
        </is>
      </c>
    </row>
    <row r="702">
      <c r="A702" t="inlineStr">
        <is>
          <t>No</t>
        </is>
      </c>
      <c r="B702" t="inlineStr">
        <is>
          <t>BT440 .J8</t>
        </is>
      </c>
      <c r="C702" t="inlineStr">
        <is>
          <t>0                      BT 0440000J  8</t>
        </is>
      </c>
      <c r="D702" t="inlineStr">
        <is>
          <t>Messiah and temple : the trial of Jesus in the Gospel of Mark / by Donald Juel.</t>
        </is>
      </c>
      <c r="F702" t="inlineStr">
        <is>
          <t>No</t>
        </is>
      </c>
      <c r="G702" t="inlineStr">
        <is>
          <t>1</t>
        </is>
      </c>
      <c r="H702" t="inlineStr">
        <is>
          <t>No</t>
        </is>
      </c>
      <c r="I702" t="inlineStr">
        <is>
          <t>No</t>
        </is>
      </c>
      <c r="J702" t="inlineStr">
        <is>
          <t>0</t>
        </is>
      </c>
      <c r="K702" t="inlineStr">
        <is>
          <t>Juel, Donald H. (Donald Harrisville)</t>
        </is>
      </c>
      <c r="L702" t="inlineStr">
        <is>
          <t>Missoula, Mont. : Published by Scholars Press for the Society of Biblical Literature, c1977.</t>
        </is>
      </c>
      <c r="M702" t="inlineStr">
        <is>
          <t>1977</t>
        </is>
      </c>
      <c r="O702" t="inlineStr">
        <is>
          <t>eng</t>
        </is>
      </c>
      <c r="P702" t="inlineStr">
        <is>
          <t>mtu</t>
        </is>
      </c>
      <c r="Q702" t="inlineStr">
        <is>
          <t>Dissertation series (Society of Biblical Literature) ; no. 31</t>
        </is>
      </c>
      <c r="R702" t="inlineStr">
        <is>
          <t xml:space="preserve">BT </t>
        </is>
      </c>
      <c r="S702" t="n">
        <v>8</v>
      </c>
      <c r="T702" t="n">
        <v>8</v>
      </c>
      <c r="U702" t="inlineStr">
        <is>
          <t>2000-11-30</t>
        </is>
      </c>
      <c r="V702" t="inlineStr">
        <is>
          <t>2000-11-30</t>
        </is>
      </c>
      <c r="W702" t="inlineStr">
        <is>
          <t>1991-08-22</t>
        </is>
      </c>
      <c r="X702" t="inlineStr">
        <is>
          <t>1991-08-22</t>
        </is>
      </c>
      <c r="Y702" t="n">
        <v>338</v>
      </c>
      <c r="Z702" t="n">
        <v>263</v>
      </c>
      <c r="AA702" t="n">
        <v>266</v>
      </c>
      <c r="AB702" t="n">
        <v>2</v>
      </c>
      <c r="AC702" t="n">
        <v>2</v>
      </c>
      <c r="AD702" t="n">
        <v>26</v>
      </c>
      <c r="AE702" t="n">
        <v>26</v>
      </c>
      <c r="AF702" t="n">
        <v>9</v>
      </c>
      <c r="AG702" t="n">
        <v>9</v>
      </c>
      <c r="AH702" t="n">
        <v>6</v>
      </c>
      <c r="AI702" t="n">
        <v>6</v>
      </c>
      <c r="AJ702" t="n">
        <v>15</v>
      </c>
      <c r="AK702" t="n">
        <v>15</v>
      </c>
      <c r="AL702" t="n">
        <v>1</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HYPERLINK("https://creighton-primo.hosted.exlibrisgroup.com/primo-explore/search?tab=default_tab&amp;search_scope=EVERYTHING&amp;vid=01CRU&amp;lang=en_US&amp;offset=0&amp;query=any,contains,991004151379702656","Catalog Record")</f>
        <v/>
      </c>
      <c r="AT702">
        <f>HYPERLINK("http://www.worldcat.org/oclc/2524881","WorldCat Record")</f>
        <v/>
      </c>
      <c r="AU702" t="inlineStr">
        <is>
          <t>889357068:eng</t>
        </is>
      </c>
      <c r="AV702" t="inlineStr">
        <is>
          <t>2524881</t>
        </is>
      </c>
      <c r="AW702" t="inlineStr">
        <is>
          <t>991004151379702656</t>
        </is>
      </c>
      <c r="AX702" t="inlineStr">
        <is>
          <t>991004151379702656</t>
        </is>
      </c>
      <c r="AY702" t="inlineStr">
        <is>
          <t>2272621430002656</t>
        </is>
      </c>
      <c r="AZ702" t="inlineStr">
        <is>
          <t>BOOK</t>
        </is>
      </c>
      <c r="BB702" t="inlineStr">
        <is>
          <t>9780891301202</t>
        </is>
      </c>
      <c r="BC702" t="inlineStr">
        <is>
          <t>32285000745595</t>
        </is>
      </c>
      <c r="BD702" t="inlineStr">
        <is>
          <t>893875746</t>
        </is>
      </c>
    </row>
    <row r="703">
      <c r="A703" t="inlineStr">
        <is>
          <t>No</t>
        </is>
      </c>
      <c r="B703" t="inlineStr">
        <is>
          <t>BT450 .B5713</t>
        </is>
      </c>
      <c r="C703" t="inlineStr">
        <is>
          <t>0                      BT 0450000B  5713</t>
        </is>
      </c>
      <c r="D703" t="inlineStr">
        <is>
          <t>Way of the Cross--way of justice / Leonardo Boff ; translated from the Portuguese by John Drury.</t>
        </is>
      </c>
      <c r="F703" t="inlineStr">
        <is>
          <t>No</t>
        </is>
      </c>
      <c r="G703" t="inlineStr">
        <is>
          <t>1</t>
        </is>
      </c>
      <c r="H703" t="inlineStr">
        <is>
          <t>No</t>
        </is>
      </c>
      <c r="I703" t="inlineStr">
        <is>
          <t>No</t>
        </is>
      </c>
      <c r="J703" t="inlineStr">
        <is>
          <t>0</t>
        </is>
      </c>
      <c r="K703" t="inlineStr">
        <is>
          <t>Boff, Leonardo.</t>
        </is>
      </c>
      <c r="L703" t="inlineStr">
        <is>
          <t>Maryknoll, N.Y. : Orbis Books, c1980.</t>
        </is>
      </c>
      <c r="M703" t="inlineStr">
        <is>
          <t>1980</t>
        </is>
      </c>
      <c r="O703" t="inlineStr">
        <is>
          <t>eng</t>
        </is>
      </c>
      <c r="P703" t="inlineStr">
        <is>
          <t>nyu</t>
        </is>
      </c>
      <c r="R703" t="inlineStr">
        <is>
          <t xml:space="preserve">BT </t>
        </is>
      </c>
      <c r="S703" t="n">
        <v>8</v>
      </c>
      <c r="T703" t="n">
        <v>8</v>
      </c>
      <c r="U703" t="inlineStr">
        <is>
          <t>1996-09-30</t>
        </is>
      </c>
      <c r="V703" t="inlineStr">
        <is>
          <t>1996-09-30</t>
        </is>
      </c>
      <c r="W703" t="inlineStr">
        <is>
          <t>1990-04-17</t>
        </is>
      </c>
      <c r="X703" t="inlineStr">
        <is>
          <t>1990-04-17</t>
        </is>
      </c>
      <c r="Y703" t="n">
        <v>353</v>
      </c>
      <c r="Z703" t="n">
        <v>289</v>
      </c>
      <c r="AA703" t="n">
        <v>295</v>
      </c>
      <c r="AB703" t="n">
        <v>1</v>
      </c>
      <c r="AC703" t="n">
        <v>1</v>
      </c>
      <c r="AD703" t="n">
        <v>20</v>
      </c>
      <c r="AE703" t="n">
        <v>20</v>
      </c>
      <c r="AF703" t="n">
        <v>6</v>
      </c>
      <c r="AG703" t="n">
        <v>6</v>
      </c>
      <c r="AH703" t="n">
        <v>4</v>
      </c>
      <c r="AI703" t="n">
        <v>4</v>
      </c>
      <c r="AJ703" t="n">
        <v>14</v>
      </c>
      <c r="AK703" t="n">
        <v>14</v>
      </c>
      <c r="AL703" t="n">
        <v>0</v>
      </c>
      <c r="AM703" t="n">
        <v>0</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HYPERLINK("https://creighton-primo.hosted.exlibrisgroup.com/primo-explore/search?tab=default_tab&amp;search_scope=EVERYTHING&amp;vid=01CRU&amp;lang=en_US&amp;offset=0&amp;query=any,contains,991004856979702656","Catalog Record")</f>
        <v/>
      </c>
      <c r="AT703">
        <f>HYPERLINK("http://www.worldcat.org/oclc/5675697","WorldCat Record")</f>
        <v/>
      </c>
      <c r="AU703" t="inlineStr">
        <is>
          <t>350971985:eng</t>
        </is>
      </c>
      <c r="AV703" t="inlineStr">
        <is>
          <t>5675697</t>
        </is>
      </c>
      <c r="AW703" t="inlineStr">
        <is>
          <t>991004856979702656</t>
        </is>
      </c>
      <c r="AX703" t="inlineStr">
        <is>
          <t>991004856979702656</t>
        </is>
      </c>
      <c r="AY703" t="inlineStr">
        <is>
          <t>2260556690002656</t>
        </is>
      </c>
      <c r="AZ703" t="inlineStr">
        <is>
          <t>BOOK</t>
        </is>
      </c>
      <c r="BB703" t="inlineStr">
        <is>
          <t>9780883447017</t>
        </is>
      </c>
      <c r="BC703" t="inlineStr">
        <is>
          <t>32285000122951</t>
        </is>
      </c>
      <c r="BD703" t="inlineStr">
        <is>
          <t>893235998</t>
        </is>
      </c>
    </row>
    <row r="704">
      <c r="A704" t="inlineStr">
        <is>
          <t>No</t>
        </is>
      </c>
      <c r="B704" t="inlineStr">
        <is>
          <t>BT450 .G7 1990</t>
        </is>
      </c>
      <c r="C704" t="inlineStr">
        <is>
          <t>0                      BT 0450000G  7           1990</t>
        </is>
      </c>
      <c r="D704" t="inlineStr">
        <is>
          <t>Dying, we live : a new enquiry into the death of Christ in the New Testament / Kenneth Grayston.</t>
        </is>
      </c>
      <c r="F704" t="inlineStr">
        <is>
          <t>No</t>
        </is>
      </c>
      <c r="G704" t="inlineStr">
        <is>
          <t>1</t>
        </is>
      </c>
      <c r="H704" t="inlineStr">
        <is>
          <t>No</t>
        </is>
      </c>
      <c r="I704" t="inlineStr">
        <is>
          <t>No</t>
        </is>
      </c>
      <c r="J704" t="inlineStr">
        <is>
          <t>0</t>
        </is>
      </c>
      <c r="K704" t="inlineStr">
        <is>
          <t>Grayston, Kenneth.</t>
        </is>
      </c>
      <c r="L704" t="inlineStr">
        <is>
          <t>New York : Oxford University Press, 1990.</t>
        </is>
      </c>
      <c r="M704" t="inlineStr">
        <is>
          <t>1990</t>
        </is>
      </c>
      <c r="O704" t="inlineStr">
        <is>
          <t>eng</t>
        </is>
      </c>
      <c r="P704" t="inlineStr">
        <is>
          <t>nyu</t>
        </is>
      </c>
      <c r="R704" t="inlineStr">
        <is>
          <t xml:space="preserve">BT </t>
        </is>
      </c>
      <c r="S704" t="n">
        <v>6</v>
      </c>
      <c r="T704" t="n">
        <v>6</v>
      </c>
      <c r="U704" t="inlineStr">
        <is>
          <t>1994-11-29</t>
        </is>
      </c>
      <c r="V704" t="inlineStr">
        <is>
          <t>1994-11-29</t>
        </is>
      </c>
      <c r="W704" t="inlineStr">
        <is>
          <t>1992-12-01</t>
        </is>
      </c>
      <c r="X704" t="inlineStr">
        <is>
          <t>1992-12-01</t>
        </is>
      </c>
      <c r="Y704" t="n">
        <v>388</v>
      </c>
      <c r="Z704" t="n">
        <v>338</v>
      </c>
      <c r="AA704" t="n">
        <v>359</v>
      </c>
      <c r="AB704" t="n">
        <v>2</v>
      </c>
      <c r="AC704" t="n">
        <v>2</v>
      </c>
      <c r="AD704" t="n">
        <v>29</v>
      </c>
      <c r="AE704" t="n">
        <v>29</v>
      </c>
      <c r="AF704" t="n">
        <v>15</v>
      </c>
      <c r="AG704" t="n">
        <v>15</v>
      </c>
      <c r="AH704" t="n">
        <v>4</v>
      </c>
      <c r="AI704" t="n">
        <v>4</v>
      </c>
      <c r="AJ704" t="n">
        <v>16</v>
      </c>
      <c r="AK704" t="n">
        <v>16</v>
      </c>
      <c r="AL704" t="n">
        <v>1</v>
      </c>
      <c r="AM704" t="n">
        <v>1</v>
      </c>
      <c r="AN704" t="n">
        <v>0</v>
      </c>
      <c r="AO704" t="n">
        <v>0</v>
      </c>
      <c r="AP704" t="inlineStr">
        <is>
          <t>No</t>
        </is>
      </c>
      <c r="AQ704" t="inlineStr">
        <is>
          <t>Yes</t>
        </is>
      </c>
      <c r="AR704">
        <f>HYPERLINK("http://catalog.hathitrust.org/Record/002227875","HathiTrust Record")</f>
        <v/>
      </c>
      <c r="AS704">
        <f>HYPERLINK("https://creighton-primo.hosted.exlibrisgroup.com/primo-explore/search?tab=default_tab&amp;search_scope=EVERYTHING&amp;vid=01CRU&amp;lang=en_US&amp;offset=0&amp;query=any,contains,991001519219702656","Catalog Record")</f>
        <v/>
      </c>
      <c r="AT704">
        <f>HYPERLINK("http://www.worldcat.org/oclc/19970894","WorldCat Record")</f>
        <v/>
      </c>
      <c r="AU704" t="inlineStr">
        <is>
          <t>21455838:eng</t>
        </is>
      </c>
      <c r="AV704" t="inlineStr">
        <is>
          <t>19970894</t>
        </is>
      </c>
      <c r="AW704" t="inlineStr">
        <is>
          <t>991001519219702656</t>
        </is>
      </c>
      <c r="AX704" t="inlineStr">
        <is>
          <t>991001519219702656</t>
        </is>
      </c>
      <c r="AY704" t="inlineStr">
        <is>
          <t>2261935900002656</t>
        </is>
      </c>
      <c r="AZ704" t="inlineStr">
        <is>
          <t>BOOK</t>
        </is>
      </c>
      <c r="BB704" t="inlineStr">
        <is>
          <t>9780195207897</t>
        </is>
      </c>
      <c r="BC704" t="inlineStr">
        <is>
          <t>32285001400828</t>
        </is>
      </c>
      <c r="BD704" t="inlineStr">
        <is>
          <t>893420382</t>
        </is>
      </c>
    </row>
    <row r="705">
      <c r="A705" t="inlineStr">
        <is>
          <t>No</t>
        </is>
      </c>
      <c r="B705" t="inlineStr">
        <is>
          <t>BT450 .M59 1980</t>
        </is>
      </c>
      <c r="C705" t="inlineStr">
        <is>
          <t>0                      BT 0450000M  59          1980</t>
        </is>
      </c>
      <c r="D705" t="inlineStr">
        <is>
          <t>The fire and the rose are one / Sebastian Moore.</t>
        </is>
      </c>
      <c r="F705" t="inlineStr">
        <is>
          <t>No</t>
        </is>
      </c>
      <c r="G705" t="inlineStr">
        <is>
          <t>1</t>
        </is>
      </c>
      <c r="H705" t="inlineStr">
        <is>
          <t>No</t>
        </is>
      </c>
      <c r="I705" t="inlineStr">
        <is>
          <t>No</t>
        </is>
      </c>
      <c r="J705" t="inlineStr">
        <is>
          <t>0</t>
        </is>
      </c>
      <c r="K705" t="inlineStr">
        <is>
          <t>Moore, Sebastian, 1917-2014.</t>
        </is>
      </c>
      <c r="L705" t="inlineStr">
        <is>
          <t>New York : Seabury Press, 1980.</t>
        </is>
      </c>
      <c r="M705" t="inlineStr">
        <is>
          <t>1980</t>
        </is>
      </c>
      <c r="O705" t="inlineStr">
        <is>
          <t>eng</t>
        </is>
      </c>
      <c r="P705" t="inlineStr">
        <is>
          <t>nyu</t>
        </is>
      </c>
      <c r="R705" t="inlineStr">
        <is>
          <t xml:space="preserve">BT </t>
        </is>
      </c>
      <c r="S705" t="n">
        <v>2</v>
      </c>
      <c r="T705" t="n">
        <v>2</v>
      </c>
      <c r="U705" t="inlineStr">
        <is>
          <t>2009-06-16</t>
        </is>
      </c>
      <c r="V705" t="inlineStr">
        <is>
          <t>2009-06-16</t>
        </is>
      </c>
      <c r="W705" t="inlineStr">
        <is>
          <t>2007-08-02</t>
        </is>
      </c>
      <c r="X705" t="inlineStr">
        <is>
          <t>2007-08-02</t>
        </is>
      </c>
      <c r="Y705" t="n">
        <v>282</v>
      </c>
      <c r="Z705" t="n">
        <v>255</v>
      </c>
      <c r="AA705" t="n">
        <v>267</v>
      </c>
      <c r="AB705" t="n">
        <v>2</v>
      </c>
      <c r="AC705" t="n">
        <v>2</v>
      </c>
      <c r="AD705" t="n">
        <v>25</v>
      </c>
      <c r="AE705" t="n">
        <v>25</v>
      </c>
      <c r="AF705" t="n">
        <v>8</v>
      </c>
      <c r="AG705" t="n">
        <v>8</v>
      </c>
      <c r="AH705" t="n">
        <v>5</v>
      </c>
      <c r="AI705" t="n">
        <v>5</v>
      </c>
      <c r="AJ705" t="n">
        <v>20</v>
      </c>
      <c r="AK705" t="n">
        <v>20</v>
      </c>
      <c r="AL705" t="n">
        <v>1</v>
      </c>
      <c r="AM705" t="n">
        <v>1</v>
      </c>
      <c r="AN705" t="n">
        <v>0</v>
      </c>
      <c r="AO705" t="n">
        <v>0</v>
      </c>
      <c r="AP705" t="inlineStr">
        <is>
          <t>No</t>
        </is>
      </c>
      <c r="AQ705" t="inlineStr">
        <is>
          <t>Yes</t>
        </is>
      </c>
      <c r="AR705">
        <f>HYPERLINK("http://catalog.hathitrust.org/Record/011804200","HathiTrust Record")</f>
        <v/>
      </c>
      <c r="AS705">
        <f>HYPERLINK("https://creighton-primo.hosted.exlibrisgroup.com/primo-explore/search?tab=default_tab&amp;search_scope=EVERYTHING&amp;vid=01CRU&amp;lang=en_US&amp;offset=0&amp;query=any,contains,991005106609702656","Catalog Record")</f>
        <v/>
      </c>
      <c r="AT705">
        <f>HYPERLINK("http://www.worldcat.org/oclc/6446865","WorldCat Record")</f>
        <v/>
      </c>
      <c r="AU705" t="inlineStr">
        <is>
          <t>479313:eng</t>
        </is>
      </c>
      <c r="AV705" t="inlineStr">
        <is>
          <t>6446865</t>
        </is>
      </c>
      <c r="AW705" t="inlineStr">
        <is>
          <t>991005106609702656</t>
        </is>
      </c>
      <c r="AX705" t="inlineStr">
        <is>
          <t>991005106609702656</t>
        </is>
      </c>
      <c r="AY705" t="inlineStr">
        <is>
          <t>2255945900002656</t>
        </is>
      </c>
      <c r="AZ705" t="inlineStr">
        <is>
          <t>BOOK</t>
        </is>
      </c>
      <c r="BB705" t="inlineStr">
        <is>
          <t>9780816404681</t>
        </is>
      </c>
      <c r="BC705" t="inlineStr">
        <is>
          <t>32285005322499</t>
        </is>
      </c>
      <c r="BD705" t="inlineStr">
        <is>
          <t>893776839</t>
        </is>
      </c>
    </row>
    <row r="706">
      <c r="A706" t="inlineStr">
        <is>
          <t>No</t>
        </is>
      </c>
      <c r="B706" t="inlineStr">
        <is>
          <t>BT450 .O25 1977</t>
        </is>
      </c>
      <c r="C706" t="inlineStr">
        <is>
          <t>0                      BT 0450000O  25          1977</t>
        </is>
      </c>
      <c r="D706" t="inlineStr">
        <is>
          <t>The Calvary Christ / Gerald O'Collins.</t>
        </is>
      </c>
      <c r="F706" t="inlineStr">
        <is>
          <t>No</t>
        </is>
      </c>
      <c r="G706" t="inlineStr">
        <is>
          <t>1</t>
        </is>
      </c>
      <c r="H706" t="inlineStr">
        <is>
          <t>No</t>
        </is>
      </c>
      <c r="I706" t="inlineStr">
        <is>
          <t>No</t>
        </is>
      </c>
      <c r="J706" t="inlineStr">
        <is>
          <t>0</t>
        </is>
      </c>
      <c r="K706" t="inlineStr">
        <is>
          <t>O'Collins, Gerald.</t>
        </is>
      </c>
      <c r="L706" t="inlineStr">
        <is>
          <t>Philadelphia : Westminster Press, c1977.</t>
        </is>
      </c>
      <c r="M706" t="inlineStr">
        <is>
          <t>1977</t>
        </is>
      </c>
      <c r="O706" t="inlineStr">
        <is>
          <t>eng</t>
        </is>
      </c>
      <c r="P706" t="inlineStr">
        <is>
          <t>pau</t>
        </is>
      </c>
      <c r="R706" t="inlineStr">
        <is>
          <t xml:space="preserve">BT </t>
        </is>
      </c>
      <c r="S706" t="n">
        <v>5</v>
      </c>
      <c r="T706" t="n">
        <v>5</v>
      </c>
      <c r="U706" t="inlineStr">
        <is>
          <t>2002-07-12</t>
        </is>
      </c>
      <c r="V706" t="inlineStr">
        <is>
          <t>2002-07-12</t>
        </is>
      </c>
      <c r="W706" t="inlineStr">
        <is>
          <t>1991-08-22</t>
        </is>
      </c>
      <c r="X706" t="inlineStr">
        <is>
          <t>1991-08-22</t>
        </is>
      </c>
      <c r="Y706" t="n">
        <v>189</v>
      </c>
      <c r="Z706" t="n">
        <v>169</v>
      </c>
      <c r="AA706" t="n">
        <v>179</v>
      </c>
      <c r="AB706" t="n">
        <v>2</v>
      </c>
      <c r="AC706" t="n">
        <v>2</v>
      </c>
      <c r="AD706" t="n">
        <v>23</v>
      </c>
      <c r="AE706" t="n">
        <v>26</v>
      </c>
      <c r="AF706" t="n">
        <v>5</v>
      </c>
      <c r="AG706" t="n">
        <v>6</v>
      </c>
      <c r="AH706" t="n">
        <v>7</v>
      </c>
      <c r="AI706" t="n">
        <v>7</v>
      </c>
      <c r="AJ706" t="n">
        <v>17</v>
      </c>
      <c r="AK706" t="n">
        <v>19</v>
      </c>
      <c r="AL706" t="n">
        <v>1</v>
      </c>
      <c r="AM706" t="n">
        <v>1</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HYPERLINK("https://creighton-primo.hosted.exlibrisgroup.com/primo-explore/search?tab=default_tab&amp;search_scope=EVERYTHING&amp;vid=01CRU&amp;lang=en_US&amp;offset=0&amp;query=any,contains,991004190899702656","Catalog Record")</f>
        <v/>
      </c>
      <c r="AT706">
        <f>HYPERLINK("http://www.worldcat.org/oclc/2632794","WorldCat Record")</f>
        <v/>
      </c>
      <c r="AU706" t="inlineStr">
        <is>
          <t>5787406:eng</t>
        </is>
      </c>
      <c r="AV706" t="inlineStr">
        <is>
          <t>2632794</t>
        </is>
      </c>
      <c r="AW706" t="inlineStr">
        <is>
          <t>991004190899702656</t>
        </is>
      </c>
      <c r="AX706" t="inlineStr">
        <is>
          <t>991004190899702656</t>
        </is>
      </c>
      <c r="AY706" t="inlineStr">
        <is>
          <t>2271696760002656</t>
        </is>
      </c>
      <c r="AZ706" t="inlineStr">
        <is>
          <t>BOOK</t>
        </is>
      </c>
      <c r="BB706" t="inlineStr">
        <is>
          <t>9780664248017</t>
        </is>
      </c>
      <c r="BC706" t="inlineStr">
        <is>
          <t>32285000745645</t>
        </is>
      </c>
      <c r="BD706" t="inlineStr">
        <is>
          <t>893699963</t>
        </is>
      </c>
    </row>
    <row r="707">
      <c r="A707" t="inlineStr">
        <is>
          <t>No</t>
        </is>
      </c>
      <c r="B707" t="inlineStr">
        <is>
          <t>BT450 .P37 1999</t>
        </is>
      </c>
      <c r="C707" t="inlineStr">
        <is>
          <t>0                      BT 0450000P  37          1999</t>
        </is>
      </c>
      <c r="D707" t="inlineStr">
        <is>
          <t>The death of Jesus : the diabolical force and the ministering angel : Luke 23,44-49 / by Michael Patella.</t>
        </is>
      </c>
      <c r="F707" t="inlineStr">
        <is>
          <t>No</t>
        </is>
      </c>
      <c r="G707" t="inlineStr">
        <is>
          <t>1</t>
        </is>
      </c>
      <c r="H707" t="inlineStr">
        <is>
          <t>No</t>
        </is>
      </c>
      <c r="I707" t="inlineStr">
        <is>
          <t>No</t>
        </is>
      </c>
      <c r="J707" t="inlineStr">
        <is>
          <t>0</t>
        </is>
      </c>
      <c r="K707" t="inlineStr">
        <is>
          <t>Patella, Michael, 1954-</t>
        </is>
      </c>
      <c r="L707" t="inlineStr">
        <is>
          <t>Paris : J. Gabalda, 1999.</t>
        </is>
      </c>
      <c r="M707" t="inlineStr">
        <is>
          <t>1999</t>
        </is>
      </c>
      <c r="O707" t="inlineStr">
        <is>
          <t>eng</t>
        </is>
      </c>
      <c r="P707" t="inlineStr">
        <is>
          <t xml:space="preserve">fr </t>
        </is>
      </c>
      <c r="Q707" t="inlineStr">
        <is>
          <t>Cahiers de la Revue biblique, 0575-0741 ; 43</t>
        </is>
      </c>
      <c r="R707" t="inlineStr">
        <is>
          <t xml:space="preserve">BT </t>
        </is>
      </c>
      <c r="S707" t="n">
        <v>1</v>
      </c>
      <c r="T707" t="n">
        <v>1</v>
      </c>
      <c r="U707" t="inlineStr">
        <is>
          <t>2000-10-11</t>
        </is>
      </c>
      <c r="V707" t="inlineStr">
        <is>
          <t>2000-10-11</t>
        </is>
      </c>
      <c r="W707" t="inlineStr">
        <is>
          <t>1999-07-13</t>
        </is>
      </c>
      <c r="X707" t="inlineStr">
        <is>
          <t>1999-07-13</t>
        </is>
      </c>
      <c r="Y707" t="n">
        <v>86</v>
      </c>
      <c r="Z707" t="n">
        <v>64</v>
      </c>
      <c r="AA707" t="n">
        <v>65</v>
      </c>
      <c r="AB707" t="n">
        <v>1</v>
      </c>
      <c r="AC707" t="n">
        <v>1</v>
      </c>
      <c r="AD707" t="n">
        <v>4</v>
      </c>
      <c r="AE707" t="n">
        <v>4</v>
      </c>
      <c r="AF707" t="n">
        <v>1</v>
      </c>
      <c r="AG707" t="n">
        <v>1</v>
      </c>
      <c r="AH707" t="n">
        <v>1</v>
      </c>
      <c r="AI707" t="n">
        <v>1</v>
      </c>
      <c r="AJ707" t="n">
        <v>3</v>
      </c>
      <c r="AK707" t="n">
        <v>3</v>
      </c>
      <c r="AL707" t="n">
        <v>0</v>
      </c>
      <c r="AM707" t="n">
        <v>0</v>
      </c>
      <c r="AN707" t="n">
        <v>0</v>
      </c>
      <c r="AO707" t="n">
        <v>0</v>
      </c>
      <c r="AP707" t="inlineStr">
        <is>
          <t>No</t>
        </is>
      </c>
      <c r="AQ707" t="inlineStr">
        <is>
          <t>Yes</t>
        </is>
      </c>
      <c r="AR707">
        <f>HYPERLINK("http://catalog.hathitrust.org/Record/003442870","HathiTrust Record")</f>
        <v/>
      </c>
      <c r="AS707">
        <f>HYPERLINK("https://creighton-primo.hosted.exlibrisgroup.com/primo-explore/search?tab=default_tab&amp;search_scope=EVERYTHING&amp;vid=01CRU&amp;lang=en_US&amp;offset=0&amp;query=any,contains,991003027319702656","Catalog Record")</f>
        <v/>
      </c>
      <c r="AT707">
        <f>HYPERLINK("http://www.worldcat.org/oclc/41398321","WorldCat Record")</f>
        <v/>
      </c>
      <c r="AU707" t="inlineStr">
        <is>
          <t>806836178:eng</t>
        </is>
      </c>
      <c r="AV707" t="inlineStr">
        <is>
          <t>41398321</t>
        </is>
      </c>
      <c r="AW707" t="inlineStr">
        <is>
          <t>991003027319702656</t>
        </is>
      </c>
      <c r="AX707" t="inlineStr">
        <is>
          <t>991003027319702656</t>
        </is>
      </c>
      <c r="AY707" t="inlineStr">
        <is>
          <t>2259022400002656</t>
        </is>
      </c>
      <c r="AZ707" t="inlineStr">
        <is>
          <t>BOOK</t>
        </is>
      </c>
      <c r="BB707" t="inlineStr">
        <is>
          <t>9782850211133</t>
        </is>
      </c>
      <c r="BC707" t="inlineStr">
        <is>
          <t>32285003577979</t>
        </is>
      </c>
      <c r="BD707" t="inlineStr">
        <is>
          <t>893868007</t>
        </is>
      </c>
    </row>
    <row r="708">
      <c r="A708" t="inlineStr">
        <is>
          <t>No</t>
        </is>
      </c>
      <c r="B708" t="inlineStr">
        <is>
          <t>BT453 .B53 1989</t>
        </is>
      </c>
      <c r="C708" t="inlineStr">
        <is>
          <t>0                      BT 0453000B  53          1989</t>
        </is>
      </c>
      <c r="D708" t="inlineStr">
        <is>
          <t>Biblical preaching on the death of Jesus / William A. Beardslee ... [et al.].</t>
        </is>
      </c>
      <c r="F708" t="inlineStr">
        <is>
          <t>No</t>
        </is>
      </c>
      <c r="G708" t="inlineStr">
        <is>
          <t>1</t>
        </is>
      </c>
      <c r="H708" t="inlineStr">
        <is>
          <t>No</t>
        </is>
      </c>
      <c r="I708" t="inlineStr">
        <is>
          <t>No</t>
        </is>
      </c>
      <c r="J708" t="inlineStr">
        <is>
          <t>0</t>
        </is>
      </c>
      <c r="L708" t="inlineStr">
        <is>
          <t>Nashville : Abingdon Press, c1989.</t>
        </is>
      </c>
      <c r="M708" t="inlineStr">
        <is>
          <t>1989</t>
        </is>
      </c>
      <c r="O708" t="inlineStr">
        <is>
          <t>eng</t>
        </is>
      </c>
      <c r="P708" t="inlineStr">
        <is>
          <t>tnu</t>
        </is>
      </c>
      <c r="R708" t="inlineStr">
        <is>
          <t xml:space="preserve">BT </t>
        </is>
      </c>
      <c r="S708" t="n">
        <v>6</v>
      </c>
      <c r="T708" t="n">
        <v>6</v>
      </c>
      <c r="U708" t="inlineStr">
        <is>
          <t>2005-10-25</t>
        </is>
      </c>
      <c r="V708" t="inlineStr">
        <is>
          <t>2005-10-25</t>
        </is>
      </c>
      <c r="W708" t="inlineStr">
        <is>
          <t>1990-05-25</t>
        </is>
      </c>
      <c r="X708" t="inlineStr">
        <is>
          <t>1990-05-25</t>
        </is>
      </c>
      <c r="Y708" t="n">
        <v>211</v>
      </c>
      <c r="Z708" t="n">
        <v>169</v>
      </c>
      <c r="AA708" t="n">
        <v>181</v>
      </c>
      <c r="AB708" t="n">
        <v>2</v>
      </c>
      <c r="AC708" t="n">
        <v>3</v>
      </c>
      <c r="AD708" t="n">
        <v>13</v>
      </c>
      <c r="AE708" t="n">
        <v>15</v>
      </c>
      <c r="AF708" t="n">
        <v>6</v>
      </c>
      <c r="AG708" t="n">
        <v>7</v>
      </c>
      <c r="AH708" t="n">
        <v>3</v>
      </c>
      <c r="AI708" t="n">
        <v>4</v>
      </c>
      <c r="AJ708" t="n">
        <v>6</v>
      </c>
      <c r="AK708" t="n">
        <v>6</v>
      </c>
      <c r="AL708" t="n">
        <v>0</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HYPERLINK("https://creighton-primo.hosted.exlibrisgroup.com/primo-explore/search?tab=default_tab&amp;search_scope=EVERYTHING&amp;vid=01CRU&amp;lang=en_US&amp;offset=0&amp;query=any,contains,991001516509702656","Catalog Record")</f>
        <v/>
      </c>
      <c r="AT708">
        <f>HYPERLINK("http://www.worldcat.org/oclc/19922810","WorldCat Record")</f>
        <v/>
      </c>
      <c r="AU708" t="inlineStr">
        <is>
          <t>21486797:eng</t>
        </is>
      </c>
      <c r="AV708" t="inlineStr">
        <is>
          <t>19922810</t>
        </is>
      </c>
      <c r="AW708" t="inlineStr">
        <is>
          <t>991001516509702656</t>
        </is>
      </c>
      <c r="AX708" t="inlineStr">
        <is>
          <t>991001516509702656</t>
        </is>
      </c>
      <c r="AY708" t="inlineStr">
        <is>
          <t>2269936120002656</t>
        </is>
      </c>
      <c r="AZ708" t="inlineStr">
        <is>
          <t>BOOK</t>
        </is>
      </c>
      <c r="BB708" t="inlineStr">
        <is>
          <t>9780687034468</t>
        </is>
      </c>
      <c r="BC708" t="inlineStr">
        <is>
          <t>32285000155787</t>
        </is>
      </c>
      <c r="BD708" t="inlineStr">
        <is>
          <t>893809092</t>
        </is>
      </c>
    </row>
    <row r="709">
      <c r="A709" t="inlineStr">
        <is>
          <t>No</t>
        </is>
      </c>
      <c r="B709" t="inlineStr">
        <is>
          <t>BT453 .K33 1948</t>
        </is>
      </c>
      <c r="C709" t="inlineStr">
        <is>
          <t>0                      BT 0453000K  33          1948</t>
        </is>
      </c>
      <c r="D709" t="inlineStr">
        <is>
          <t>The school of the cross / Kojn A. Kane ; with an introd. by Hugh T. Henry.</t>
        </is>
      </c>
      <c r="F709" t="inlineStr">
        <is>
          <t>No</t>
        </is>
      </c>
      <c r="G709" t="inlineStr">
        <is>
          <t>1</t>
        </is>
      </c>
      <c r="H709" t="inlineStr">
        <is>
          <t>No</t>
        </is>
      </c>
      <c r="I709" t="inlineStr">
        <is>
          <t>No</t>
        </is>
      </c>
      <c r="J709" t="inlineStr">
        <is>
          <t>0</t>
        </is>
      </c>
      <c r="K709" t="inlineStr">
        <is>
          <t>Kane, John A., 1883-</t>
        </is>
      </c>
      <c r="L709" t="inlineStr">
        <is>
          <t>New York : D.X. McMullen Co., [1948, c1947]</t>
        </is>
      </c>
      <c r="M709" t="inlineStr">
        <is>
          <t>1948</t>
        </is>
      </c>
      <c r="O709" t="inlineStr">
        <is>
          <t>eng</t>
        </is>
      </c>
      <c r="P709" t="inlineStr">
        <is>
          <t>nyu</t>
        </is>
      </c>
      <c r="R709" t="inlineStr">
        <is>
          <t xml:space="preserve">BT </t>
        </is>
      </c>
      <c r="S709" t="n">
        <v>6</v>
      </c>
      <c r="T709" t="n">
        <v>6</v>
      </c>
      <c r="U709" t="inlineStr">
        <is>
          <t>1996-09-30</t>
        </is>
      </c>
      <c r="V709" t="inlineStr">
        <is>
          <t>1996-09-30</t>
        </is>
      </c>
      <c r="W709" t="inlineStr">
        <is>
          <t>1991-08-22</t>
        </is>
      </c>
      <c r="X709" t="inlineStr">
        <is>
          <t>1991-08-22</t>
        </is>
      </c>
      <c r="Y709" t="n">
        <v>41</v>
      </c>
      <c r="Z709" t="n">
        <v>38</v>
      </c>
      <c r="AA709" t="n">
        <v>56</v>
      </c>
      <c r="AB709" t="n">
        <v>2</v>
      </c>
      <c r="AC709" t="n">
        <v>2</v>
      </c>
      <c r="AD709" t="n">
        <v>8</v>
      </c>
      <c r="AE709" t="n">
        <v>11</v>
      </c>
      <c r="AF709" t="n">
        <v>1</v>
      </c>
      <c r="AG709" t="n">
        <v>2</v>
      </c>
      <c r="AH709" t="n">
        <v>2</v>
      </c>
      <c r="AI709" t="n">
        <v>3</v>
      </c>
      <c r="AJ709" t="n">
        <v>7</v>
      </c>
      <c r="AK709" t="n">
        <v>9</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HYPERLINK("https://creighton-primo.hosted.exlibrisgroup.com/primo-explore/search?tab=default_tab&amp;search_scope=EVERYTHING&amp;vid=01CRU&amp;lang=en_US&amp;offset=0&amp;query=any,contains,991004982749702656","Catalog Record")</f>
        <v/>
      </c>
      <c r="AT709">
        <f>HYPERLINK("http://www.worldcat.org/oclc/6432838","WorldCat Record")</f>
        <v/>
      </c>
      <c r="AU709" t="inlineStr">
        <is>
          <t>21352018:eng</t>
        </is>
      </c>
      <c r="AV709" t="inlineStr">
        <is>
          <t>6432838</t>
        </is>
      </c>
      <c r="AW709" t="inlineStr">
        <is>
          <t>991004982749702656</t>
        </is>
      </c>
      <c r="AX709" t="inlineStr">
        <is>
          <t>991004982749702656</t>
        </is>
      </c>
      <c r="AY709" t="inlineStr">
        <is>
          <t>2259270960002656</t>
        </is>
      </c>
      <c r="AZ709" t="inlineStr">
        <is>
          <t>BOOK</t>
        </is>
      </c>
      <c r="BC709" t="inlineStr">
        <is>
          <t>32285000745686</t>
        </is>
      </c>
      <c r="BD709" t="inlineStr">
        <is>
          <t>893507447</t>
        </is>
      </c>
    </row>
    <row r="710">
      <c r="A710" t="inlineStr">
        <is>
          <t>No</t>
        </is>
      </c>
      <c r="B710" t="inlineStr">
        <is>
          <t>BT453 .K5 1958a</t>
        </is>
      </c>
      <c r="C710" t="inlineStr">
        <is>
          <t>0                      BT 0453000K  5           1958a</t>
        </is>
      </c>
      <c r="D710" t="inlineStr">
        <is>
          <t>The death of Christ ; the Cross in New Testament history and faith.</t>
        </is>
      </c>
      <c r="F710" t="inlineStr">
        <is>
          <t>No</t>
        </is>
      </c>
      <c r="G710" t="inlineStr">
        <is>
          <t>1</t>
        </is>
      </c>
      <c r="H710" t="inlineStr">
        <is>
          <t>No</t>
        </is>
      </c>
      <c r="I710" t="inlineStr">
        <is>
          <t>No</t>
        </is>
      </c>
      <c r="J710" t="inlineStr">
        <is>
          <t>0</t>
        </is>
      </c>
      <c r="K710" t="inlineStr">
        <is>
          <t>Knox, John, 1900-1990.</t>
        </is>
      </c>
      <c r="L710" t="inlineStr">
        <is>
          <t>New York, Abingdon Press [c1958]</t>
        </is>
      </c>
      <c r="M710" t="inlineStr">
        <is>
          <t>1958</t>
        </is>
      </c>
      <c r="O710" t="inlineStr">
        <is>
          <t>eng</t>
        </is>
      </c>
      <c r="P710" t="inlineStr">
        <is>
          <t>___</t>
        </is>
      </c>
      <c r="R710" t="inlineStr">
        <is>
          <t xml:space="preserve">BT </t>
        </is>
      </c>
      <c r="S710" t="n">
        <v>4</v>
      </c>
      <c r="T710" t="n">
        <v>4</v>
      </c>
      <c r="U710" t="inlineStr">
        <is>
          <t>1996-09-30</t>
        </is>
      </c>
      <c r="V710" t="inlineStr">
        <is>
          <t>1996-09-30</t>
        </is>
      </c>
      <c r="W710" t="inlineStr">
        <is>
          <t>1991-08-22</t>
        </is>
      </c>
      <c r="X710" t="inlineStr">
        <is>
          <t>1991-08-22</t>
        </is>
      </c>
      <c r="Y710" t="n">
        <v>478</v>
      </c>
      <c r="Z710" t="n">
        <v>436</v>
      </c>
      <c r="AA710" t="n">
        <v>486</v>
      </c>
      <c r="AB710" t="n">
        <v>4</v>
      </c>
      <c r="AC710" t="n">
        <v>4</v>
      </c>
      <c r="AD710" t="n">
        <v>17</v>
      </c>
      <c r="AE710" t="n">
        <v>18</v>
      </c>
      <c r="AF710" t="n">
        <v>11</v>
      </c>
      <c r="AG710" t="n">
        <v>12</v>
      </c>
      <c r="AH710" t="n">
        <v>3</v>
      </c>
      <c r="AI710" t="n">
        <v>3</v>
      </c>
      <c r="AJ710" t="n">
        <v>2</v>
      </c>
      <c r="AK710" t="n">
        <v>3</v>
      </c>
      <c r="AL710" t="n">
        <v>3</v>
      </c>
      <c r="AM710" t="n">
        <v>3</v>
      </c>
      <c r="AN710" t="n">
        <v>0</v>
      </c>
      <c r="AO710" t="n">
        <v>0</v>
      </c>
      <c r="AP710" t="inlineStr">
        <is>
          <t>No</t>
        </is>
      </c>
      <c r="AQ710" t="inlineStr">
        <is>
          <t>No</t>
        </is>
      </c>
      <c r="AR710">
        <f>HYPERLINK("http://catalog.hathitrust.org/Record/004507633","HathiTrust Record")</f>
        <v/>
      </c>
      <c r="AS710">
        <f>HYPERLINK("https://creighton-primo.hosted.exlibrisgroup.com/primo-explore/search?tab=default_tab&amp;search_scope=EVERYTHING&amp;vid=01CRU&amp;lang=en_US&amp;offset=0&amp;query=any,contains,991003793689702656","Catalog Record")</f>
        <v/>
      </c>
      <c r="AT710">
        <f>HYPERLINK("http://www.worldcat.org/oclc/1513662","WorldCat Record")</f>
        <v/>
      </c>
      <c r="AU710" t="inlineStr">
        <is>
          <t>3372214074:eng</t>
        </is>
      </c>
      <c r="AV710" t="inlineStr">
        <is>
          <t>1513662</t>
        </is>
      </c>
      <c r="AW710" t="inlineStr">
        <is>
          <t>991003793689702656</t>
        </is>
      </c>
      <c r="AX710" t="inlineStr">
        <is>
          <t>991003793689702656</t>
        </is>
      </c>
      <c r="AY710" t="inlineStr">
        <is>
          <t>2258328690002656</t>
        </is>
      </c>
      <c r="AZ710" t="inlineStr">
        <is>
          <t>BOOK</t>
        </is>
      </c>
      <c r="BC710" t="inlineStr">
        <is>
          <t>32285000745694</t>
        </is>
      </c>
      <c r="BD710" t="inlineStr">
        <is>
          <t>893410717</t>
        </is>
      </c>
    </row>
    <row r="711">
      <c r="A711" t="inlineStr">
        <is>
          <t>No</t>
        </is>
      </c>
      <c r="B711" t="inlineStr">
        <is>
          <t>BT453 .M385 1994</t>
        </is>
      </c>
      <c r="C711" t="inlineStr">
        <is>
          <t>0                      BT 0453000M  385         1994</t>
        </is>
      </c>
      <c r="D711" t="inlineStr">
        <is>
          <t>New Testament concept of Atonement : the gospel of the Calvary event / H.D. McDonald.</t>
        </is>
      </c>
      <c r="F711" t="inlineStr">
        <is>
          <t>No</t>
        </is>
      </c>
      <c r="G711" t="inlineStr">
        <is>
          <t>1</t>
        </is>
      </c>
      <c r="H711" t="inlineStr">
        <is>
          <t>No</t>
        </is>
      </c>
      <c r="I711" t="inlineStr">
        <is>
          <t>No</t>
        </is>
      </c>
      <c r="J711" t="inlineStr">
        <is>
          <t>0</t>
        </is>
      </c>
      <c r="K711" t="inlineStr">
        <is>
          <t>McDonald, H. D. (Hugh Dermot)</t>
        </is>
      </c>
      <c r="L711" t="inlineStr">
        <is>
          <t>Cambridge : Lutterworth Press ; Grand Rapids, Mich. : Baker Books, 1994.</t>
        </is>
      </c>
      <c r="M711" t="inlineStr">
        <is>
          <t>1994</t>
        </is>
      </c>
      <c r="O711" t="inlineStr">
        <is>
          <t>eng</t>
        </is>
      </c>
      <c r="P711" t="inlineStr">
        <is>
          <t>enk</t>
        </is>
      </c>
      <c r="R711" t="inlineStr">
        <is>
          <t xml:space="preserve">BT </t>
        </is>
      </c>
      <c r="S711" t="n">
        <v>7</v>
      </c>
      <c r="T711" t="n">
        <v>7</v>
      </c>
      <c r="U711" t="inlineStr">
        <is>
          <t>2005-10-09</t>
        </is>
      </c>
      <c r="V711" t="inlineStr">
        <is>
          <t>2005-10-09</t>
        </is>
      </c>
      <c r="W711" t="inlineStr">
        <is>
          <t>1994-08-31</t>
        </is>
      </c>
      <c r="X711" t="inlineStr">
        <is>
          <t>1994-08-31</t>
        </is>
      </c>
      <c r="Y711" t="n">
        <v>148</v>
      </c>
      <c r="Z711" t="n">
        <v>119</v>
      </c>
      <c r="AA711" t="n">
        <v>132</v>
      </c>
      <c r="AB711" t="n">
        <v>1</v>
      </c>
      <c r="AC711" t="n">
        <v>1</v>
      </c>
      <c r="AD711" t="n">
        <v>7</v>
      </c>
      <c r="AE711" t="n">
        <v>8</v>
      </c>
      <c r="AF711" t="n">
        <v>3</v>
      </c>
      <c r="AG711" t="n">
        <v>3</v>
      </c>
      <c r="AH711" t="n">
        <v>2</v>
      </c>
      <c r="AI711" t="n">
        <v>3</v>
      </c>
      <c r="AJ711" t="n">
        <v>4</v>
      </c>
      <c r="AK711" t="n">
        <v>4</v>
      </c>
      <c r="AL711" t="n">
        <v>0</v>
      </c>
      <c r="AM711" t="n">
        <v>0</v>
      </c>
      <c r="AN711" t="n">
        <v>0</v>
      </c>
      <c r="AO711" t="n">
        <v>0</v>
      </c>
      <c r="AP711" t="inlineStr">
        <is>
          <t>No</t>
        </is>
      </c>
      <c r="AQ711" t="inlineStr">
        <is>
          <t>Yes</t>
        </is>
      </c>
      <c r="AR711">
        <f>HYPERLINK("http://catalog.hathitrust.org/Record/002807972","HathiTrust Record")</f>
        <v/>
      </c>
      <c r="AS711">
        <f>HYPERLINK("https://creighton-primo.hosted.exlibrisgroup.com/primo-explore/search?tab=default_tab&amp;search_scope=EVERYTHING&amp;vid=01CRU&amp;lang=en_US&amp;offset=0&amp;query=any,contains,991002150249702656","Catalog Record")</f>
        <v/>
      </c>
      <c r="AT711">
        <f>HYPERLINK("http://www.worldcat.org/oclc/27725298","WorldCat Record")</f>
        <v/>
      </c>
      <c r="AU711" t="inlineStr">
        <is>
          <t>197167601:eng</t>
        </is>
      </c>
      <c r="AV711" t="inlineStr">
        <is>
          <t>27725298</t>
        </is>
      </c>
      <c r="AW711" t="inlineStr">
        <is>
          <t>991002150249702656</t>
        </is>
      </c>
      <c r="AX711" t="inlineStr">
        <is>
          <t>991002150249702656</t>
        </is>
      </c>
      <c r="AY711" t="inlineStr">
        <is>
          <t>2267585590002656</t>
        </is>
      </c>
      <c r="AZ711" t="inlineStr">
        <is>
          <t>BOOK</t>
        </is>
      </c>
      <c r="BB711" t="inlineStr">
        <is>
          <t>9780801063091</t>
        </is>
      </c>
      <c r="BC711" t="inlineStr">
        <is>
          <t>32285001944577</t>
        </is>
      </c>
      <c r="BD711" t="inlineStr">
        <is>
          <t>893590977</t>
        </is>
      </c>
    </row>
    <row r="712">
      <c r="A712" t="inlineStr">
        <is>
          <t>No</t>
        </is>
      </c>
      <c r="B712" t="inlineStr">
        <is>
          <t>BT453 .P58 1927</t>
        </is>
      </c>
      <c r="C712" t="inlineStr">
        <is>
          <t>0                      BT 0453000P  58          1927</t>
        </is>
      </c>
      <c r="D712" t="inlineStr">
        <is>
          <t>The folly of the cross / by Raoul Plus. Translated by Irene Hernaman.</t>
        </is>
      </c>
      <c r="F712" t="inlineStr">
        <is>
          <t>No</t>
        </is>
      </c>
      <c r="G712" t="inlineStr">
        <is>
          <t>1</t>
        </is>
      </c>
      <c r="H712" t="inlineStr">
        <is>
          <t>No</t>
        </is>
      </c>
      <c r="I712" t="inlineStr">
        <is>
          <t>No</t>
        </is>
      </c>
      <c r="J712" t="inlineStr">
        <is>
          <t>0</t>
        </is>
      </c>
      <c r="K712" t="inlineStr">
        <is>
          <t>Raoul, Plus, 1882-</t>
        </is>
      </c>
      <c r="L712" t="inlineStr">
        <is>
          <t>London : Burns Oates &amp; Washbourne [1927]</t>
        </is>
      </c>
      <c r="M712" t="inlineStr">
        <is>
          <t>1927</t>
        </is>
      </c>
      <c r="O712" t="inlineStr">
        <is>
          <t>eng</t>
        </is>
      </c>
      <c r="P712" t="inlineStr">
        <is>
          <t>enk</t>
        </is>
      </c>
      <c r="R712" t="inlineStr">
        <is>
          <t xml:space="preserve">BT </t>
        </is>
      </c>
      <c r="S712" t="n">
        <v>8</v>
      </c>
      <c r="T712" t="n">
        <v>8</v>
      </c>
      <c r="U712" t="inlineStr">
        <is>
          <t>2006-06-12</t>
        </is>
      </c>
      <c r="V712" t="inlineStr">
        <is>
          <t>2006-06-12</t>
        </is>
      </c>
      <c r="W712" t="inlineStr">
        <is>
          <t>1991-09-09</t>
        </is>
      </c>
      <c r="X712" t="inlineStr">
        <is>
          <t>1991-09-09</t>
        </is>
      </c>
      <c r="Y712" t="n">
        <v>33</v>
      </c>
      <c r="Z712" t="n">
        <v>13</v>
      </c>
      <c r="AA712" t="n">
        <v>89</v>
      </c>
      <c r="AB712" t="n">
        <v>1</v>
      </c>
      <c r="AC712" t="n">
        <v>3</v>
      </c>
      <c r="AD712" t="n">
        <v>6</v>
      </c>
      <c r="AE712" t="n">
        <v>21</v>
      </c>
      <c r="AF712" t="n">
        <v>0</v>
      </c>
      <c r="AG712" t="n">
        <v>5</v>
      </c>
      <c r="AH712" t="n">
        <v>1</v>
      </c>
      <c r="AI712" t="n">
        <v>6</v>
      </c>
      <c r="AJ712" t="n">
        <v>6</v>
      </c>
      <c r="AK712" t="n">
        <v>16</v>
      </c>
      <c r="AL712" t="n">
        <v>0</v>
      </c>
      <c r="AM712" t="n">
        <v>0</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HYPERLINK("https://creighton-primo.hosted.exlibrisgroup.com/primo-explore/search?tab=default_tab&amp;search_scope=EVERYTHING&amp;vid=01CRU&amp;lang=en_US&amp;offset=0&amp;query=any,contains,991004496279702656","Catalog Record")</f>
        <v/>
      </c>
      <c r="AT712">
        <f>HYPERLINK("http://www.worldcat.org/oclc/3698667","WorldCat Record")</f>
        <v/>
      </c>
      <c r="AU712" t="inlineStr">
        <is>
          <t>4061485338:eng</t>
        </is>
      </c>
      <c r="AV712" t="inlineStr">
        <is>
          <t>3698667</t>
        </is>
      </c>
      <c r="AW712" t="inlineStr">
        <is>
          <t>991004496279702656</t>
        </is>
      </c>
      <c r="AX712" t="inlineStr">
        <is>
          <t>991004496279702656</t>
        </is>
      </c>
      <c r="AY712" t="inlineStr">
        <is>
          <t>2262474880002656</t>
        </is>
      </c>
      <c r="AZ712" t="inlineStr">
        <is>
          <t>BOOK</t>
        </is>
      </c>
      <c r="BC712" t="inlineStr">
        <is>
          <t>32285000746866</t>
        </is>
      </c>
      <c r="BD712" t="inlineStr">
        <is>
          <t>893526142</t>
        </is>
      </c>
    </row>
    <row r="713">
      <c r="A713" t="inlineStr">
        <is>
          <t>No</t>
        </is>
      </c>
      <c r="B713" t="inlineStr">
        <is>
          <t>BT453 .R313 1966</t>
        </is>
      </c>
      <c r="C713" t="inlineStr">
        <is>
          <t>0                      BT 0453000R  313         1966</t>
        </is>
      </c>
      <c r="D713" t="inlineStr">
        <is>
          <t>Watch and pray with me / Karl Rahner. Translated by William V. Dych.</t>
        </is>
      </c>
      <c r="F713" t="inlineStr">
        <is>
          <t>No</t>
        </is>
      </c>
      <c r="G713" t="inlineStr">
        <is>
          <t>1</t>
        </is>
      </c>
      <c r="H713" t="inlineStr">
        <is>
          <t>No</t>
        </is>
      </c>
      <c r="I713" t="inlineStr">
        <is>
          <t>Yes</t>
        </is>
      </c>
      <c r="J713" t="inlineStr">
        <is>
          <t>0</t>
        </is>
      </c>
      <c r="K713" t="inlineStr">
        <is>
          <t>Rahner, Karl, 1904-1984.</t>
        </is>
      </c>
      <c r="L713" t="inlineStr">
        <is>
          <t>New York : Herder and Herder, [1966]</t>
        </is>
      </c>
      <c r="M713" t="inlineStr">
        <is>
          <t>1966</t>
        </is>
      </c>
      <c r="O713" t="inlineStr">
        <is>
          <t>eng</t>
        </is>
      </c>
      <c r="P713" t="inlineStr">
        <is>
          <t>___</t>
        </is>
      </c>
      <c r="R713" t="inlineStr">
        <is>
          <t xml:space="preserve">BT </t>
        </is>
      </c>
      <c r="S713" t="n">
        <v>3</v>
      </c>
      <c r="T713" t="n">
        <v>3</v>
      </c>
      <c r="U713" t="inlineStr">
        <is>
          <t>2008-07-22</t>
        </is>
      </c>
      <c r="V713" t="inlineStr">
        <is>
          <t>2008-07-22</t>
        </is>
      </c>
      <c r="W713" t="inlineStr">
        <is>
          <t>1991-08-22</t>
        </is>
      </c>
      <c r="X713" t="inlineStr">
        <is>
          <t>1991-08-22</t>
        </is>
      </c>
      <c r="Y713" t="n">
        <v>235</v>
      </c>
      <c r="Z713" t="n">
        <v>207</v>
      </c>
      <c r="AA713" t="n">
        <v>297</v>
      </c>
      <c r="AB713" t="n">
        <v>3</v>
      </c>
      <c r="AC713" t="n">
        <v>4</v>
      </c>
      <c r="AD713" t="n">
        <v>28</v>
      </c>
      <c r="AE713" t="n">
        <v>31</v>
      </c>
      <c r="AF713" t="n">
        <v>9</v>
      </c>
      <c r="AG713" t="n">
        <v>11</v>
      </c>
      <c r="AH713" t="n">
        <v>7</v>
      </c>
      <c r="AI713" t="n">
        <v>8</v>
      </c>
      <c r="AJ713" t="n">
        <v>20</v>
      </c>
      <c r="AK713" t="n">
        <v>20</v>
      </c>
      <c r="AL713" t="n">
        <v>1</v>
      </c>
      <c r="AM713" t="n">
        <v>2</v>
      </c>
      <c r="AN713" t="n">
        <v>0</v>
      </c>
      <c r="AO713" t="n">
        <v>0</v>
      </c>
      <c r="AP713" t="inlineStr">
        <is>
          <t>No</t>
        </is>
      </c>
      <c r="AQ713" t="inlineStr">
        <is>
          <t>Yes</t>
        </is>
      </c>
      <c r="AR713">
        <f>HYPERLINK("http://catalog.hathitrust.org/Record/001412344","HathiTrust Record")</f>
        <v/>
      </c>
      <c r="AS713">
        <f>HYPERLINK("https://creighton-primo.hosted.exlibrisgroup.com/primo-explore/search?tab=default_tab&amp;search_scope=EVERYTHING&amp;vid=01CRU&amp;lang=en_US&amp;offset=0&amp;query=any,contains,991003776309702656","Catalog Record")</f>
        <v/>
      </c>
      <c r="AT713">
        <f>HYPERLINK("http://www.worldcat.org/oclc/1484331","WorldCat Record")</f>
        <v/>
      </c>
      <c r="AU713" t="inlineStr">
        <is>
          <t>2908463698:eng</t>
        </is>
      </c>
      <c r="AV713" t="inlineStr">
        <is>
          <t>1484331</t>
        </is>
      </c>
      <c r="AW713" t="inlineStr">
        <is>
          <t>991003776309702656</t>
        </is>
      </c>
      <c r="AX713" t="inlineStr">
        <is>
          <t>991003776309702656</t>
        </is>
      </c>
      <c r="AY713" t="inlineStr">
        <is>
          <t>2272310890002656</t>
        </is>
      </c>
      <c r="AZ713" t="inlineStr">
        <is>
          <t>BOOK</t>
        </is>
      </c>
      <c r="BC713" t="inlineStr">
        <is>
          <t>32285000745710</t>
        </is>
      </c>
      <c r="BD713" t="inlineStr">
        <is>
          <t>893525213</t>
        </is>
      </c>
    </row>
    <row r="714">
      <c r="A714" t="inlineStr">
        <is>
          <t>No</t>
        </is>
      </c>
      <c r="B714" t="inlineStr">
        <is>
          <t>BT453 .R313 1966b</t>
        </is>
      </c>
      <c r="C714" t="inlineStr">
        <is>
          <t>0                      BT 0453000R  313         1966b</t>
        </is>
      </c>
      <c r="D714" t="inlineStr">
        <is>
          <t>Watch and pray with me : the seven last words / Karl Rahner ; photos. by Frank Kostyu ; [translation by William V. Dych].</t>
        </is>
      </c>
      <c r="F714" t="inlineStr">
        <is>
          <t>No</t>
        </is>
      </c>
      <c r="G714" t="inlineStr">
        <is>
          <t>1</t>
        </is>
      </c>
      <c r="H714" t="inlineStr">
        <is>
          <t>No</t>
        </is>
      </c>
      <c r="I714" t="inlineStr">
        <is>
          <t>Yes</t>
        </is>
      </c>
      <c r="J714" t="inlineStr">
        <is>
          <t>0</t>
        </is>
      </c>
      <c r="K714" t="inlineStr">
        <is>
          <t>Rahner, Karl, 1904-1984.</t>
        </is>
      </c>
      <c r="L714" t="inlineStr">
        <is>
          <t>New York : Seabury Press, c1966.</t>
        </is>
      </c>
      <c r="M714" t="inlineStr">
        <is>
          <t>1966</t>
        </is>
      </c>
      <c r="O714" t="inlineStr">
        <is>
          <t>eng</t>
        </is>
      </c>
      <c r="P714" t="inlineStr">
        <is>
          <t>nyu</t>
        </is>
      </c>
      <c r="R714" t="inlineStr">
        <is>
          <t xml:space="preserve">BT </t>
        </is>
      </c>
      <c r="S714" t="n">
        <v>1</v>
      </c>
      <c r="T714" t="n">
        <v>1</v>
      </c>
      <c r="U714" t="inlineStr">
        <is>
          <t>2004-02-26</t>
        </is>
      </c>
      <c r="V714" t="inlineStr">
        <is>
          <t>2004-02-26</t>
        </is>
      </c>
      <c r="W714" t="inlineStr">
        <is>
          <t>1991-08-22</t>
        </is>
      </c>
      <c r="X714" t="inlineStr">
        <is>
          <t>1991-08-22</t>
        </is>
      </c>
      <c r="Y714" t="n">
        <v>91</v>
      </c>
      <c r="Z714" t="n">
        <v>80</v>
      </c>
      <c r="AA714" t="n">
        <v>297</v>
      </c>
      <c r="AB714" t="n">
        <v>2</v>
      </c>
      <c r="AC714" t="n">
        <v>4</v>
      </c>
      <c r="AD714" t="n">
        <v>7</v>
      </c>
      <c r="AE714" t="n">
        <v>31</v>
      </c>
      <c r="AF714" t="n">
        <v>2</v>
      </c>
      <c r="AG714" t="n">
        <v>11</v>
      </c>
      <c r="AH714" t="n">
        <v>2</v>
      </c>
      <c r="AI714" t="n">
        <v>8</v>
      </c>
      <c r="AJ714" t="n">
        <v>3</v>
      </c>
      <c r="AK714" t="n">
        <v>20</v>
      </c>
      <c r="AL714" t="n">
        <v>1</v>
      </c>
      <c r="AM714" t="n">
        <v>2</v>
      </c>
      <c r="AN714" t="n">
        <v>0</v>
      </c>
      <c r="AO714" t="n">
        <v>0</v>
      </c>
      <c r="AP714" t="inlineStr">
        <is>
          <t>No</t>
        </is>
      </c>
      <c r="AQ714" t="inlineStr">
        <is>
          <t>Yes</t>
        </is>
      </c>
      <c r="AR714">
        <f>HYPERLINK("http://catalog.hathitrust.org/Record/007887568","HathiTrust Record")</f>
        <v/>
      </c>
      <c r="AS714">
        <f>HYPERLINK("https://creighton-primo.hosted.exlibrisgroup.com/primo-explore/search?tab=default_tab&amp;search_scope=EVERYTHING&amp;vid=01CRU&amp;lang=en_US&amp;offset=0&amp;query=any,contains,991004302979702656","Catalog Record")</f>
        <v/>
      </c>
      <c r="AT714">
        <f>HYPERLINK("http://www.worldcat.org/oclc/2973039","WorldCat Record")</f>
        <v/>
      </c>
      <c r="AU714" t="inlineStr">
        <is>
          <t>2908463698:eng</t>
        </is>
      </c>
      <c r="AV714" t="inlineStr">
        <is>
          <t>2973039</t>
        </is>
      </c>
      <c r="AW714" t="inlineStr">
        <is>
          <t>991004302979702656</t>
        </is>
      </c>
      <c r="AX714" t="inlineStr">
        <is>
          <t>991004302979702656</t>
        </is>
      </c>
      <c r="AY714" t="inlineStr">
        <is>
          <t>2255535430002656</t>
        </is>
      </c>
      <c r="AZ714" t="inlineStr">
        <is>
          <t>BOOK</t>
        </is>
      </c>
      <c r="BB714" t="inlineStr">
        <is>
          <t>9780816421268</t>
        </is>
      </c>
      <c r="BC714" t="inlineStr">
        <is>
          <t>32285000745736</t>
        </is>
      </c>
      <c r="BD714" t="inlineStr">
        <is>
          <t>893687586</t>
        </is>
      </c>
    </row>
    <row r="715">
      <c r="A715" t="inlineStr">
        <is>
          <t>No</t>
        </is>
      </c>
      <c r="B715" t="inlineStr">
        <is>
          <t>BT453 .W75 1995</t>
        </is>
      </c>
      <c r="C715" t="inlineStr">
        <is>
          <t>0                      BT 0453000W  75          1995</t>
        </is>
      </c>
      <c r="D715" t="inlineStr">
        <is>
          <t>The crown and the fire : meditations on the Cross and the life of the Spirit / Tom Wright.</t>
        </is>
      </c>
      <c r="F715" t="inlineStr">
        <is>
          <t>No</t>
        </is>
      </c>
      <c r="G715" t="inlineStr">
        <is>
          <t>1</t>
        </is>
      </c>
      <c r="H715" t="inlineStr">
        <is>
          <t>No</t>
        </is>
      </c>
      <c r="I715" t="inlineStr">
        <is>
          <t>No</t>
        </is>
      </c>
      <c r="J715" t="inlineStr">
        <is>
          <t>0</t>
        </is>
      </c>
      <c r="K715" t="inlineStr">
        <is>
          <t>Wright, N. T. (Nicholas Thomas)</t>
        </is>
      </c>
      <c r="L715" t="inlineStr">
        <is>
          <t>Grand Rapids, Mich. : William B. Eerdmans Pub. Co., 1995.</t>
        </is>
      </c>
      <c r="M715" t="inlineStr">
        <is>
          <t>1995</t>
        </is>
      </c>
      <c r="O715" t="inlineStr">
        <is>
          <t>eng</t>
        </is>
      </c>
      <c r="P715" t="inlineStr">
        <is>
          <t>miu</t>
        </is>
      </c>
      <c r="R715" t="inlineStr">
        <is>
          <t xml:space="preserve">BT </t>
        </is>
      </c>
      <c r="S715" t="n">
        <v>9</v>
      </c>
      <c r="T715" t="n">
        <v>9</v>
      </c>
      <c r="U715" t="inlineStr">
        <is>
          <t>2005-06-28</t>
        </is>
      </c>
      <c r="V715" t="inlineStr">
        <is>
          <t>2005-06-28</t>
        </is>
      </c>
      <c r="W715" t="inlineStr">
        <is>
          <t>1996-04-29</t>
        </is>
      </c>
      <c r="X715" t="inlineStr">
        <is>
          <t>1996-04-29</t>
        </is>
      </c>
      <c r="Y715" t="n">
        <v>208</v>
      </c>
      <c r="Z715" t="n">
        <v>181</v>
      </c>
      <c r="AA715" t="n">
        <v>260</v>
      </c>
      <c r="AB715" t="n">
        <v>1</v>
      </c>
      <c r="AC715" t="n">
        <v>2</v>
      </c>
      <c r="AD715" t="n">
        <v>8</v>
      </c>
      <c r="AE715" t="n">
        <v>11</v>
      </c>
      <c r="AF715" t="n">
        <v>5</v>
      </c>
      <c r="AG715" t="n">
        <v>6</v>
      </c>
      <c r="AH715" t="n">
        <v>1</v>
      </c>
      <c r="AI715" t="n">
        <v>2</v>
      </c>
      <c r="AJ715" t="n">
        <v>3</v>
      </c>
      <c r="AK715" t="n">
        <v>4</v>
      </c>
      <c r="AL715" t="n">
        <v>0</v>
      </c>
      <c r="AM715" t="n">
        <v>1</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HYPERLINK("https://creighton-primo.hosted.exlibrisgroup.com/primo-explore/search?tab=default_tab&amp;search_scope=EVERYTHING&amp;vid=01CRU&amp;lang=en_US&amp;offset=0&amp;query=any,contains,991002520079702656","Catalog Record")</f>
        <v/>
      </c>
      <c r="AT715">
        <f>HYPERLINK("http://www.worldcat.org/oclc/32778953","WorldCat Record")</f>
        <v/>
      </c>
      <c r="AU715" t="inlineStr">
        <is>
          <t>36873086:eng</t>
        </is>
      </c>
      <c r="AV715" t="inlineStr">
        <is>
          <t>32778953</t>
        </is>
      </c>
      <c r="AW715" t="inlineStr">
        <is>
          <t>991002520079702656</t>
        </is>
      </c>
      <c r="AX715" t="inlineStr">
        <is>
          <t>991002520079702656</t>
        </is>
      </c>
      <c r="AY715" t="inlineStr">
        <is>
          <t>2260144140002656</t>
        </is>
      </c>
      <c r="AZ715" t="inlineStr">
        <is>
          <t>BOOK</t>
        </is>
      </c>
      <c r="BB715" t="inlineStr">
        <is>
          <t>9780802841315</t>
        </is>
      </c>
      <c r="BC715" t="inlineStr">
        <is>
          <t>32285002133337</t>
        </is>
      </c>
      <c r="BD715" t="inlineStr">
        <is>
          <t>893691703</t>
        </is>
      </c>
    </row>
    <row r="716">
      <c r="A716" t="inlineStr">
        <is>
          <t>No</t>
        </is>
      </c>
      <c r="B716" t="inlineStr">
        <is>
          <t>BT455 .B35 1951</t>
        </is>
      </c>
      <c r="C716" t="inlineStr">
        <is>
          <t>0                      BT 0455000B  35          1951</t>
        </is>
      </c>
      <c r="D716" t="inlineStr">
        <is>
          <t>The seven words spoken by Christ on the cross / from the Latin of Saint Robert Bellarmine.</t>
        </is>
      </c>
      <c r="F716" t="inlineStr">
        <is>
          <t>No</t>
        </is>
      </c>
      <c r="G716" t="inlineStr">
        <is>
          <t>1</t>
        </is>
      </c>
      <c r="H716" t="inlineStr">
        <is>
          <t>No</t>
        </is>
      </c>
      <c r="I716" t="inlineStr">
        <is>
          <t>No</t>
        </is>
      </c>
      <c r="J716" t="inlineStr">
        <is>
          <t>0</t>
        </is>
      </c>
      <c r="K716" t="inlineStr">
        <is>
          <t>Bellarmino, Roberto Francesco Romolo, Saint, 1542-1621.</t>
        </is>
      </c>
      <c r="L716" t="inlineStr">
        <is>
          <t>Baltimore, Md. : Carroll Press, 1951.</t>
        </is>
      </c>
      <c r="M716" t="inlineStr">
        <is>
          <t>1951</t>
        </is>
      </c>
      <c r="O716" t="inlineStr">
        <is>
          <t>eng</t>
        </is>
      </c>
      <c r="P716" t="inlineStr">
        <is>
          <t>mdu</t>
        </is>
      </c>
      <c r="R716" t="inlineStr">
        <is>
          <t xml:space="preserve">BT </t>
        </is>
      </c>
      <c r="S716" t="n">
        <v>5</v>
      </c>
      <c r="T716" t="n">
        <v>5</v>
      </c>
      <c r="U716" t="inlineStr">
        <is>
          <t>2008-11-20</t>
        </is>
      </c>
      <c r="V716" t="inlineStr">
        <is>
          <t>2008-11-20</t>
        </is>
      </c>
      <c r="W716" t="inlineStr">
        <is>
          <t>1991-08-22</t>
        </is>
      </c>
      <c r="X716" t="inlineStr">
        <is>
          <t>1991-08-22</t>
        </is>
      </c>
      <c r="Y716" t="n">
        <v>25</v>
      </c>
      <c r="Z716" t="n">
        <v>21</v>
      </c>
      <c r="AA716" t="n">
        <v>110</v>
      </c>
      <c r="AB716" t="n">
        <v>1</v>
      </c>
      <c r="AC716" t="n">
        <v>3</v>
      </c>
      <c r="AD716" t="n">
        <v>5</v>
      </c>
      <c r="AE716" t="n">
        <v>27</v>
      </c>
      <c r="AF716" t="n">
        <v>3</v>
      </c>
      <c r="AG716" t="n">
        <v>8</v>
      </c>
      <c r="AH716" t="n">
        <v>1</v>
      </c>
      <c r="AI716" t="n">
        <v>6</v>
      </c>
      <c r="AJ716" t="n">
        <v>5</v>
      </c>
      <c r="AK716" t="n">
        <v>22</v>
      </c>
      <c r="AL716" t="n">
        <v>0</v>
      </c>
      <c r="AM716" t="n">
        <v>0</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HYPERLINK("https://creighton-primo.hosted.exlibrisgroup.com/primo-explore/search?tab=default_tab&amp;search_scope=EVERYTHING&amp;vid=01CRU&amp;lang=en_US&amp;offset=0&amp;query=any,contains,991003944989702656","Catalog Record")</f>
        <v/>
      </c>
      <c r="AT716">
        <f>HYPERLINK("http://www.worldcat.org/oclc/1944859","WorldCat Record")</f>
        <v/>
      </c>
      <c r="AU716" t="inlineStr">
        <is>
          <t>9988574135:eng</t>
        </is>
      </c>
      <c r="AV716" t="inlineStr">
        <is>
          <t>1944859</t>
        </is>
      </c>
      <c r="AW716" t="inlineStr">
        <is>
          <t>991003944989702656</t>
        </is>
      </c>
      <c r="AX716" t="inlineStr">
        <is>
          <t>991003944989702656</t>
        </is>
      </c>
      <c r="AY716" t="inlineStr">
        <is>
          <t>2266180140002656</t>
        </is>
      </c>
      <c r="AZ716" t="inlineStr">
        <is>
          <t>BOOK</t>
        </is>
      </c>
      <c r="BC716" t="inlineStr">
        <is>
          <t>32285000745769</t>
        </is>
      </c>
      <c r="BD716" t="inlineStr">
        <is>
          <t>893331016</t>
        </is>
      </c>
    </row>
    <row r="717">
      <c r="A717" t="inlineStr">
        <is>
          <t>No</t>
        </is>
      </c>
      <c r="B717" t="inlineStr">
        <is>
          <t>BT455 .S44 1936</t>
        </is>
      </c>
      <c r="C717" t="inlineStr">
        <is>
          <t>0                      BT 0455000S  44          1936</t>
        </is>
      </c>
      <c r="D717" t="inlineStr">
        <is>
          <t>Calvary and the mass : a missal companion / by Rt. Rev. Fulton J. Sheen.</t>
        </is>
      </c>
      <c r="F717" t="inlineStr">
        <is>
          <t>No</t>
        </is>
      </c>
      <c r="G717" t="inlineStr">
        <is>
          <t>1</t>
        </is>
      </c>
      <c r="H717" t="inlineStr">
        <is>
          <t>No</t>
        </is>
      </c>
      <c r="I717" t="inlineStr">
        <is>
          <t>No</t>
        </is>
      </c>
      <c r="J717" t="inlineStr">
        <is>
          <t>0</t>
        </is>
      </c>
      <c r="K717" t="inlineStr">
        <is>
          <t>Sheen, Fulton J. (Fulton John), 1895-1979.</t>
        </is>
      </c>
      <c r="L717" t="inlineStr">
        <is>
          <t>New York : P. J. Kenedy &amp; sons, [c1936]</t>
        </is>
      </c>
      <c r="M717" t="inlineStr">
        <is>
          <t>1936</t>
        </is>
      </c>
      <c r="O717" t="inlineStr">
        <is>
          <t>eng</t>
        </is>
      </c>
      <c r="P717" t="inlineStr">
        <is>
          <t>nyu</t>
        </is>
      </c>
      <c r="R717" t="inlineStr">
        <is>
          <t xml:space="preserve">BT </t>
        </is>
      </c>
      <c r="S717" t="n">
        <v>1</v>
      </c>
      <c r="T717" t="n">
        <v>1</v>
      </c>
      <c r="U717" t="inlineStr">
        <is>
          <t>2010-06-30</t>
        </is>
      </c>
      <c r="V717" t="inlineStr">
        <is>
          <t>2010-06-30</t>
        </is>
      </c>
      <c r="W717" t="inlineStr">
        <is>
          <t>1991-08-22</t>
        </is>
      </c>
      <c r="X717" t="inlineStr">
        <is>
          <t>1991-08-22</t>
        </is>
      </c>
      <c r="Y717" t="n">
        <v>113</v>
      </c>
      <c r="Z717" t="n">
        <v>102</v>
      </c>
      <c r="AA717" t="n">
        <v>169</v>
      </c>
      <c r="AB717" t="n">
        <v>3</v>
      </c>
      <c r="AC717" t="n">
        <v>4</v>
      </c>
      <c r="AD717" t="n">
        <v>18</v>
      </c>
      <c r="AE717" t="n">
        <v>22</v>
      </c>
      <c r="AF717" t="n">
        <v>4</v>
      </c>
      <c r="AG717" t="n">
        <v>7</v>
      </c>
      <c r="AH717" t="n">
        <v>6</v>
      </c>
      <c r="AI717" t="n">
        <v>7</v>
      </c>
      <c r="AJ717" t="n">
        <v>11</v>
      </c>
      <c r="AK717" t="n">
        <v>14</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HYPERLINK("https://creighton-primo.hosted.exlibrisgroup.com/primo-explore/search?tab=default_tab&amp;search_scope=EVERYTHING&amp;vid=01CRU&amp;lang=en_US&amp;offset=0&amp;query=any,contains,991004698299702656","Catalog Record")</f>
        <v/>
      </c>
      <c r="AT717">
        <f>HYPERLINK("http://www.worldcat.org/oclc/4654880","WorldCat Record")</f>
        <v/>
      </c>
      <c r="AU717" t="inlineStr">
        <is>
          <t>1771411:eng</t>
        </is>
      </c>
      <c r="AV717" t="inlineStr">
        <is>
          <t>4654880</t>
        </is>
      </c>
      <c r="AW717" t="inlineStr">
        <is>
          <t>991004698299702656</t>
        </is>
      </c>
      <c r="AX717" t="inlineStr">
        <is>
          <t>991004698299702656</t>
        </is>
      </c>
      <c r="AY717" t="inlineStr">
        <is>
          <t>2255979800002656</t>
        </is>
      </c>
      <c r="AZ717" t="inlineStr">
        <is>
          <t>BOOK</t>
        </is>
      </c>
      <c r="BC717" t="inlineStr">
        <is>
          <t>32285000745793</t>
        </is>
      </c>
      <c r="BD717" t="inlineStr">
        <is>
          <t>893688038</t>
        </is>
      </c>
    </row>
    <row r="718">
      <c r="A718" t="inlineStr">
        <is>
          <t>No</t>
        </is>
      </c>
      <c r="B718" t="inlineStr">
        <is>
          <t>BT455 .S443 1937</t>
        </is>
      </c>
      <c r="C718" t="inlineStr">
        <is>
          <t>0                      BT 0455000S  443         1937</t>
        </is>
      </c>
      <c r="D718" t="inlineStr">
        <is>
          <t>The cross and the Beatitudes / by Rt. Rev. Fulton J. Sheen.</t>
        </is>
      </c>
      <c r="F718" t="inlineStr">
        <is>
          <t>No</t>
        </is>
      </c>
      <c r="G718" t="inlineStr">
        <is>
          <t>1</t>
        </is>
      </c>
      <c r="H718" t="inlineStr">
        <is>
          <t>No</t>
        </is>
      </c>
      <c r="I718" t="inlineStr">
        <is>
          <t>No</t>
        </is>
      </c>
      <c r="J718" t="inlineStr">
        <is>
          <t>0</t>
        </is>
      </c>
      <c r="K718" t="inlineStr">
        <is>
          <t>Sheen, Fulton J. (Fulton John), 1895-1979.</t>
        </is>
      </c>
      <c r="L718" t="inlineStr">
        <is>
          <t>New York : P. J. Kenedy &amp; sons, [c1937]</t>
        </is>
      </c>
      <c r="M718" t="inlineStr">
        <is>
          <t>1937</t>
        </is>
      </c>
      <c r="O718" t="inlineStr">
        <is>
          <t>eng</t>
        </is>
      </c>
      <c r="P718" t="inlineStr">
        <is>
          <t>nyu</t>
        </is>
      </c>
      <c r="R718" t="inlineStr">
        <is>
          <t xml:space="preserve">BT </t>
        </is>
      </c>
      <c r="S718" t="n">
        <v>2</v>
      </c>
      <c r="T718" t="n">
        <v>2</v>
      </c>
      <c r="U718" t="inlineStr">
        <is>
          <t>2010-06-30</t>
        </is>
      </c>
      <c r="V718" t="inlineStr">
        <is>
          <t>2010-06-30</t>
        </is>
      </c>
      <c r="W718" t="inlineStr">
        <is>
          <t>1991-08-22</t>
        </is>
      </c>
      <c r="X718" t="inlineStr">
        <is>
          <t>1991-08-22</t>
        </is>
      </c>
      <c r="Y718" t="n">
        <v>99</v>
      </c>
      <c r="Z718" t="n">
        <v>93</v>
      </c>
      <c r="AA718" t="n">
        <v>269</v>
      </c>
      <c r="AB718" t="n">
        <v>1</v>
      </c>
      <c r="AC718" t="n">
        <v>3</v>
      </c>
      <c r="AD718" t="n">
        <v>16</v>
      </c>
      <c r="AE718" t="n">
        <v>24</v>
      </c>
      <c r="AF718" t="n">
        <v>2</v>
      </c>
      <c r="AG718" t="n">
        <v>7</v>
      </c>
      <c r="AH718" t="n">
        <v>4</v>
      </c>
      <c r="AI718" t="n">
        <v>6</v>
      </c>
      <c r="AJ718" t="n">
        <v>13</v>
      </c>
      <c r="AK718" t="n">
        <v>18</v>
      </c>
      <c r="AL718" t="n">
        <v>0</v>
      </c>
      <c r="AM718" t="n">
        <v>0</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HYPERLINK("https://creighton-primo.hosted.exlibrisgroup.com/primo-explore/search?tab=default_tab&amp;search_scope=EVERYTHING&amp;vid=01CRU&amp;lang=en_US&amp;offset=0&amp;query=any,contains,991004886499702656","Catalog Record")</f>
        <v/>
      </c>
      <c r="AT718">
        <f>HYPERLINK("http://www.worldcat.org/oclc/5835808","WorldCat Record")</f>
        <v/>
      </c>
      <c r="AU718" t="inlineStr">
        <is>
          <t>1604776:eng</t>
        </is>
      </c>
      <c r="AV718" t="inlineStr">
        <is>
          <t>5835808</t>
        </is>
      </c>
      <c r="AW718" t="inlineStr">
        <is>
          <t>991004886499702656</t>
        </is>
      </c>
      <c r="AX718" t="inlineStr">
        <is>
          <t>991004886499702656</t>
        </is>
      </c>
      <c r="AY718" t="inlineStr">
        <is>
          <t>2254878760002656</t>
        </is>
      </c>
      <c r="AZ718" t="inlineStr">
        <is>
          <t>BOOK</t>
        </is>
      </c>
      <c r="BC718" t="inlineStr">
        <is>
          <t>32285000745819</t>
        </is>
      </c>
      <c r="BD718" t="inlineStr">
        <is>
          <t>893782761</t>
        </is>
      </c>
    </row>
    <row r="719">
      <c r="A719" t="inlineStr">
        <is>
          <t>No</t>
        </is>
      </c>
      <c r="B719" t="inlineStr">
        <is>
          <t>BT455 .S455 1940</t>
        </is>
      </c>
      <c r="C719" t="inlineStr">
        <is>
          <t>0                      BT 0455000S  455         1940</t>
        </is>
      </c>
      <c r="D719" t="inlineStr">
        <is>
          <t>The seven virtues / by Rt. Rev. Fulton J. Sheen.</t>
        </is>
      </c>
      <c r="F719" t="inlineStr">
        <is>
          <t>No</t>
        </is>
      </c>
      <c r="G719" t="inlineStr">
        <is>
          <t>1</t>
        </is>
      </c>
      <c r="H719" t="inlineStr">
        <is>
          <t>No</t>
        </is>
      </c>
      <c r="I719" t="inlineStr">
        <is>
          <t>No</t>
        </is>
      </c>
      <c r="J719" t="inlineStr">
        <is>
          <t>0</t>
        </is>
      </c>
      <c r="K719" t="inlineStr">
        <is>
          <t>Sheen, Fulton J. (Fulton John), 1895-1979.</t>
        </is>
      </c>
      <c r="L719" t="inlineStr">
        <is>
          <t>New York : P.J. Kenedy &amp; sons, [c1940]</t>
        </is>
      </c>
      <c r="M719" t="inlineStr">
        <is>
          <t>1940</t>
        </is>
      </c>
      <c r="O719" t="inlineStr">
        <is>
          <t>eng</t>
        </is>
      </c>
      <c r="P719" t="inlineStr">
        <is>
          <t>___</t>
        </is>
      </c>
      <c r="R719" t="inlineStr">
        <is>
          <t xml:space="preserve">BT </t>
        </is>
      </c>
      <c r="S719" t="n">
        <v>2</v>
      </c>
      <c r="T719" t="n">
        <v>2</v>
      </c>
      <c r="U719" t="inlineStr">
        <is>
          <t>1995-09-23</t>
        </is>
      </c>
      <c r="V719" t="inlineStr">
        <is>
          <t>1995-09-23</t>
        </is>
      </c>
      <c r="W719" t="inlineStr">
        <is>
          <t>1991-08-22</t>
        </is>
      </c>
      <c r="X719" t="inlineStr">
        <is>
          <t>1991-08-22</t>
        </is>
      </c>
      <c r="Y719" t="n">
        <v>80</v>
      </c>
      <c r="Z719" t="n">
        <v>75</v>
      </c>
      <c r="AA719" t="n">
        <v>118</v>
      </c>
      <c r="AB719" t="n">
        <v>2</v>
      </c>
      <c r="AC719" t="n">
        <v>2</v>
      </c>
      <c r="AD719" t="n">
        <v>11</v>
      </c>
      <c r="AE719" t="n">
        <v>18</v>
      </c>
      <c r="AF719" t="n">
        <v>3</v>
      </c>
      <c r="AG719" t="n">
        <v>3</v>
      </c>
      <c r="AH719" t="n">
        <v>4</v>
      </c>
      <c r="AI719" t="n">
        <v>7</v>
      </c>
      <c r="AJ719" t="n">
        <v>8</v>
      </c>
      <c r="AK719" t="n">
        <v>13</v>
      </c>
      <c r="AL719" t="n">
        <v>0</v>
      </c>
      <c r="AM719" t="n">
        <v>0</v>
      </c>
      <c r="AN719" t="n">
        <v>0</v>
      </c>
      <c r="AO719" t="n">
        <v>0</v>
      </c>
      <c r="AP719" t="inlineStr">
        <is>
          <t>No</t>
        </is>
      </c>
      <c r="AQ719" t="inlineStr">
        <is>
          <t>Yes</t>
        </is>
      </c>
      <c r="AR719">
        <f>HYPERLINK("http://catalog.hathitrust.org/Record/102156208","HathiTrust Record")</f>
        <v/>
      </c>
      <c r="AS719">
        <f>HYPERLINK("https://creighton-primo.hosted.exlibrisgroup.com/primo-explore/search?tab=default_tab&amp;search_scope=EVERYTHING&amp;vid=01CRU&amp;lang=en_US&amp;offset=0&amp;query=any,contains,991003771029702656","Catalog Record")</f>
        <v/>
      </c>
      <c r="AT719">
        <f>HYPERLINK("http://www.worldcat.org/oclc/1471443","WorldCat Record")</f>
        <v/>
      </c>
      <c r="AU719" t="inlineStr">
        <is>
          <t>3905195511:eng</t>
        </is>
      </c>
      <c r="AV719" t="inlineStr">
        <is>
          <t>1471443</t>
        </is>
      </c>
      <c r="AW719" t="inlineStr">
        <is>
          <t>991003771029702656</t>
        </is>
      </c>
      <c r="AX719" t="inlineStr">
        <is>
          <t>991003771029702656</t>
        </is>
      </c>
      <c r="AY719" t="inlineStr">
        <is>
          <t>2272744430002656</t>
        </is>
      </c>
      <c r="AZ719" t="inlineStr">
        <is>
          <t>BOOK</t>
        </is>
      </c>
      <c r="BC719" t="inlineStr">
        <is>
          <t>32285000745868</t>
        </is>
      </c>
      <c r="BD719" t="inlineStr">
        <is>
          <t>893441712</t>
        </is>
      </c>
    </row>
    <row r="720">
      <c r="A720" t="inlineStr">
        <is>
          <t>No</t>
        </is>
      </c>
      <c r="B720" t="inlineStr">
        <is>
          <t>BT465 .C73 1907</t>
        </is>
      </c>
      <c r="C720" t="inlineStr">
        <is>
          <t>0                      BT 0465000C  73          1907</t>
        </is>
      </c>
      <c r="D720" t="inlineStr">
        <is>
          <t>The finding of the Cross / by Louis de Combes ; authorised translation by Luigi Cappadelta [pseud.]</t>
        </is>
      </c>
      <c r="F720" t="inlineStr">
        <is>
          <t>No</t>
        </is>
      </c>
      <c r="G720" t="inlineStr">
        <is>
          <t>1</t>
        </is>
      </c>
      <c r="H720" t="inlineStr">
        <is>
          <t>No</t>
        </is>
      </c>
      <c r="I720" t="inlineStr">
        <is>
          <t>No</t>
        </is>
      </c>
      <c r="J720" t="inlineStr">
        <is>
          <t>0</t>
        </is>
      </c>
      <c r="K720" t="inlineStr">
        <is>
          <t>Combes, Louis de.</t>
        </is>
      </c>
      <c r="L720" t="inlineStr">
        <is>
          <t>London : K. Paul, Trench, Trübner, 1907.</t>
        </is>
      </c>
      <c r="M720" t="inlineStr">
        <is>
          <t>1907</t>
        </is>
      </c>
      <c r="O720" t="inlineStr">
        <is>
          <t>eng</t>
        </is>
      </c>
      <c r="P720" t="inlineStr">
        <is>
          <t>enk</t>
        </is>
      </c>
      <c r="Q720" t="inlineStr">
        <is>
          <t>The International Catholic library, v. 10</t>
        </is>
      </c>
      <c r="R720" t="inlineStr">
        <is>
          <t xml:space="preserve">BT </t>
        </is>
      </c>
      <c r="S720" t="n">
        <v>2</v>
      </c>
      <c r="T720" t="n">
        <v>2</v>
      </c>
      <c r="U720" t="inlineStr">
        <is>
          <t>2007-02-20</t>
        </is>
      </c>
      <c r="V720" t="inlineStr">
        <is>
          <t>2007-02-20</t>
        </is>
      </c>
      <c r="W720" t="inlineStr">
        <is>
          <t>1991-08-22</t>
        </is>
      </c>
      <c r="X720" t="inlineStr">
        <is>
          <t>1991-08-22</t>
        </is>
      </c>
      <c r="Y720" t="n">
        <v>40</v>
      </c>
      <c r="Z720" t="n">
        <v>28</v>
      </c>
      <c r="AA720" t="n">
        <v>127</v>
      </c>
      <c r="AB720" t="n">
        <v>1</v>
      </c>
      <c r="AC720" t="n">
        <v>2</v>
      </c>
      <c r="AD720" t="n">
        <v>5</v>
      </c>
      <c r="AE720" t="n">
        <v>15</v>
      </c>
      <c r="AF720" t="n">
        <v>0</v>
      </c>
      <c r="AG720" t="n">
        <v>5</v>
      </c>
      <c r="AH720" t="n">
        <v>2</v>
      </c>
      <c r="AI720" t="n">
        <v>4</v>
      </c>
      <c r="AJ720" t="n">
        <v>3</v>
      </c>
      <c r="AK720" t="n">
        <v>9</v>
      </c>
      <c r="AL720" t="n">
        <v>0</v>
      </c>
      <c r="AM720" t="n">
        <v>1</v>
      </c>
      <c r="AN720" t="n">
        <v>0</v>
      </c>
      <c r="AO720" t="n">
        <v>0</v>
      </c>
      <c r="AP720" t="inlineStr">
        <is>
          <t>Yes</t>
        </is>
      </c>
      <c r="AQ720" t="inlineStr">
        <is>
          <t>No</t>
        </is>
      </c>
      <c r="AR720">
        <f>HYPERLINK("http://catalog.hathitrust.org/Record/100328460","HathiTrust Record")</f>
        <v/>
      </c>
      <c r="AS720">
        <f>HYPERLINK("https://creighton-primo.hosted.exlibrisgroup.com/primo-explore/search?tab=default_tab&amp;search_scope=EVERYTHING&amp;vid=01CRU&amp;lang=en_US&amp;offset=0&amp;query=any,contains,991005077639702656","Catalog Record")</f>
        <v/>
      </c>
      <c r="AT720">
        <f>HYPERLINK("http://www.worldcat.org/oclc/7148803","WorldCat Record")</f>
        <v/>
      </c>
      <c r="AU720" t="inlineStr">
        <is>
          <t>1756851:eng</t>
        </is>
      </c>
      <c r="AV720" t="inlineStr">
        <is>
          <t>7148803</t>
        </is>
      </c>
      <c r="AW720" t="inlineStr">
        <is>
          <t>991005077639702656</t>
        </is>
      </c>
      <c r="AX720" t="inlineStr">
        <is>
          <t>991005077639702656</t>
        </is>
      </c>
      <c r="AY720" t="inlineStr">
        <is>
          <t>2265085970002656</t>
        </is>
      </c>
      <c r="AZ720" t="inlineStr">
        <is>
          <t>BOOK</t>
        </is>
      </c>
      <c r="BC720" t="inlineStr">
        <is>
          <t>32285000745892</t>
        </is>
      </c>
      <c r="BD720" t="inlineStr">
        <is>
          <t>893789401</t>
        </is>
      </c>
    </row>
    <row r="721">
      <c r="A721" t="inlineStr">
        <is>
          <t>No</t>
        </is>
      </c>
      <c r="B721" t="inlineStr">
        <is>
          <t>BT480 .K833 1965</t>
        </is>
      </c>
      <c r="C721" t="inlineStr">
        <is>
          <t>0                      BT 0480000K  833         1965</t>
        </is>
      </c>
      <c r="D721" t="inlineStr">
        <is>
          <t>The theology of the resurrection / Walter Künneth. Translated by James W. Leitch.</t>
        </is>
      </c>
      <c r="F721" t="inlineStr">
        <is>
          <t>No</t>
        </is>
      </c>
      <c r="G721" t="inlineStr">
        <is>
          <t>1</t>
        </is>
      </c>
      <c r="H721" t="inlineStr">
        <is>
          <t>No</t>
        </is>
      </c>
      <c r="I721" t="inlineStr">
        <is>
          <t>No</t>
        </is>
      </c>
      <c r="J721" t="inlineStr">
        <is>
          <t>0</t>
        </is>
      </c>
      <c r="K721" t="inlineStr">
        <is>
          <t>Künneth, Walter, 1901-1997.</t>
        </is>
      </c>
      <c r="L721" t="inlineStr">
        <is>
          <t>London : SCM Press, c1965.</t>
        </is>
      </c>
      <c r="M721" t="inlineStr">
        <is>
          <t>1965</t>
        </is>
      </c>
      <c r="O721" t="inlineStr">
        <is>
          <t>eng</t>
        </is>
      </c>
      <c r="P721" t="inlineStr">
        <is>
          <t>enk</t>
        </is>
      </c>
      <c r="R721" t="inlineStr">
        <is>
          <t xml:space="preserve">BT </t>
        </is>
      </c>
      <c r="S721" t="n">
        <v>7</v>
      </c>
      <c r="T721" t="n">
        <v>7</v>
      </c>
      <c r="U721" t="inlineStr">
        <is>
          <t>1995-10-06</t>
        </is>
      </c>
      <c r="V721" t="inlineStr">
        <is>
          <t>1995-10-06</t>
        </is>
      </c>
      <c r="W721" t="inlineStr">
        <is>
          <t>1991-08-22</t>
        </is>
      </c>
      <c r="X721" t="inlineStr">
        <is>
          <t>1991-08-22</t>
        </is>
      </c>
      <c r="Y721" t="n">
        <v>125</v>
      </c>
      <c r="Z721" t="n">
        <v>54</v>
      </c>
      <c r="AA721" t="n">
        <v>288</v>
      </c>
      <c r="AB721" t="n">
        <v>1</v>
      </c>
      <c r="AC721" t="n">
        <v>2</v>
      </c>
      <c r="AD721" t="n">
        <v>5</v>
      </c>
      <c r="AE721" t="n">
        <v>27</v>
      </c>
      <c r="AF721" t="n">
        <v>2</v>
      </c>
      <c r="AG721" t="n">
        <v>12</v>
      </c>
      <c r="AH721" t="n">
        <v>2</v>
      </c>
      <c r="AI721" t="n">
        <v>5</v>
      </c>
      <c r="AJ721" t="n">
        <v>3</v>
      </c>
      <c r="AK721" t="n">
        <v>16</v>
      </c>
      <c r="AL721" t="n">
        <v>0</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HYPERLINK("https://creighton-primo.hosted.exlibrisgroup.com/primo-explore/search?tab=default_tab&amp;search_scope=EVERYTHING&amp;vid=01CRU&amp;lang=en_US&amp;offset=0&amp;query=any,contains,991005041759702656","Catalog Record")</f>
        <v/>
      </c>
      <c r="AT721">
        <f>HYPERLINK("http://www.worldcat.org/oclc/6799151","WorldCat Record")</f>
        <v/>
      </c>
      <c r="AU721" t="inlineStr">
        <is>
          <t>3936153:eng</t>
        </is>
      </c>
      <c r="AV721" t="inlineStr">
        <is>
          <t>6799151</t>
        </is>
      </c>
      <c r="AW721" t="inlineStr">
        <is>
          <t>991005041759702656</t>
        </is>
      </c>
      <c r="AX721" t="inlineStr">
        <is>
          <t>991005041759702656</t>
        </is>
      </c>
      <c r="AY721" t="inlineStr">
        <is>
          <t>2265332440002656</t>
        </is>
      </c>
      <c r="AZ721" t="inlineStr">
        <is>
          <t>BOOK</t>
        </is>
      </c>
      <c r="BC721" t="inlineStr">
        <is>
          <t>32285000745942</t>
        </is>
      </c>
      <c r="BD721" t="inlineStr">
        <is>
          <t>893430750</t>
        </is>
      </c>
    </row>
    <row r="722">
      <c r="A722" t="inlineStr">
        <is>
          <t>No</t>
        </is>
      </c>
      <c r="B722" t="inlineStr">
        <is>
          <t>BT480 .M365</t>
        </is>
      </c>
      <c r="C722" t="inlineStr">
        <is>
          <t>0                      BT 0480000M  365</t>
        </is>
      </c>
      <c r="D722" t="inlineStr">
        <is>
          <t>The resurrection of Christ. Is it a fact? / by Gideon W.B. Marsh.</t>
        </is>
      </c>
      <c r="F722" t="inlineStr">
        <is>
          <t>No</t>
        </is>
      </c>
      <c r="G722" t="inlineStr">
        <is>
          <t>1</t>
        </is>
      </c>
      <c r="H722" t="inlineStr">
        <is>
          <t>No</t>
        </is>
      </c>
      <c r="I722" t="inlineStr">
        <is>
          <t>No</t>
        </is>
      </c>
      <c r="J722" t="inlineStr">
        <is>
          <t>0</t>
        </is>
      </c>
      <c r="K722" t="inlineStr">
        <is>
          <t>Marsh, Gideon W. B. (Gideon William Barker)</t>
        </is>
      </c>
      <c r="L722" t="inlineStr">
        <is>
          <t>St. Louis, Mo. : Herder, London: Sands, 1905.</t>
        </is>
      </c>
      <c r="M722" t="inlineStr">
        <is>
          <t>1905</t>
        </is>
      </c>
      <c r="O722" t="inlineStr">
        <is>
          <t>eng</t>
        </is>
      </c>
      <c r="P722" t="inlineStr">
        <is>
          <t>mou</t>
        </is>
      </c>
      <c r="R722" t="inlineStr">
        <is>
          <t xml:space="preserve">BT </t>
        </is>
      </c>
      <c r="S722" t="n">
        <v>6</v>
      </c>
      <c r="T722" t="n">
        <v>6</v>
      </c>
      <c r="U722" t="inlineStr">
        <is>
          <t>1995-11-12</t>
        </is>
      </c>
      <c r="V722" t="inlineStr">
        <is>
          <t>1995-11-12</t>
        </is>
      </c>
      <c r="W722" t="inlineStr">
        <is>
          <t>1991-08-22</t>
        </is>
      </c>
      <c r="X722" t="inlineStr">
        <is>
          <t>1991-08-22</t>
        </is>
      </c>
      <c r="Y722" t="n">
        <v>28</v>
      </c>
      <c r="Z722" t="n">
        <v>25</v>
      </c>
      <c r="AA722" t="n">
        <v>111</v>
      </c>
      <c r="AB722" t="n">
        <v>1</v>
      </c>
      <c r="AC722" t="n">
        <v>2</v>
      </c>
      <c r="AD722" t="n">
        <v>7</v>
      </c>
      <c r="AE722" t="n">
        <v>13</v>
      </c>
      <c r="AF722" t="n">
        <v>0</v>
      </c>
      <c r="AG722" t="n">
        <v>1</v>
      </c>
      <c r="AH722" t="n">
        <v>2</v>
      </c>
      <c r="AI722" t="n">
        <v>3</v>
      </c>
      <c r="AJ722" t="n">
        <v>6</v>
      </c>
      <c r="AK722" t="n">
        <v>9</v>
      </c>
      <c r="AL722" t="n">
        <v>0</v>
      </c>
      <c r="AM722" t="n">
        <v>1</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HYPERLINK("https://creighton-primo.hosted.exlibrisgroup.com/primo-explore/search?tab=default_tab&amp;search_scope=EVERYTHING&amp;vid=01CRU&amp;lang=en_US&amp;offset=0&amp;query=any,contains,991004760279702656","Catalog Record")</f>
        <v/>
      </c>
      <c r="AT722">
        <f>HYPERLINK("http://www.worldcat.org/oclc/4994070","WorldCat Record")</f>
        <v/>
      </c>
      <c r="AU722" t="inlineStr">
        <is>
          <t>7587922:eng</t>
        </is>
      </c>
      <c r="AV722" t="inlineStr">
        <is>
          <t>4994070</t>
        </is>
      </c>
      <c r="AW722" t="inlineStr">
        <is>
          <t>991004760279702656</t>
        </is>
      </c>
      <c r="AX722" t="inlineStr">
        <is>
          <t>991004760279702656</t>
        </is>
      </c>
      <c r="AY722" t="inlineStr">
        <is>
          <t>2265382800002656</t>
        </is>
      </c>
      <c r="AZ722" t="inlineStr">
        <is>
          <t>BOOK</t>
        </is>
      </c>
      <c r="BC722" t="inlineStr">
        <is>
          <t>32285000745959</t>
        </is>
      </c>
      <c r="BD722" t="inlineStr">
        <is>
          <t>893895458</t>
        </is>
      </c>
    </row>
    <row r="723">
      <c r="A723" t="inlineStr">
        <is>
          <t>No</t>
        </is>
      </c>
      <c r="B723" t="inlineStr">
        <is>
          <t>BT480 .R3 1946</t>
        </is>
      </c>
      <c r="C723" t="inlineStr">
        <is>
          <t>0                      BT 0480000R  3           1946</t>
        </is>
      </c>
      <c r="D723" t="inlineStr">
        <is>
          <t>The resurrection of Christ : an essay in Biblical theology / by A.M. Ramsey.</t>
        </is>
      </c>
      <c r="F723" t="inlineStr">
        <is>
          <t>No</t>
        </is>
      </c>
      <c r="G723" t="inlineStr">
        <is>
          <t>1</t>
        </is>
      </c>
      <c r="H723" t="inlineStr">
        <is>
          <t>No</t>
        </is>
      </c>
      <c r="I723" t="inlineStr">
        <is>
          <t>No</t>
        </is>
      </c>
      <c r="J723" t="inlineStr">
        <is>
          <t>0</t>
        </is>
      </c>
      <c r="K723" t="inlineStr">
        <is>
          <t>Ramsey, Michael, 1904-1988.</t>
        </is>
      </c>
      <c r="L723" t="inlineStr">
        <is>
          <t>London, G. Bles c1946, 1962 printing.</t>
        </is>
      </c>
      <c r="M723" t="inlineStr">
        <is>
          <t>1946</t>
        </is>
      </c>
      <c r="N723" t="inlineStr">
        <is>
          <t>[2d ed.]</t>
        </is>
      </c>
      <c r="O723" t="inlineStr">
        <is>
          <t>eng</t>
        </is>
      </c>
      <c r="P723" t="inlineStr">
        <is>
          <t>___</t>
        </is>
      </c>
      <c r="R723" t="inlineStr">
        <is>
          <t xml:space="preserve">BT </t>
        </is>
      </c>
      <c r="S723" t="n">
        <v>5</v>
      </c>
      <c r="T723" t="n">
        <v>5</v>
      </c>
      <c r="U723" t="inlineStr">
        <is>
          <t>1995-09-11</t>
        </is>
      </c>
      <c r="V723" t="inlineStr">
        <is>
          <t>1995-09-11</t>
        </is>
      </c>
      <c r="W723" t="inlineStr">
        <is>
          <t>1991-08-22</t>
        </is>
      </c>
      <c r="X723" t="inlineStr">
        <is>
          <t>1991-08-22</t>
        </is>
      </c>
      <c r="Y723" t="n">
        <v>125</v>
      </c>
      <c r="Z723" t="n">
        <v>115</v>
      </c>
      <c r="AA723" t="n">
        <v>468</v>
      </c>
      <c r="AB723" t="n">
        <v>1</v>
      </c>
      <c r="AC723" t="n">
        <v>4</v>
      </c>
      <c r="AD723" t="n">
        <v>9</v>
      </c>
      <c r="AE723" t="n">
        <v>28</v>
      </c>
      <c r="AF723" t="n">
        <v>4</v>
      </c>
      <c r="AG723" t="n">
        <v>12</v>
      </c>
      <c r="AH723" t="n">
        <v>2</v>
      </c>
      <c r="AI723" t="n">
        <v>5</v>
      </c>
      <c r="AJ723" t="n">
        <v>6</v>
      </c>
      <c r="AK723" t="n">
        <v>15</v>
      </c>
      <c r="AL723" t="n">
        <v>0</v>
      </c>
      <c r="AM723" t="n">
        <v>2</v>
      </c>
      <c r="AN723" t="n">
        <v>0</v>
      </c>
      <c r="AO723" t="n">
        <v>0</v>
      </c>
      <c r="AP723" t="inlineStr">
        <is>
          <t>No</t>
        </is>
      </c>
      <c r="AQ723" t="inlineStr">
        <is>
          <t>Yes</t>
        </is>
      </c>
      <c r="AR723">
        <f>HYPERLINK("http://catalog.hathitrust.org/Record/009906964","HathiTrust Record")</f>
        <v/>
      </c>
      <c r="AS723">
        <f>HYPERLINK("https://creighton-primo.hosted.exlibrisgroup.com/primo-explore/search?tab=default_tab&amp;search_scope=EVERYTHING&amp;vid=01CRU&amp;lang=en_US&amp;offset=0&amp;query=any,contains,991002651059702656","Catalog Record")</f>
        <v/>
      </c>
      <c r="AT723">
        <f>HYPERLINK("http://www.worldcat.org/oclc/387159","WorldCat Record")</f>
        <v/>
      </c>
      <c r="AU723" t="inlineStr">
        <is>
          <t>199042979:eng</t>
        </is>
      </c>
      <c r="AV723" t="inlineStr">
        <is>
          <t>387159</t>
        </is>
      </c>
      <c r="AW723" t="inlineStr">
        <is>
          <t>991002651059702656</t>
        </is>
      </c>
      <c r="AX723" t="inlineStr">
        <is>
          <t>991002651059702656</t>
        </is>
      </c>
      <c r="AY723" t="inlineStr">
        <is>
          <t>2258227700002656</t>
        </is>
      </c>
      <c r="AZ723" t="inlineStr">
        <is>
          <t>BOOK</t>
        </is>
      </c>
      <c r="BC723" t="inlineStr">
        <is>
          <t>32285000745967</t>
        </is>
      </c>
      <c r="BD723" t="inlineStr">
        <is>
          <t>893798826</t>
        </is>
      </c>
    </row>
    <row r="724">
      <c r="A724" t="inlineStr">
        <is>
          <t>No</t>
        </is>
      </c>
      <c r="B724" t="inlineStr">
        <is>
          <t>BT481 .B48</t>
        </is>
      </c>
      <c r="C724" t="inlineStr">
        <is>
          <t>0                      BT 0481000B  48</t>
        </is>
      </c>
      <c r="D724" t="inlineStr">
        <is>
          <t>The Resurrection according to Matthew, Mark, and Luke / Norman Perrin.</t>
        </is>
      </c>
      <c r="F724" t="inlineStr">
        <is>
          <t>No</t>
        </is>
      </c>
      <c r="G724" t="inlineStr">
        <is>
          <t>1</t>
        </is>
      </c>
      <c r="H724" t="inlineStr">
        <is>
          <t>No</t>
        </is>
      </c>
      <c r="I724" t="inlineStr">
        <is>
          <t>No</t>
        </is>
      </c>
      <c r="J724" t="inlineStr">
        <is>
          <t>0</t>
        </is>
      </c>
      <c r="K724" t="inlineStr">
        <is>
          <t>Perrin, Norman.</t>
        </is>
      </c>
      <c r="L724" t="inlineStr">
        <is>
          <t>Philadelphia : Fortress Press, c1977.</t>
        </is>
      </c>
      <c r="M724" t="inlineStr">
        <is>
          <t>1977</t>
        </is>
      </c>
      <c r="O724" t="inlineStr">
        <is>
          <t>eng</t>
        </is>
      </c>
      <c r="P724" t="inlineStr">
        <is>
          <t>pau</t>
        </is>
      </c>
      <c r="R724" t="inlineStr">
        <is>
          <t xml:space="preserve">BT </t>
        </is>
      </c>
      <c r="S724" t="n">
        <v>9</v>
      </c>
      <c r="T724" t="n">
        <v>9</v>
      </c>
      <c r="U724" t="inlineStr">
        <is>
          <t>2009-04-27</t>
        </is>
      </c>
      <c r="V724" t="inlineStr">
        <is>
          <t>2009-04-27</t>
        </is>
      </c>
      <c r="W724" t="inlineStr">
        <is>
          <t>1990-02-09</t>
        </is>
      </c>
      <c r="X724" t="inlineStr">
        <is>
          <t>1990-02-09</t>
        </is>
      </c>
      <c r="Y724" t="n">
        <v>720</v>
      </c>
      <c r="Z724" t="n">
        <v>622</v>
      </c>
      <c r="AA724" t="n">
        <v>629</v>
      </c>
      <c r="AB724" t="n">
        <v>8</v>
      </c>
      <c r="AC724" t="n">
        <v>8</v>
      </c>
      <c r="AD724" t="n">
        <v>42</v>
      </c>
      <c r="AE724" t="n">
        <v>42</v>
      </c>
      <c r="AF724" t="n">
        <v>19</v>
      </c>
      <c r="AG724" t="n">
        <v>19</v>
      </c>
      <c r="AH724" t="n">
        <v>8</v>
      </c>
      <c r="AI724" t="n">
        <v>8</v>
      </c>
      <c r="AJ724" t="n">
        <v>22</v>
      </c>
      <c r="AK724" t="n">
        <v>22</v>
      </c>
      <c r="AL724" t="n">
        <v>5</v>
      </c>
      <c r="AM724" t="n">
        <v>5</v>
      </c>
      <c r="AN724" t="n">
        <v>0</v>
      </c>
      <c r="AO724" t="n">
        <v>0</v>
      </c>
      <c r="AP724" t="inlineStr">
        <is>
          <t>No</t>
        </is>
      </c>
      <c r="AQ724" t="inlineStr">
        <is>
          <t>Yes</t>
        </is>
      </c>
      <c r="AR724">
        <f>HYPERLINK("http://catalog.hathitrust.org/Record/000214438","HathiTrust Record")</f>
        <v/>
      </c>
      <c r="AS724">
        <f>HYPERLINK("https://creighton-primo.hosted.exlibrisgroup.com/primo-explore/search?tab=default_tab&amp;search_scope=EVERYTHING&amp;vid=01CRU&amp;lang=en_US&amp;offset=0&amp;query=any,contains,991004290369702656","Catalog Record")</f>
        <v/>
      </c>
      <c r="AT724">
        <f>HYPERLINK("http://www.worldcat.org/oclc/2942494","WorldCat Record")</f>
        <v/>
      </c>
      <c r="AU724" t="inlineStr">
        <is>
          <t>449112:eng</t>
        </is>
      </c>
      <c r="AV724" t="inlineStr">
        <is>
          <t>2942494</t>
        </is>
      </c>
      <c r="AW724" t="inlineStr">
        <is>
          <t>991004290369702656</t>
        </is>
      </c>
      <c r="AX724" t="inlineStr">
        <is>
          <t>991004290369702656</t>
        </is>
      </c>
      <c r="AY724" t="inlineStr">
        <is>
          <t>2262959490002656</t>
        </is>
      </c>
      <c r="AZ724" t="inlineStr">
        <is>
          <t>BOOK</t>
        </is>
      </c>
      <c r="BB724" t="inlineStr">
        <is>
          <t>9780800612481</t>
        </is>
      </c>
      <c r="BC724" t="inlineStr">
        <is>
          <t>32285000045020</t>
        </is>
      </c>
      <c r="BD724" t="inlineStr">
        <is>
          <t>893513052</t>
        </is>
      </c>
    </row>
    <row r="725">
      <c r="A725" t="inlineStr">
        <is>
          <t>No</t>
        </is>
      </c>
      <c r="B725" t="inlineStr">
        <is>
          <t>BT481 .C37 1987</t>
        </is>
      </c>
      <c r="C725" t="inlineStr">
        <is>
          <t>0                      BT 0481000C  37          1987</t>
        </is>
      </c>
      <c r="D725" t="inlineStr">
        <is>
          <t>The structure of resurrection belief / Peter Carnley.</t>
        </is>
      </c>
      <c r="F725" t="inlineStr">
        <is>
          <t>No</t>
        </is>
      </c>
      <c r="G725" t="inlineStr">
        <is>
          <t>1</t>
        </is>
      </c>
      <c r="H725" t="inlineStr">
        <is>
          <t>No</t>
        </is>
      </c>
      <c r="I725" t="inlineStr">
        <is>
          <t>No</t>
        </is>
      </c>
      <c r="J725" t="inlineStr">
        <is>
          <t>0</t>
        </is>
      </c>
      <c r="K725" t="inlineStr">
        <is>
          <t>Carnley, Peter.</t>
        </is>
      </c>
      <c r="L725" t="inlineStr">
        <is>
          <t>Oxford, [Oxfordshire] : Clarendon Press, c1987.</t>
        </is>
      </c>
      <c r="M725" t="inlineStr">
        <is>
          <t>1987</t>
        </is>
      </c>
      <c r="O725" t="inlineStr">
        <is>
          <t>eng</t>
        </is>
      </c>
      <c r="P725" t="inlineStr">
        <is>
          <t>enk</t>
        </is>
      </c>
      <c r="R725" t="inlineStr">
        <is>
          <t xml:space="preserve">BT </t>
        </is>
      </c>
      <c r="S725" t="n">
        <v>9</v>
      </c>
      <c r="T725" t="n">
        <v>9</v>
      </c>
      <c r="U725" t="inlineStr">
        <is>
          <t>2010-04-06</t>
        </is>
      </c>
      <c r="V725" t="inlineStr">
        <is>
          <t>2010-04-06</t>
        </is>
      </c>
      <c r="W725" t="inlineStr">
        <is>
          <t>1991-08-22</t>
        </is>
      </c>
      <c r="X725" t="inlineStr">
        <is>
          <t>1991-08-22</t>
        </is>
      </c>
      <c r="Y725" t="n">
        <v>345</v>
      </c>
      <c r="Z725" t="n">
        <v>260</v>
      </c>
      <c r="AA725" t="n">
        <v>317</v>
      </c>
      <c r="AB725" t="n">
        <v>2</v>
      </c>
      <c r="AC725" t="n">
        <v>2</v>
      </c>
      <c r="AD725" t="n">
        <v>21</v>
      </c>
      <c r="AE725" t="n">
        <v>22</v>
      </c>
      <c r="AF725" t="n">
        <v>7</v>
      </c>
      <c r="AG725" t="n">
        <v>8</v>
      </c>
      <c r="AH725" t="n">
        <v>5</v>
      </c>
      <c r="AI725" t="n">
        <v>5</v>
      </c>
      <c r="AJ725" t="n">
        <v>14</v>
      </c>
      <c r="AK725" t="n">
        <v>15</v>
      </c>
      <c r="AL725" t="n">
        <v>1</v>
      </c>
      <c r="AM725" t="n">
        <v>1</v>
      </c>
      <c r="AN725" t="n">
        <v>0</v>
      </c>
      <c r="AO725" t="n">
        <v>0</v>
      </c>
      <c r="AP725" t="inlineStr">
        <is>
          <t>No</t>
        </is>
      </c>
      <c r="AQ725" t="inlineStr">
        <is>
          <t>Yes</t>
        </is>
      </c>
      <c r="AR725">
        <f>HYPERLINK("http://catalog.hathitrust.org/Record/000824497","HathiTrust Record")</f>
        <v/>
      </c>
      <c r="AS725">
        <f>HYPERLINK("https://creighton-primo.hosted.exlibrisgroup.com/primo-explore/search?tab=default_tab&amp;search_scope=EVERYTHING&amp;vid=01CRU&amp;lang=en_US&amp;offset=0&amp;query=any,contains,991000907709702656","Catalog Record")</f>
        <v/>
      </c>
      <c r="AT725">
        <f>HYPERLINK("http://www.worldcat.org/oclc/14100016","WorldCat Record")</f>
        <v/>
      </c>
      <c r="AU725" t="inlineStr">
        <is>
          <t>328363:eng</t>
        </is>
      </c>
      <c r="AV725" t="inlineStr">
        <is>
          <t>14100016</t>
        </is>
      </c>
      <c r="AW725" t="inlineStr">
        <is>
          <t>991000907709702656</t>
        </is>
      </c>
      <c r="AX725" t="inlineStr">
        <is>
          <t>991000907709702656</t>
        </is>
      </c>
      <c r="AY725" t="inlineStr">
        <is>
          <t>2264546500002656</t>
        </is>
      </c>
      <c r="AZ725" t="inlineStr">
        <is>
          <t>BOOK</t>
        </is>
      </c>
      <c r="BB725" t="inlineStr">
        <is>
          <t>9780198266792</t>
        </is>
      </c>
      <c r="BC725" t="inlineStr">
        <is>
          <t>32285000745983</t>
        </is>
      </c>
      <c r="BD725" t="inlineStr">
        <is>
          <t>893515727</t>
        </is>
      </c>
    </row>
    <row r="726">
      <c r="A726" t="inlineStr">
        <is>
          <t>No</t>
        </is>
      </c>
      <c r="B726" t="inlineStr">
        <is>
          <t>BT481 .C613</t>
        </is>
      </c>
      <c r="C726" t="inlineStr">
        <is>
          <t>0                      BT 0481000C  613</t>
        </is>
      </c>
      <c r="D726" t="inlineStr">
        <is>
          <t>The resurrection in the plan of salvation / Joseph Comblin. Translated by Sister David Mary.</t>
        </is>
      </c>
      <c r="F726" t="inlineStr">
        <is>
          <t>No</t>
        </is>
      </c>
      <c r="G726" t="inlineStr">
        <is>
          <t>1</t>
        </is>
      </c>
      <c r="H726" t="inlineStr">
        <is>
          <t>No</t>
        </is>
      </c>
      <c r="I726" t="inlineStr">
        <is>
          <t>No</t>
        </is>
      </c>
      <c r="J726" t="inlineStr">
        <is>
          <t>0</t>
        </is>
      </c>
      <c r="K726" t="inlineStr">
        <is>
          <t>Comblin, José, 1923-2011.</t>
        </is>
      </c>
      <c r="L726" t="inlineStr">
        <is>
          <t>Notre Dame, Ind., Fides Publishers [1966]</t>
        </is>
      </c>
      <c r="M726" t="inlineStr">
        <is>
          <t>1966</t>
        </is>
      </c>
      <c r="O726" t="inlineStr">
        <is>
          <t>eng</t>
        </is>
      </c>
      <c r="P726" t="inlineStr">
        <is>
          <t>inu</t>
        </is>
      </c>
      <c r="R726" t="inlineStr">
        <is>
          <t xml:space="preserve">BT </t>
        </is>
      </c>
      <c r="S726" t="n">
        <v>3</v>
      </c>
      <c r="T726" t="n">
        <v>3</v>
      </c>
      <c r="U726" t="inlineStr">
        <is>
          <t>2002-12-01</t>
        </is>
      </c>
      <c r="V726" t="inlineStr">
        <is>
          <t>2002-12-01</t>
        </is>
      </c>
      <c r="W726" t="inlineStr">
        <is>
          <t>1991-08-22</t>
        </is>
      </c>
      <c r="X726" t="inlineStr">
        <is>
          <t>1991-08-22</t>
        </is>
      </c>
      <c r="Y726" t="n">
        <v>112</v>
      </c>
      <c r="Z726" t="n">
        <v>89</v>
      </c>
      <c r="AA726" t="n">
        <v>94</v>
      </c>
      <c r="AB726" t="n">
        <v>1</v>
      </c>
      <c r="AC726" t="n">
        <v>1</v>
      </c>
      <c r="AD726" t="n">
        <v>17</v>
      </c>
      <c r="AE726" t="n">
        <v>17</v>
      </c>
      <c r="AF726" t="n">
        <v>3</v>
      </c>
      <c r="AG726" t="n">
        <v>3</v>
      </c>
      <c r="AH726" t="n">
        <v>5</v>
      </c>
      <c r="AI726" t="n">
        <v>5</v>
      </c>
      <c r="AJ726" t="n">
        <v>13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HYPERLINK("https://creighton-primo.hosted.exlibrisgroup.com/primo-explore/search?tab=default_tab&amp;search_scope=EVERYTHING&amp;vid=01CRU&amp;lang=en_US&amp;offset=0&amp;query=any,contains,991003414059702656","Catalog Record")</f>
        <v/>
      </c>
      <c r="AT726">
        <f>HYPERLINK("http://www.worldcat.org/oclc/952749","WorldCat Record")</f>
        <v/>
      </c>
      <c r="AU726" t="inlineStr">
        <is>
          <t>365255319:eng</t>
        </is>
      </c>
      <c r="AV726" t="inlineStr">
        <is>
          <t>952749</t>
        </is>
      </c>
      <c r="AW726" t="inlineStr">
        <is>
          <t>991003414059702656</t>
        </is>
      </c>
      <c r="AX726" t="inlineStr">
        <is>
          <t>991003414059702656</t>
        </is>
      </c>
      <c r="AY726" t="inlineStr">
        <is>
          <t>2261443430002656</t>
        </is>
      </c>
      <c r="AZ726" t="inlineStr">
        <is>
          <t>BOOK</t>
        </is>
      </c>
      <c r="BC726" t="inlineStr">
        <is>
          <t>32285000745991</t>
        </is>
      </c>
      <c r="BD726" t="inlineStr">
        <is>
          <t>893531169</t>
        </is>
      </c>
    </row>
    <row r="727">
      <c r="A727" t="inlineStr">
        <is>
          <t>No</t>
        </is>
      </c>
      <c r="B727" t="inlineStr">
        <is>
          <t>BT481 .E913 1968</t>
        </is>
      </c>
      <c r="C727" t="inlineStr">
        <is>
          <t>0                      BT 0481000E  913         1968</t>
        </is>
      </c>
      <c r="D727" t="inlineStr">
        <is>
          <t>Joy / Louis Evely. Translated by Brian and Marie-Claude Thompson.</t>
        </is>
      </c>
      <c r="F727" t="inlineStr">
        <is>
          <t>No</t>
        </is>
      </c>
      <c r="G727" t="inlineStr">
        <is>
          <t>1</t>
        </is>
      </c>
      <c r="H727" t="inlineStr">
        <is>
          <t>No</t>
        </is>
      </c>
      <c r="I727" t="inlineStr">
        <is>
          <t>No</t>
        </is>
      </c>
      <c r="J727" t="inlineStr">
        <is>
          <t>0</t>
        </is>
      </c>
      <c r="K727" t="inlineStr">
        <is>
          <t>Évely, Louis, 1910-1985.</t>
        </is>
      </c>
      <c r="L727" t="inlineStr">
        <is>
          <t>[New York] : Herder and Herder, [1968]</t>
        </is>
      </c>
      <c r="M727" t="inlineStr">
        <is>
          <t>1968</t>
        </is>
      </c>
      <c r="O727" t="inlineStr">
        <is>
          <t>eng</t>
        </is>
      </c>
      <c r="P727" t="inlineStr">
        <is>
          <t>nyu</t>
        </is>
      </c>
      <c r="R727" t="inlineStr">
        <is>
          <t xml:space="preserve">BT </t>
        </is>
      </c>
      <c r="S727" t="n">
        <v>3</v>
      </c>
      <c r="T727" t="n">
        <v>3</v>
      </c>
      <c r="U727" t="inlineStr">
        <is>
          <t>1992-03-28</t>
        </is>
      </c>
      <c r="V727" t="inlineStr">
        <is>
          <t>1992-03-28</t>
        </is>
      </c>
      <c r="W727" t="inlineStr">
        <is>
          <t>1990-02-06</t>
        </is>
      </c>
      <c r="X727" t="inlineStr">
        <is>
          <t>1990-02-06</t>
        </is>
      </c>
      <c r="Y727" t="n">
        <v>255</v>
      </c>
      <c r="Z727" t="n">
        <v>224</v>
      </c>
      <c r="AA727" t="n">
        <v>245</v>
      </c>
      <c r="AB727" t="n">
        <v>2</v>
      </c>
      <c r="AC727" t="n">
        <v>2</v>
      </c>
      <c r="AD727" t="n">
        <v>24</v>
      </c>
      <c r="AE727" t="n">
        <v>25</v>
      </c>
      <c r="AF727" t="n">
        <v>5</v>
      </c>
      <c r="AG727" t="n">
        <v>6</v>
      </c>
      <c r="AH727" t="n">
        <v>6</v>
      </c>
      <c r="AI727" t="n">
        <v>6</v>
      </c>
      <c r="AJ727" t="n">
        <v>20</v>
      </c>
      <c r="AK727" t="n">
        <v>21</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HYPERLINK("https://creighton-primo.hosted.exlibrisgroup.com/primo-explore/search?tab=default_tab&amp;search_scope=EVERYTHING&amp;vid=01CRU&amp;lang=en_US&amp;offset=0&amp;query=any,contains,991002771079702656","Catalog Record")</f>
        <v/>
      </c>
      <c r="AT727">
        <f>HYPERLINK("http://www.worldcat.org/oclc/437008","WorldCat Record")</f>
        <v/>
      </c>
      <c r="AU727" t="inlineStr">
        <is>
          <t>3900992422:eng</t>
        </is>
      </c>
      <c r="AV727" t="inlineStr">
        <is>
          <t>437008</t>
        </is>
      </c>
      <c r="AW727" t="inlineStr">
        <is>
          <t>991002771079702656</t>
        </is>
      </c>
      <c r="AX727" t="inlineStr">
        <is>
          <t>991002771079702656</t>
        </is>
      </c>
      <c r="AY727" t="inlineStr">
        <is>
          <t>2267874290002656</t>
        </is>
      </c>
      <c r="AZ727" t="inlineStr">
        <is>
          <t>BOOK</t>
        </is>
      </c>
      <c r="BC727" t="inlineStr">
        <is>
          <t>32285000039866</t>
        </is>
      </c>
      <c r="BD727" t="inlineStr">
        <is>
          <t>893774004</t>
        </is>
      </c>
    </row>
    <row r="728">
      <c r="A728" t="inlineStr">
        <is>
          <t>No</t>
        </is>
      </c>
      <c r="B728" t="inlineStr">
        <is>
          <t>BT481 .F84</t>
        </is>
      </c>
      <c r="C728" t="inlineStr">
        <is>
          <t>0                      BT 0481000F  84</t>
        </is>
      </c>
      <c r="D728" t="inlineStr">
        <is>
          <t>The formation of the Resurrection narratives / [by] Reginald H. Fuller.</t>
        </is>
      </c>
      <c r="F728" t="inlineStr">
        <is>
          <t>No</t>
        </is>
      </c>
      <c r="G728" t="inlineStr">
        <is>
          <t>1</t>
        </is>
      </c>
      <c r="H728" t="inlineStr">
        <is>
          <t>No</t>
        </is>
      </c>
      <c r="I728" t="inlineStr">
        <is>
          <t>No</t>
        </is>
      </c>
      <c r="J728" t="inlineStr">
        <is>
          <t>0</t>
        </is>
      </c>
      <c r="K728" t="inlineStr">
        <is>
          <t>Fuller, Reginald H. (Reginald Horace), 1915-2007.</t>
        </is>
      </c>
      <c r="L728" t="inlineStr">
        <is>
          <t>New York : Macmillan, [1971]</t>
        </is>
      </c>
      <c r="M728" t="inlineStr">
        <is>
          <t>1971</t>
        </is>
      </c>
      <c r="O728" t="inlineStr">
        <is>
          <t>eng</t>
        </is>
      </c>
      <c r="P728" t="inlineStr">
        <is>
          <t>nyu</t>
        </is>
      </c>
      <c r="R728" t="inlineStr">
        <is>
          <t xml:space="preserve">BT </t>
        </is>
      </c>
      <c r="S728" t="n">
        <v>3</v>
      </c>
      <c r="T728" t="n">
        <v>3</v>
      </c>
      <c r="U728" t="inlineStr">
        <is>
          <t>1996-11-12</t>
        </is>
      </c>
      <c r="V728" t="inlineStr">
        <is>
          <t>1996-11-12</t>
        </is>
      </c>
      <c r="W728" t="inlineStr">
        <is>
          <t>1990-08-08</t>
        </is>
      </c>
      <c r="X728" t="inlineStr">
        <is>
          <t>1990-08-08</t>
        </is>
      </c>
      <c r="Y728" t="n">
        <v>624</v>
      </c>
      <c r="Z728" t="n">
        <v>565</v>
      </c>
      <c r="AA728" t="n">
        <v>724</v>
      </c>
      <c r="AB728" t="n">
        <v>7</v>
      </c>
      <c r="AC728" t="n">
        <v>8</v>
      </c>
      <c r="AD728" t="n">
        <v>40</v>
      </c>
      <c r="AE728" t="n">
        <v>48</v>
      </c>
      <c r="AF728" t="n">
        <v>15</v>
      </c>
      <c r="AG728" t="n">
        <v>19</v>
      </c>
      <c r="AH728" t="n">
        <v>7</v>
      </c>
      <c r="AI728" t="n">
        <v>9</v>
      </c>
      <c r="AJ728" t="n">
        <v>24</v>
      </c>
      <c r="AK728" t="n">
        <v>26</v>
      </c>
      <c r="AL728" t="n">
        <v>5</v>
      </c>
      <c r="AM728" t="n">
        <v>6</v>
      </c>
      <c r="AN728" t="n">
        <v>0</v>
      </c>
      <c r="AO728" t="n">
        <v>0</v>
      </c>
      <c r="AP728" t="inlineStr">
        <is>
          <t>No</t>
        </is>
      </c>
      <c r="AQ728" t="inlineStr">
        <is>
          <t>Yes</t>
        </is>
      </c>
      <c r="AR728">
        <f>HYPERLINK("http://catalog.hathitrust.org/Record/009492846","HathiTrust Record")</f>
        <v/>
      </c>
      <c r="AS728">
        <f>HYPERLINK("https://creighton-primo.hosted.exlibrisgroup.com/primo-explore/search?tab=default_tab&amp;search_scope=EVERYTHING&amp;vid=01CRU&amp;lang=en_US&amp;offset=0&amp;query=any,contains,991000817059702656","Catalog Record")</f>
        <v/>
      </c>
      <c r="AT728">
        <f>HYPERLINK("http://www.worldcat.org/oclc/143083","WorldCat Record")</f>
        <v/>
      </c>
      <c r="AU728" t="inlineStr">
        <is>
          <t>1313136:eng</t>
        </is>
      </c>
      <c r="AV728" t="inlineStr">
        <is>
          <t>143083</t>
        </is>
      </c>
      <c r="AW728" t="inlineStr">
        <is>
          <t>991000817059702656</t>
        </is>
      </c>
      <c r="AX728" t="inlineStr">
        <is>
          <t>991000817059702656</t>
        </is>
      </c>
      <c r="AY728" t="inlineStr">
        <is>
          <t>2256543060002656</t>
        </is>
      </c>
      <c r="AZ728" t="inlineStr">
        <is>
          <t>BOOK</t>
        </is>
      </c>
      <c r="BC728" t="inlineStr">
        <is>
          <t>32285000269299</t>
        </is>
      </c>
      <c r="BD728" t="inlineStr">
        <is>
          <t>893315260</t>
        </is>
      </c>
    </row>
    <row r="729">
      <c r="A729" t="inlineStr">
        <is>
          <t>No</t>
        </is>
      </c>
      <c r="B729" t="inlineStr">
        <is>
          <t>BT481 .H324 1990</t>
        </is>
      </c>
      <c r="C729" t="inlineStr">
        <is>
          <t>0                      BT 0481000H  324         1990</t>
        </is>
      </c>
      <c r="D729" t="inlineStr">
        <is>
          <t>From grave to glory : resurrection in the New Testament : including a response to Norman L. Geisler / Murray J. Harris.</t>
        </is>
      </c>
      <c r="F729" t="inlineStr">
        <is>
          <t>No</t>
        </is>
      </c>
      <c r="G729" t="inlineStr">
        <is>
          <t>1</t>
        </is>
      </c>
      <c r="H729" t="inlineStr">
        <is>
          <t>No</t>
        </is>
      </c>
      <c r="I729" t="inlineStr">
        <is>
          <t>No</t>
        </is>
      </c>
      <c r="J729" t="inlineStr">
        <is>
          <t>0</t>
        </is>
      </c>
      <c r="K729" t="inlineStr">
        <is>
          <t>Harris, Murray J.</t>
        </is>
      </c>
      <c r="L729" t="inlineStr">
        <is>
          <t>Grand Rapids, Mich. : Academie Books, c1990.</t>
        </is>
      </c>
      <c r="M729" t="inlineStr">
        <is>
          <t>1990</t>
        </is>
      </c>
      <c r="O729" t="inlineStr">
        <is>
          <t>eng</t>
        </is>
      </c>
      <c r="P729" t="inlineStr">
        <is>
          <t>miu</t>
        </is>
      </c>
      <c r="R729" t="inlineStr">
        <is>
          <t xml:space="preserve">BT </t>
        </is>
      </c>
      <c r="S729" t="n">
        <v>8</v>
      </c>
      <c r="T729" t="n">
        <v>8</v>
      </c>
      <c r="U729" t="inlineStr">
        <is>
          <t>2004-11-29</t>
        </is>
      </c>
      <c r="V729" t="inlineStr">
        <is>
          <t>2004-11-29</t>
        </is>
      </c>
      <c r="W729" t="inlineStr">
        <is>
          <t>1992-02-10</t>
        </is>
      </c>
      <c r="X729" t="inlineStr">
        <is>
          <t>1992-02-10</t>
        </is>
      </c>
      <c r="Y729" t="n">
        <v>197</v>
      </c>
      <c r="Z729" t="n">
        <v>165</v>
      </c>
      <c r="AA729" t="n">
        <v>178</v>
      </c>
      <c r="AB729" t="n">
        <v>3</v>
      </c>
      <c r="AC729" t="n">
        <v>3</v>
      </c>
      <c r="AD729" t="n">
        <v>7</v>
      </c>
      <c r="AE729" t="n">
        <v>7</v>
      </c>
      <c r="AF729" t="n">
        <v>2</v>
      </c>
      <c r="AG729" t="n">
        <v>2</v>
      </c>
      <c r="AH729" t="n">
        <v>2</v>
      </c>
      <c r="AI729" t="n">
        <v>2</v>
      </c>
      <c r="AJ729" t="n">
        <v>2</v>
      </c>
      <c r="AK729" t="n">
        <v>2</v>
      </c>
      <c r="AL729" t="n">
        <v>2</v>
      </c>
      <c r="AM729" t="n">
        <v>2</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HYPERLINK("https://creighton-primo.hosted.exlibrisgroup.com/primo-explore/search?tab=default_tab&amp;search_scope=EVERYTHING&amp;vid=01CRU&amp;lang=en_US&amp;offset=0&amp;query=any,contains,991001663649702656","Catalog Record")</f>
        <v/>
      </c>
      <c r="AT729">
        <f>HYPERLINK("http://www.worldcat.org/oclc/21196853","WorldCat Record")</f>
        <v/>
      </c>
      <c r="AU729" t="inlineStr">
        <is>
          <t>22836306:eng</t>
        </is>
      </c>
      <c r="AV729" t="inlineStr">
        <is>
          <t>21196853</t>
        </is>
      </c>
      <c r="AW729" t="inlineStr">
        <is>
          <t>991001663649702656</t>
        </is>
      </c>
      <c r="AX729" t="inlineStr">
        <is>
          <t>991001663649702656</t>
        </is>
      </c>
      <c r="AY729" t="inlineStr">
        <is>
          <t>2272296120002656</t>
        </is>
      </c>
      <c r="AZ729" t="inlineStr">
        <is>
          <t>BOOK</t>
        </is>
      </c>
      <c r="BB729" t="inlineStr">
        <is>
          <t>9780310519911</t>
        </is>
      </c>
      <c r="BC729" t="inlineStr">
        <is>
          <t>32285000869114</t>
        </is>
      </c>
      <c r="BD729" t="inlineStr">
        <is>
          <t>893432999</t>
        </is>
      </c>
    </row>
    <row r="730">
      <c r="A730" t="inlineStr">
        <is>
          <t>No</t>
        </is>
      </c>
      <c r="B730" t="inlineStr">
        <is>
          <t>BT481 .H46 1984</t>
        </is>
      </c>
      <c r="C730" t="inlineStr">
        <is>
          <t>0                      BT 0481000H  46          1984</t>
        </is>
      </c>
      <c r="D730" t="inlineStr">
        <is>
          <t>The resurrection narratives of the synoptic gospels / Herman Hendrickx.</t>
        </is>
      </c>
      <c r="F730" t="inlineStr">
        <is>
          <t>No</t>
        </is>
      </c>
      <c r="G730" t="inlineStr">
        <is>
          <t>1</t>
        </is>
      </c>
      <c r="H730" t="inlineStr">
        <is>
          <t>No</t>
        </is>
      </c>
      <c r="I730" t="inlineStr">
        <is>
          <t>No</t>
        </is>
      </c>
      <c r="J730" t="inlineStr">
        <is>
          <t>0</t>
        </is>
      </c>
      <c r="K730" t="inlineStr">
        <is>
          <t>Hendrickx, Herman.</t>
        </is>
      </c>
      <c r="L730" t="inlineStr">
        <is>
          <t>London : G. Chapman, 1984.</t>
        </is>
      </c>
      <c r="M730" t="inlineStr">
        <is>
          <t>1984</t>
        </is>
      </c>
      <c r="N730" t="inlineStr">
        <is>
          <t>Rev. ed.</t>
        </is>
      </c>
      <c r="O730" t="inlineStr">
        <is>
          <t>eng</t>
        </is>
      </c>
      <c r="P730" t="inlineStr">
        <is>
          <t>enk</t>
        </is>
      </c>
      <c r="Q730" t="inlineStr">
        <is>
          <t>Studies in the synoptic gospels / Herman Hendrickx</t>
        </is>
      </c>
      <c r="R730" t="inlineStr">
        <is>
          <t xml:space="preserve">BT </t>
        </is>
      </c>
      <c r="S730" t="n">
        <v>8</v>
      </c>
      <c r="T730" t="n">
        <v>8</v>
      </c>
      <c r="U730" t="inlineStr">
        <is>
          <t>2004-10-26</t>
        </is>
      </c>
      <c r="V730" t="inlineStr">
        <is>
          <t>2004-10-26</t>
        </is>
      </c>
      <c r="W730" t="inlineStr">
        <is>
          <t>1991-08-22</t>
        </is>
      </c>
      <c r="X730" t="inlineStr">
        <is>
          <t>1991-08-22</t>
        </is>
      </c>
      <c r="Y730" t="n">
        <v>246</v>
      </c>
      <c r="Z730" t="n">
        <v>173</v>
      </c>
      <c r="AA730" t="n">
        <v>194</v>
      </c>
      <c r="AB730" t="n">
        <v>1</v>
      </c>
      <c r="AC730" t="n">
        <v>1</v>
      </c>
      <c r="AD730" t="n">
        <v>15</v>
      </c>
      <c r="AE730" t="n">
        <v>17</v>
      </c>
      <c r="AF730" t="n">
        <v>3</v>
      </c>
      <c r="AG730" t="n">
        <v>4</v>
      </c>
      <c r="AH730" t="n">
        <v>3</v>
      </c>
      <c r="AI730" t="n">
        <v>4</v>
      </c>
      <c r="AJ730" t="n">
        <v>12</v>
      </c>
      <c r="AK730" t="n">
        <v>13</v>
      </c>
      <c r="AL730" t="n">
        <v>0</v>
      </c>
      <c r="AM730" t="n">
        <v>0</v>
      </c>
      <c r="AN730" t="n">
        <v>0</v>
      </c>
      <c r="AO730" t="n">
        <v>0</v>
      </c>
      <c r="AP730" t="inlineStr">
        <is>
          <t>No</t>
        </is>
      </c>
      <c r="AQ730" t="inlineStr">
        <is>
          <t>Yes</t>
        </is>
      </c>
      <c r="AR730">
        <f>HYPERLINK("http://catalog.hathitrust.org/Record/000459625","HathiTrust Record")</f>
        <v/>
      </c>
      <c r="AS730">
        <f>HYPERLINK("https://creighton-primo.hosted.exlibrisgroup.com/primo-explore/search?tab=default_tab&amp;search_scope=EVERYTHING&amp;vid=01CRU&amp;lang=en_US&amp;offset=0&amp;query=any,contains,991000663359702656","Catalog Record")</f>
        <v/>
      </c>
      <c r="AT730">
        <f>HYPERLINK("http://www.worldcat.org/oclc/12262325","WorldCat Record")</f>
        <v/>
      </c>
      <c r="AU730" t="inlineStr">
        <is>
          <t>3901011615:eng</t>
        </is>
      </c>
      <c r="AV730" t="inlineStr">
        <is>
          <t>12262325</t>
        </is>
      </c>
      <c r="AW730" t="inlineStr">
        <is>
          <t>991000663359702656</t>
        </is>
      </c>
      <c r="AX730" t="inlineStr">
        <is>
          <t>991000663359702656</t>
        </is>
      </c>
      <c r="AY730" t="inlineStr">
        <is>
          <t>2270686990002656</t>
        </is>
      </c>
      <c r="AZ730" t="inlineStr">
        <is>
          <t>BOOK</t>
        </is>
      </c>
      <c r="BB730" t="inlineStr">
        <is>
          <t>9780225664010</t>
        </is>
      </c>
      <c r="BC730" t="inlineStr">
        <is>
          <t>32285000746023</t>
        </is>
      </c>
      <c r="BD730" t="inlineStr">
        <is>
          <t>893231307</t>
        </is>
      </c>
    </row>
    <row r="731">
      <c r="A731" t="inlineStr">
        <is>
          <t>No</t>
        </is>
      </c>
      <c r="B731" t="inlineStr">
        <is>
          <t>BT481 .L3 1967</t>
        </is>
      </c>
      <c r="C731" t="inlineStr">
        <is>
          <t>0                      BT 0481000L  3           1967</t>
        </is>
      </c>
      <c r="D731" t="inlineStr">
        <is>
          <t>The resurrection; a dialogue / by G. W. H. Lampe and D. M. Mackinnon. Edited by William Purcell.</t>
        </is>
      </c>
      <c r="F731" t="inlineStr">
        <is>
          <t>No</t>
        </is>
      </c>
      <c r="G731" t="inlineStr">
        <is>
          <t>1</t>
        </is>
      </c>
      <c r="H731" t="inlineStr">
        <is>
          <t>No</t>
        </is>
      </c>
      <c r="I731" t="inlineStr">
        <is>
          <t>No</t>
        </is>
      </c>
      <c r="J731" t="inlineStr">
        <is>
          <t>0</t>
        </is>
      </c>
      <c r="K731" t="inlineStr">
        <is>
          <t>Lampe, G. W. H. (Geoffrey William Hugo), 1912-1980.</t>
        </is>
      </c>
      <c r="L731" t="inlineStr">
        <is>
          <t>Philadelphia, Westminster Press [1967, c1966]</t>
        </is>
      </c>
      <c r="M731" t="inlineStr">
        <is>
          <t>1967</t>
        </is>
      </c>
      <c r="O731" t="inlineStr">
        <is>
          <t>eng</t>
        </is>
      </c>
      <c r="P731" t="inlineStr">
        <is>
          <t>pau</t>
        </is>
      </c>
      <c r="R731" t="inlineStr">
        <is>
          <t xml:space="preserve">BT </t>
        </is>
      </c>
      <c r="S731" t="n">
        <v>7</v>
      </c>
      <c r="T731" t="n">
        <v>7</v>
      </c>
      <c r="U731" t="inlineStr">
        <is>
          <t>1996-11-06</t>
        </is>
      </c>
      <c r="V731" t="inlineStr">
        <is>
          <t>1996-11-06</t>
        </is>
      </c>
      <c r="W731" t="inlineStr">
        <is>
          <t>1991-08-22</t>
        </is>
      </c>
      <c r="X731" t="inlineStr">
        <is>
          <t>1991-08-22</t>
        </is>
      </c>
      <c r="Y731" t="n">
        <v>175</v>
      </c>
      <c r="Z731" t="n">
        <v>165</v>
      </c>
      <c r="AA731" t="n">
        <v>171</v>
      </c>
      <c r="AB731" t="n">
        <v>1</v>
      </c>
      <c r="AC731" t="n">
        <v>1</v>
      </c>
      <c r="AD731" t="n">
        <v>8</v>
      </c>
      <c r="AE731" t="n">
        <v>8</v>
      </c>
      <c r="AF731" t="n">
        <v>2</v>
      </c>
      <c r="AG731" t="n">
        <v>2</v>
      </c>
      <c r="AH731" t="n">
        <v>3</v>
      </c>
      <c r="AI731" t="n">
        <v>3</v>
      </c>
      <c r="AJ731" t="n">
        <v>4</v>
      </c>
      <c r="AK731" t="n">
        <v>4</v>
      </c>
      <c r="AL731" t="n">
        <v>0</v>
      </c>
      <c r="AM731" t="n">
        <v>0</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HYPERLINK("https://creighton-primo.hosted.exlibrisgroup.com/primo-explore/search?tab=default_tab&amp;search_scope=EVERYTHING&amp;vid=01CRU&amp;lang=en_US&amp;offset=0&amp;query=any,contains,991003569649702656","Catalog Record")</f>
        <v/>
      </c>
      <c r="AT731">
        <f>HYPERLINK("http://www.worldcat.org/oclc/1144519","WorldCat Record")</f>
        <v/>
      </c>
      <c r="AU731" t="inlineStr">
        <is>
          <t>4451735341:eng</t>
        </is>
      </c>
      <c r="AV731" t="inlineStr">
        <is>
          <t>1144519</t>
        </is>
      </c>
      <c r="AW731" t="inlineStr">
        <is>
          <t>991003569649702656</t>
        </is>
      </c>
      <c r="AX731" t="inlineStr">
        <is>
          <t>991003569649702656</t>
        </is>
      </c>
      <c r="AY731" t="inlineStr">
        <is>
          <t>2263369660002656</t>
        </is>
      </c>
      <c r="AZ731" t="inlineStr">
        <is>
          <t>BOOK</t>
        </is>
      </c>
      <c r="BC731" t="inlineStr">
        <is>
          <t>32285000746031</t>
        </is>
      </c>
      <c r="BD731" t="inlineStr">
        <is>
          <t>893787468</t>
        </is>
      </c>
    </row>
    <row r="732">
      <c r="A732" t="inlineStr">
        <is>
          <t>No</t>
        </is>
      </c>
      <c r="B732" t="inlineStr">
        <is>
          <t>BT481 .L4513 1975</t>
        </is>
      </c>
      <c r="C732" t="inlineStr">
        <is>
          <t>0                      BT 0481000L  4513        1975</t>
        </is>
      </c>
      <c r="D732" t="inlineStr">
        <is>
          <t>Resurrection and the message of Easter / Xavier Léon-Dufour. Translated by R. N. Wilson.</t>
        </is>
      </c>
      <c r="F732" t="inlineStr">
        <is>
          <t>No</t>
        </is>
      </c>
      <c r="G732" t="inlineStr">
        <is>
          <t>1</t>
        </is>
      </c>
      <c r="H732" t="inlineStr">
        <is>
          <t>No</t>
        </is>
      </c>
      <c r="I732" t="inlineStr">
        <is>
          <t>No</t>
        </is>
      </c>
      <c r="J732" t="inlineStr">
        <is>
          <t>0</t>
        </is>
      </c>
      <c r="K732" t="inlineStr">
        <is>
          <t>Léon-Dufour, Xavier.</t>
        </is>
      </c>
      <c r="L732" t="inlineStr">
        <is>
          <t>New York : Holt, Rinehart and Winston, [1975, c1974]</t>
        </is>
      </c>
      <c r="M732" t="inlineStr">
        <is>
          <t>1975</t>
        </is>
      </c>
      <c r="O732" t="inlineStr">
        <is>
          <t>eng</t>
        </is>
      </c>
      <c r="P732" t="inlineStr">
        <is>
          <t>nyu</t>
        </is>
      </c>
      <c r="R732" t="inlineStr">
        <is>
          <t xml:space="preserve">BT </t>
        </is>
      </c>
      <c r="S732" t="n">
        <v>3</v>
      </c>
      <c r="T732" t="n">
        <v>3</v>
      </c>
      <c r="U732" t="inlineStr">
        <is>
          <t>2002-12-01</t>
        </is>
      </c>
      <c r="V732" t="inlineStr">
        <is>
          <t>2002-12-01</t>
        </is>
      </c>
      <c r="W732" t="inlineStr">
        <is>
          <t>1991-08-22</t>
        </is>
      </c>
      <c r="X732" t="inlineStr">
        <is>
          <t>1991-08-22</t>
        </is>
      </c>
      <c r="Y732" t="n">
        <v>347</v>
      </c>
      <c r="Z732" t="n">
        <v>327</v>
      </c>
      <c r="AA732" t="n">
        <v>385</v>
      </c>
      <c r="AB732" t="n">
        <v>4</v>
      </c>
      <c r="AC732" t="n">
        <v>4</v>
      </c>
      <c r="AD732" t="n">
        <v>32</v>
      </c>
      <c r="AE732" t="n">
        <v>34</v>
      </c>
      <c r="AF732" t="n">
        <v>9</v>
      </c>
      <c r="AG732" t="n">
        <v>10</v>
      </c>
      <c r="AH732" t="n">
        <v>9</v>
      </c>
      <c r="AI732" t="n">
        <v>9</v>
      </c>
      <c r="AJ732" t="n">
        <v>22</v>
      </c>
      <c r="AK732" t="n">
        <v>24</v>
      </c>
      <c r="AL732" t="n">
        <v>2</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HYPERLINK("https://creighton-primo.hosted.exlibrisgroup.com/primo-explore/search?tab=default_tab&amp;search_scope=EVERYTHING&amp;vid=01CRU&amp;lang=en_US&amp;offset=0&amp;query=any,contains,991003465809702656","Catalog Record")</f>
        <v/>
      </c>
      <c r="AT732">
        <f>HYPERLINK("http://www.worldcat.org/oclc/1007829","WorldCat Record")</f>
        <v/>
      </c>
      <c r="AU732" t="inlineStr">
        <is>
          <t>8145702:eng</t>
        </is>
      </c>
      <c r="AV732" t="inlineStr">
        <is>
          <t>1007829</t>
        </is>
      </c>
      <c r="AW732" t="inlineStr">
        <is>
          <t>991003465809702656</t>
        </is>
      </c>
      <c r="AX732" t="inlineStr">
        <is>
          <t>991003465809702656</t>
        </is>
      </c>
      <c r="AY732" t="inlineStr">
        <is>
          <t>2261999620002656</t>
        </is>
      </c>
      <c r="AZ732" t="inlineStr">
        <is>
          <t>BOOK</t>
        </is>
      </c>
      <c r="BB732" t="inlineStr">
        <is>
          <t>9780030124563</t>
        </is>
      </c>
      <c r="BC732" t="inlineStr">
        <is>
          <t>32285005063523</t>
        </is>
      </c>
      <c r="BD732" t="inlineStr">
        <is>
          <t>893793626</t>
        </is>
      </c>
    </row>
    <row r="733">
      <c r="A733" t="inlineStr">
        <is>
          <t>No</t>
        </is>
      </c>
      <c r="B733" t="inlineStr">
        <is>
          <t>BT481 .L67 1995</t>
        </is>
      </c>
      <c r="C733" t="inlineStr">
        <is>
          <t>0                      BT 0481000L  67          1995</t>
        </is>
      </c>
      <c r="D733" t="inlineStr">
        <is>
          <t>Resurrection and discipleship : interpretive models, biblical reflections, theological consequences / Thorwald Lorenzen.</t>
        </is>
      </c>
      <c r="F733" t="inlineStr">
        <is>
          <t>No</t>
        </is>
      </c>
      <c r="G733" t="inlineStr">
        <is>
          <t>1</t>
        </is>
      </c>
      <c r="H733" t="inlineStr">
        <is>
          <t>No</t>
        </is>
      </c>
      <c r="I733" t="inlineStr">
        <is>
          <t>No</t>
        </is>
      </c>
      <c r="J733" t="inlineStr">
        <is>
          <t>0</t>
        </is>
      </c>
      <c r="K733" t="inlineStr">
        <is>
          <t>Lorenzen, Thorwald.</t>
        </is>
      </c>
      <c r="L733" t="inlineStr">
        <is>
          <t>Maryknoll, N.Y. : Orbis Books c1995.</t>
        </is>
      </c>
      <c r="M733" t="inlineStr">
        <is>
          <t>1995</t>
        </is>
      </c>
      <c r="O733" t="inlineStr">
        <is>
          <t>eng</t>
        </is>
      </c>
      <c r="P733" t="inlineStr">
        <is>
          <t>nyu</t>
        </is>
      </c>
      <c r="R733" t="inlineStr">
        <is>
          <t xml:space="preserve">BT </t>
        </is>
      </c>
      <c r="S733" t="n">
        <v>7</v>
      </c>
      <c r="T733" t="n">
        <v>7</v>
      </c>
      <c r="U733" t="inlineStr">
        <is>
          <t>2004-04-05</t>
        </is>
      </c>
      <c r="V733" t="inlineStr">
        <is>
          <t>2004-04-05</t>
        </is>
      </c>
      <c r="W733" t="inlineStr">
        <is>
          <t>1997-02-25</t>
        </is>
      </c>
      <c r="X733" t="inlineStr">
        <is>
          <t>1997-02-25</t>
        </is>
      </c>
      <c r="Y733" t="n">
        <v>245</v>
      </c>
      <c r="Z733" t="n">
        <v>190</v>
      </c>
      <c r="AA733" t="n">
        <v>196</v>
      </c>
      <c r="AB733" t="n">
        <v>2</v>
      </c>
      <c r="AC733" t="n">
        <v>2</v>
      </c>
      <c r="AD733" t="n">
        <v>19</v>
      </c>
      <c r="AE733" t="n">
        <v>19</v>
      </c>
      <c r="AF733" t="n">
        <v>8</v>
      </c>
      <c r="AG733" t="n">
        <v>8</v>
      </c>
      <c r="AH733" t="n">
        <v>4</v>
      </c>
      <c r="AI733" t="n">
        <v>4</v>
      </c>
      <c r="AJ733" t="n">
        <v>12</v>
      </c>
      <c r="AK733" t="n">
        <v>12</v>
      </c>
      <c r="AL733" t="n">
        <v>1</v>
      </c>
      <c r="AM733" t="n">
        <v>1</v>
      </c>
      <c r="AN733" t="n">
        <v>0</v>
      </c>
      <c r="AO733" t="n">
        <v>0</v>
      </c>
      <c r="AP733" t="inlineStr">
        <is>
          <t>No</t>
        </is>
      </c>
      <c r="AQ733" t="inlineStr">
        <is>
          <t>Yes</t>
        </is>
      </c>
      <c r="AR733">
        <f>HYPERLINK("http://catalog.hathitrust.org/Record/003022906","HathiTrust Record")</f>
        <v/>
      </c>
      <c r="AS733">
        <f>HYPERLINK("https://creighton-primo.hosted.exlibrisgroup.com/primo-explore/search?tab=default_tab&amp;search_scope=EVERYTHING&amp;vid=01CRU&amp;lang=en_US&amp;offset=0&amp;query=any,contains,991002533219702656","Catalog Record")</f>
        <v/>
      </c>
      <c r="AT733">
        <f>HYPERLINK("http://www.worldcat.org/oclc/32922895","WorldCat Record")</f>
        <v/>
      </c>
      <c r="AU733" t="inlineStr">
        <is>
          <t>16550816:eng</t>
        </is>
      </c>
      <c r="AV733" t="inlineStr">
        <is>
          <t>32922895</t>
        </is>
      </c>
      <c r="AW733" t="inlineStr">
        <is>
          <t>991002533219702656</t>
        </is>
      </c>
      <c r="AX733" t="inlineStr">
        <is>
          <t>991002533219702656</t>
        </is>
      </c>
      <c r="AY733" t="inlineStr">
        <is>
          <t>2264008030002656</t>
        </is>
      </c>
      <c r="AZ733" t="inlineStr">
        <is>
          <t>BOOK</t>
        </is>
      </c>
      <c r="BB733" t="inlineStr">
        <is>
          <t>9781570750427</t>
        </is>
      </c>
      <c r="BC733" t="inlineStr">
        <is>
          <t>32285002433430</t>
        </is>
      </c>
      <c r="BD733" t="inlineStr">
        <is>
          <t>893251340</t>
        </is>
      </c>
    </row>
    <row r="734">
      <c r="A734" t="inlineStr">
        <is>
          <t>No</t>
        </is>
      </c>
      <c r="B734" t="inlineStr">
        <is>
          <t>BT481 .M34 1982</t>
        </is>
      </c>
      <c r="C734" t="inlineStr">
        <is>
          <t>0                      BT 0481000M  34          1982</t>
        </is>
      </c>
      <c r="D734" t="inlineStr">
        <is>
          <t>The first day of eternity : resurrection now / George A. Maloney.</t>
        </is>
      </c>
      <c r="F734" t="inlineStr">
        <is>
          <t>No</t>
        </is>
      </c>
      <c r="G734" t="inlineStr">
        <is>
          <t>1</t>
        </is>
      </c>
      <c r="H734" t="inlineStr">
        <is>
          <t>No</t>
        </is>
      </c>
      <c r="I734" t="inlineStr">
        <is>
          <t>No</t>
        </is>
      </c>
      <c r="J734" t="inlineStr">
        <is>
          <t>0</t>
        </is>
      </c>
      <c r="K734" t="inlineStr">
        <is>
          <t>Maloney, George A., 1924-2005.</t>
        </is>
      </c>
      <c r="L734" t="inlineStr">
        <is>
          <t>New York : Crossroad, 1982.</t>
        </is>
      </c>
      <c r="M734" t="inlineStr">
        <is>
          <t>1982</t>
        </is>
      </c>
      <c r="O734" t="inlineStr">
        <is>
          <t>eng</t>
        </is>
      </c>
      <c r="P734" t="inlineStr">
        <is>
          <t>nyu</t>
        </is>
      </c>
      <c r="R734" t="inlineStr">
        <is>
          <t xml:space="preserve">BT </t>
        </is>
      </c>
      <c r="S734" t="n">
        <v>8</v>
      </c>
      <c r="T734" t="n">
        <v>8</v>
      </c>
      <c r="U734" t="inlineStr">
        <is>
          <t>2009-02-19</t>
        </is>
      </c>
      <c r="V734" t="inlineStr">
        <is>
          <t>2009-02-19</t>
        </is>
      </c>
      <c r="W734" t="inlineStr">
        <is>
          <t>1991-08-22</t>
        </is>
      </c>
      <c r="X734" t="inlineStr">
        <is>
          <t>1991-08-22</t>
        </is>
      </c>
      <c r="Y734" t="n">
        <v>141</v>
      </c>
      <c r="Z734" t="n">
        <v>126</v>
      </c>
      <c r="AA734" t="n">
        <v>136</v>
      </c>
      <c r="AB734" t="n">
        <v>1</v>
      </c>
      <c r="AC734" t="n">
        <v>1</v>
      </c>
      <c r="AD734" t="n">
        <v>15</v>
      </c>
      <c r="AE734" t="n">
        <v>15</v>
      </c>
      <c r="AF734" t="n">
        <v>4</v>
      </c>
      <c r="AG734" t="n">
        <v>4</v>
      </c>
      <c r="AH734" t="n">
        <v>6</v>
      </c>
      <c r="AI734" t="n">
        <v>6</v>
      </c>
      <c r="AJ734" t="n">
        <v>10</v>
      </c>
      <c r="AK734" t="n">
        <v>10</v>
      </c>
      <c r="AL734" t="n">
        <v>0</v>
      </c>
      <c r="AM734" t="n">
        <v>0</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HYPERLINK("https://creighton-primo.hosted.exlibrisgroup.com/primo-explore/search?tab=default_tab&amp;search_scope=EVERYTHING&amp;vid=01CRU&amp;lang=en_US&amp;offset=0&amp;query=any,contains,991005180209702656","Catalog Record")</f>
        <v/>
      </c>
      <c r="AT734">
        <f>HYPERLINK("http://www.worldcat.org/oclc/7945197","WorldCat Record")</f>
        <v/>
      </c>
      <c r="AU734" t="inlineStr">
        <is>
          <t>491115:eng</t>
        </is>
      </c>
      <c r="AV734" t="inlineStr">
        <is>
          <t>7945197</t>
        </is>
      </c>
      <c r="AW734" t="inlineStr">
        <is>
          <t>991005180209702656</t>
        </is>
      </c>
      <c r="AX734" t="inlineStr">
        <is>
          <t>991005180209702656</t>
        </is>
      </c>
      <c r="AY734" t="inlineStr">
        <is>
          <t>2271124960002656</t>
        </is>
      </c>
      <c r="AZ734" t="inlineStr">
        <is>
          <t>BOOK</t>
        </is>
      </c>
      <c r="BB734" t="inlineStr">
        <is>
          <t>9780824504458</t>
        </is>
      </c>
      <c r="BC734" t="inlineStr">
        <is>
          <t>32285000746056</t>
        </is>
      </c>
      <c r="BD734" t="inlineStr">
        <is>
          <t>893443538</t>
        </is>
      </c>
    </row>
    <row r="735">
      <c r="A735" t="inlineStr">
        <is>
          <t>No</t>
        </is>
      </c>
      <c r="B735" t="inlineStr">
        <is>
          <t>BT481 .M37</t>
        </is>
      </c>
      <c r="C735" t="inlineStr">
        <is>
          <t>0                      BT 0481000M  37</t>
        </is>
      </c>
      <c r="D735" t="inlineStr">
        <is>
          <t>The resurrection of Jesus of Nazareth / Willi Marxsen. [Translated by Margaret Kohl from the German.</t>
        </is>
      </c>
      <c r="F735" t="inlineStr">
        <is>
          <t>No</t>
        </is>
      </c>
      <c r="G735" t="inlineStr">
        <is>
          <t>1</t>
        </is>
      </c>
      <c r="H735" t="inlineStr">
        <is>
          <t>No</t>
        </is>
      </c>
      <c r="I735" t="inlineStr">
        <is>
          <t>No</t>
        </is>
      </c>
      <c r="J735" t="inlineStr">
        <is>
          <t>0</t>
        </is>
      </c>
      <c r="K735" t="inlineStr">
        <is>
          <t>Marxsen, Willi, 1919-1993.</t>
        </is>
      </c>
      <c r="L735" t="inlineStr">
        <is>
          <t>Philadelphia, Fortress Press [1970]</t>
        </is>
      </c>
      <c r="M735" t="inlineStr">
        <is>
          <t>1970</t>
        </is>
      </c>
      <c r="N735" t="inlineStr">
        <is>
          <t>1st American ed.]</t>
        </is>
      </c>
      <c r="O735" t="inlineStr">
        <is>
          <t>eng</t>
        </is>
      </c>
      <c r="P735" t="inlineStr">
        <is>
          <t>pau</t>
        </is>
      </c>
      <c r="R735" t="inlineStr">
        <is>
          <t xml:space="preserve">BT </t>
        </is>
      </c>
      <c r="S735" t="n">
        <v>9</v>
      </c>
      <c r="T735" t="n">
        <v>9</v>
      </c>
      <c r="U735" t="inlineStr">
        <is>
          <t>2010-04-06</t>
        </is>
      </c>
      <c r="V735" t="inlineStr">
        <is>
          <t>2010-04-06</t>
        </is>
      </c>
      <c r="W735" t="inlineStr">
        <is>
          <t>1990-07-19</t>
        </is>
      </c>
      <c r="X735" t="inlineStr">
        <is>
          <t>1990-07-19</t>
        </is>
      </c>
      <c r="Y735" t="n">
        <v>578</v>
      </c>
      <c r="Z735" t="n">
        <v>538</v>
      </c>
      <c r="AA735" t="n">
        <v>584</v>
      </c>
      <c r="AB735" t="n">
        <v>7</v>
      </c>
      <c r="AC735" t="n">
        <v>7</v>
      </c>
      <c r="AD735" t="n">
        <v>39</v>
      </c>
      <c r="AE735" t="n">
        <v>41</v>
      </c>
      <c r="AF735" t="n">
        <v>15</v>
      </c>
      <c r="AG735" t="n">
        <v>15</v>
      </c>
      <c r="AH735" t="n">
        <v>7</v>
      </c>
      <c r="AI735" t="n">
        <v>8</v>
      </c>
      <c r="AJ735" t="n">
        <v>22</v>
      </c>
      <c r="AK735" t="n">
        <v>23</v>
      </c>
      <c r="AL735" t="n">
        <v>5</v>
      </c>
      <c r="AM735" t="n">
        <v>5</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HYPERLINK("https://creighton-primo.hosted.exlibrisgroup.com/primo-explore/search?tab=default_tab&amp;search_scope=EVERYTHING&amp;vid=01CRU&amp;lang=en_US&amp;offset=0&amp;query=any,contains,991000616919702656","Catalog Record")</f>
        <v/>
      </c>
      <c r="AT735">
        <f>HYPERLINK("http://www.worldcat.org/oclc/101911","WorldCat Record")</f>
        <v/>
      </c>
      <c r="AU735" t="inlineStr">
        <is>
          <t>9462872789:eng</t>
        </is>
      </c>
      <c r="AV735" t="inlineStr">
        <is>
          <t>101911</t>
        </is>
      </c>
      <c r="AW735" t="inlineStr">
        <is>
          <t>991000616919702656</t>
        </is>
      </c>
      <c r="AX735" t="inlineStr">
        <is>
          <t>991000616919702656</t>
        </is>
      </c>
      <c r="AY735" t="inlineStr">
        <is>
          <t>2261378750002656</t>
        </is>
      </c>
      <c r="AZ735" t="inlineStr">
        <is>
          <t>BOOK</t>
        </is>
      </c>
      <c r="BC735" t="inlineStr">
        <is>
          <t>32285000239508</t>
        </is>
      </c>
      <c r="BD735" t="inlineStr">
        <is>
          <t>893521849</t>
        </is>
      </c>
    </row>
    <row r="736">
      <c r="A736" t="inlineStr">
        <is>
          <t>No</t>
        </is>
      </c>
      <c r="B736" t="inlineStr">
        <is>
          <t>BT481 .N49 1988</t>
        </is>
      </c>
      <c r="C736" t="inlineStr">
        <is>
          <t>0                      BT 0481000N  49          1988</t>
        </is>
      </c>
      <c r="D736" t="inlineStr">
        <is>
          <t>The Resurrection stories / by Jerome H. Neyrey.</t>
        </is>
      </c>
      <c r="F736" t="inlineStr">
        <is>
          <t>No</t>
        </is>
      </c>
      <c r="G736" t="inlineStr">
        <is>
          <t>1</t>
        </is>
      </c>
      <c r="H736" t="inlineStr">
        <is>
          <t>No</t>
        </is>
      </c>
      <c r="I736" t="inlineStr">
        <is>
          <t>No</t>
        </is>
      </c>
      <c r="J736" t="inlineStr">
        <is>
          <t>0</t>
        </is>
      </c>
      <c r="K736" t="inlineStr">
        <is>
          <t>Neyrey, Jerome H., 1940-</t>
        </is>
      </c>
      <c r="L736" t="inlineStr">
        <is>
          <t>Wilmington, Del. : M. Glazier, c1988.</t>
        </is>
      </c>
      <c r="M736" t="inlineStr">
        <is>
          <t>1988</t>
        </is>
      </c>
      <c r="O736" t="inlineStr">
        <is>
          <t>eng</t>
        </is>
      </c>
      <c r="P736" t="inlineStr">
        <is>
          <t>deu</t>
        </is>
      </c>
      <c r="Q736" t="inlineStr">
        <is>
          <t>Zacchaeus studies. New Testament</t>
        </is>
      </c>
      <c r="R736" t="inlineStr">
        <is>
          <t xml:space="preserve">BT </t>
        </is>
      </c>
      <c r="S736" t="n">
        <v>9</v>
      </c>
      <c r="T736" t="n">
        <v>9</v>
      </c>
      <c r="U736" t="inlineStr">
        <is>
          <t>2004-10-26</t>
        </is>
      </c>
      <c r="V736" t="inlineStr">
        <is>
          <t>2004-10-26</t>
        </is>
      </c>
      <c r="W736" t="inlineStr">
        <is>
          <t>1990-03-02</t>
        </is>
      </c>
      <c r="X736" t="inlineStr">
        <is>
          <t>1990-03-02</t>
        </is>
      </c>
      <c r="Y736" t="n">
        <v>207</v>
      </c>
      <c r="Z736" t="n">
        <v>172</v>
      </c>
      <c r="AA736" t="n">
        <v>174</v>
      </c>
      <c r="AB736" t="n">
        <v>2</v>
      </c>
      <c r="AC736" t="n">
        <v>2</v>
      </c>
      <c r="AD736" t="n">
        <v>23</v>
      </c>
      <c r="AE736" t="n">
        <v>23</v>
      </c>
      <c r="AF736" t="n">
        <v>9</v>
      </c>
      <c r="AG736" t="n">
        <v>9</v>
      </c>
      <c r="AH736" t="n">
        <v>5</v>
      </c>
      <c r="AI736" t="n">
        <v>5</v>
      </c>
      <c r="AJ736" t="n">
        <v>16</v>
      </c>
      <c r="AK736" t="n">
        <v>16</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HYPERLINK("https://creighton-primo.hosted.exlibrisgroup.com/primo-explore/search?tab=default_tab&amp;search_scope=EVERYTHING&amp;vid=01CRU&amp;lang=en_US&amp;offset=0&amp;query=any,contains,991001383249702656","Catalog Record")</f>
        <v/>
      </c>
      <c r="AT736">
        <f>HYPERLINK("http://www.worldcat.org/oclc/18704903","WorldCat Record")</f>
        <v/>
      </c>
      <c r="AU736" t="inlineStr">
        <is>
          <t>18125718:eng</t>
        </is>
      </c>
      <c r="AV736" t="inlineStr">
        <is>
          <t>18704903</t>
        </is>
      </c>
      <c r="AW736" t="inlineStr">
        <is>
          <t>991001383249702656</t>
        </is>
      </c>
      <c r="AX736" t="inlineStr">
        <is>
          <t>991001383249702656</t>
        </is>
      </c>
      <c r="AY736" t="inlineStr">
        <is>
          <t>2270903600002656</t>
        </is>
      </c>
      <c r="AZ736" t="inlineStr">
        <is>
          <t>BOOK</t>
        </is>
      </c>
      <c r="BB736" t="inlineStr">
        <is>
          <t>9780894536625</t>
        </is>
      </c>
      <c r="BC736" t="inlineStr">
        <is>
          <t>32285000074210</t>
        </is>
      </c>
      <c r="BD736" t="inlineStr">
        <is>
          <t>893778759</t>
        </is>
      </c>
    </row>
    <row r="737">
      <c r="A737" t="inlineStr">
        <is>
          <t>No</t>
        </is>
      </c>
      <c r="B737" t="inlineStr">
        <is>
          <t>BT481 .O34 1973b</t>
        </is>
      </c>
      <c r="C737" t="inlineStr">
        <is>
          <t>0                      BT 0481000O  34          1973b</t>
        </is>
      </c>
      <c r="D737" t="inlineStr">
        <is>
          <t>The Easter Jesus / Gerald O'Collins.</t>
        </is>
      </c>
      <c r="F737" t="inlineStr">
        <is>
          <t>No</t>
        </is>
      </c>
      <c r="G737" t="inlineStr">
        <is>
          <t>1</t>
        </is>
      </c>
      <c r="H737" t="inlineStr">
        <is>
          <t>No</t>
        </is>
      </c>
      <c r="I737" t="inlineStr">
        <is>
          <t>No</t>
        </is>
      </c>
      <c r="J737" t="inlineStr">
        <is>
          <t>0</t>
        </is>
      </c>
      <c r="K737" t="inlineStr">
        <is>
          <t>O'Collins, Gerald.</t>
        </is>
      </c>
      <c r="L737" t="inlineStr">
        <is>
          <t>London : Darton, Longman and Todd, 1973.</t>
        </is>
      </c>
      <c r="M737" t="inlineStr">
        <is>
          <t>1973</t>
        </is>
      </c>
      <c r="O737" t="inlineStr">
        <is>
          <t>eng</t>
        </is>
      </c>
      <c r="P737" t="inlineStr">
        <is>
          <t>enk</t>
        </is>
      </c>
      <c r="R737" t="inlineStr">
        <is>
          <t xml:space="preserve">BT </t>
        </is>
      </c>
      <c r="S737" t="n">
        <v>8</v>
      </c>
      <c r="T737" t="n">
        <v>8</v>
      </c>
      <c r="U737" t="inlineStr">
        <is>
          <t>1996-11-09</t>
        </is>
      </c>
      <c r="V737" t="inlineStr">
        <is>
          <t>1996-11-09</t>
        </is>
      </c>
      <c r="W737" t="inlineStr">
        <is>
          <t>1991-08-22</t>
        </is>
      </c>
      <c r="X737" t="inlineStr">
        <is>
          <t>1991-08-22</t>
        </is>
      </c>
      <c r="Y737" t="n">
        <v>135</v>
      </c>
      <c r="Z737" t="n">
        <v>52</v>
      </c>
      <c r="AA737" t="n">
        <v>72</v>
      </c>
      <c r="AB737" t="n">
        <v>2</v>
      </c>
      <c r="AC737" t="n">
        <v>2</v>
      </c>
      <c r="AD737" t="n">
        <v>6</v>
      </c>
      <c r="AE737" t="n">
        <v>7</v>
      </c>
      <c r="AF737" t="n">
        <v>2</v>
      </c>
      <c r="AG737" t="n">
        <v>2</v>
      </c>
      <c r="AH737" t="n">
        <v>2</v>
      </c>
      <c r="AI737" t="n">
        <v>2</v>
      </c>
      <c r="AJ737" t="n">
        <v>4</v>
      </c>
      <c r="AK737" t="n">
        <v>5</v>
      </c>
      <c r="AL737" t="n">
        <v>0</v>
      </c>
      <c r="AM737" t="n">
        <v>0</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HYPERLINK("https://creighton-primo.hosted.exlibrisgroup.com/primo-explore/search?tab=default_tab&amp;search_scope=EVERYTHING&amp;vid=01CRU&amp;lang=en_US&amp;offset=0&amp;query=any,contains,991003255209702656","Catalog Record")</f>
        <v/>
      </c>
      <c r="AT737">
        <f>HYPERLINK("http://www.worldcat.org/oclc/780227","WorldCat Record")</f>
        <v/>
      </c>
      <c r="AU737" t="inlineStr">
        <is>
          <t>20516790:eng</t>
        </is>
      </c>
      <c r="AV737" t="inlineStr">
        <is>
          <t>780227</t>
        </is>
      </c>
      <c r="AW737" t="inlineStr">
        <is>
          <t>991003255209702656</t>
        </is>
      </c>
      <c r="AX737" t="inlineStr">
        <is>
          <t>991003255209702656</t>
        </is>
      </c>
      <c r="AY737" t="inlineStr">
        <is>
          <t>2260203090002656</t>
        </is>
      </c>
      <c r="AZ737" t="inlineStr">
        <is>
          <t>BOOK</t>
        </is>
      </c>
      <c r="BB737" t="inlineStr">
        <is>
          <t>9780232512144</t>
        </is>
      </c>
      <c r="BC737" t="inlineStr">
        <is>
          <t>32285000746080</t>
        </is>
      </c>
      <c r="BD737" t="inlineStr">
        <is>
          <t>893518297</t>
        </is>
      </c>
    </row>
    <row r="738">
      <c r="A738" t="inlineStr">
        <is>
          <t>No</t>
        </is>
      </c>
      <c r="B738" t="inlineStr">
        <is>
          <t>BT481 .O34 1993</t>
        </is>
      </c>
      <c r="C738" t="inlineStr">
        <is>
          <t>0                      BT 0481000O  34          1993</t>
        </is>
      </c>
      <c r="D738" t="inlineStr">
        <is>
          <t>The resurrection of Jesus Christ : some contemporary issues / by Gerald G. O'Collins.</t>
        </is>
      </c>
      <c r="F738" t="inlineStr">
        <is>
          <t>No</t>
        </is>
      </c>
      <c r="G738" t="inlineStr">
        <is>
          <t>1</t>
        </is>
      </c>
      <c r="H738" t="inlineStr">
        <is>
          <t>No</t>
        </is>
      </c>
      <c r="I738" t="inlineStr">
        <is>
          <t>Yes</t>
        </is>
      </c>
      <c r="J738" t="inlineStr">
        <is>
          <t>0</t>
        </is>
      </c>
      <c r="K738" t="inlineStr">
        <is>
          <t>O'Collins, Gerald.</t>
        </is>
      </c>
      <c r="L738" t="inlineStr">
        <is>
          <t>Milwaukee, Wis. : Marquette University Press, c1993.</t>
        </is>
      </c>
      <c r="M738" t="inlineStr">
        <is>
          <t>1993</t>
        </is>
      </c>
      <c r="O738" t="inlineStr">
        <is>
          <t>eng</t>
        </is>
      </c>
      <c r="P738" t="inlineStr">
        <is>
          <t>wiu</t>
        </is>
      </c>
      <c r="Q738" t="inlineStr">
        <is>
          <t>The Père Marquette lecture in theology ; 1993</t>
        </is>
      </c>
      <c r="R738" t="inlineStr">
        <is>
          <t xml:space="preserve">BT </t>
        </is>
      </c>
      <c r="S738" t="n">
        <v>4</v>
      </c>
      <c r="T738" t="n">
        <v>4</v>
      </c>
      <c r="U738" t="inlineStr">
        <is>
          <t>2007-04-09</t>
        </is>
      </c>
      <c r="V738" t="inlineStr">
        <is>
          <t>2007-04-09</t>
        </is>
      </c>
      <c r="W738" t="inlineStr">
        <is>
          <t>1996-06-12</t>
        </is>
      </c>
      <c r="X738" t="inlineStr">
        <is>
          <t>1996-06-12</t>
        </is>
      </c>
      <c r="Y738" t="n">
        <v>143</v>
      </c>
      <c r="Z738" t="n">
        <v>126</v>
      </c>
      <c r="AA738" t="n">
        <v>749</v>
      </c>
      <c r="AB738" t="n">
        <v>1</v>
      </c>
      <c r="AC738" t="n">
        <v>8</v>
      </c>
      <c r="AD738" t="n">
        <v>11</v>
      </c>
      <c r="AE738" t="n">
        <v>48</v>
      </c>
      <c r="AF738" t="n">
        <v>2</v>
      </c>
      <c r="AG738" t="n">
        <v>18</v>
      </c>
      <c r="AH738" t="n">
        <v>4</v>
      </c>
      <c r="AI738" t="n">
        <v>9</v>
      </c>
      <c r="AJ738" t="n">
        <v>8</v>
      </c>
      <c r="AK738" t="n">
        <v>25</v>
      </c>
      <c r="AL738" t="n">
        <v>0</v>
      </c>
      <c r="AM738" t="n">
        <v>6</v>
      </c>
      <c r="AN738" t="n">
        <v>0</v>
      </c>
      <c r="AO738" t="n">
        <v>1</v>
      </c>
      <c r="AP738" t="inlineStr">
        <is>
          <t>No</t>
        </is>
      </c>
      <c r="AQ738" t="inlineStr">
        <is>
          <t>Yes</t>
        </is>
      </c>
      <c r="AR738">
        <f>HYPERLINK("http://catalog.hathitrust.org/Record/002906551","HathiTrust Record")</f>
        <v/>
      </c>
      <c r="AS738">
        <f>HYPERLINK("https://creighton-primo.hosted.exlibrisgroup.com/primo-explore/search?tab=default_tab&amp;search_scope=EVERYTHING&amp;vid=01CRU&amp;lang=en_US&amp;offset=0&amp;query=any,contains,991002198909702656","Catalog Record")</f>
        <v/>
      </c>
      <c r="AT738">
        <f>HYPERLINK("http://www.worldcat.org/oclc/28287612","WorldCat Record")</f>
        <v/>
      </c>
      <c r="AU738" t="inlineStr">
        <is>
          <t>480246864:eng</t>
        </is>
      </c>
      <c r="AV738" t="inlineStr">
        <is>
          <t>28287612</t>
        </is>
      </c>
      <c r="AW738" t="inlineStr">
        <is>
          <t>991002198909702656</t>
        </is>
      </c>
      <c r="AX738" t="inlineStr">
        <is>
          <t>991002198909702656</t>
        </is>
      </c>
      <c r="AY738" t="inlineStr">
        <is>
          <t>2262404740002656</t>
        </is>
      </c>
      <c r="AZ738" t="inlineStr">
        <is>
          <t>BOOK</t>
        </is>
      </c>
      <c r="BB738" t="inlineStr">
        <is>
          <t>9780874625486</t>
        </is>
      </c>
      <c r="BC738" t="inlineStr">
        <is>
          <t>32285002192028</t>
        </is>
      </c>
      <c r="BD738" t="inlineStr">
        <is>
          <t>893898474</t>
        </is>
      </c>
    </row>
    <row r="739">
      <c r="A739" t="inlineStr">
        <is>
          <t>No</t>
        </is>
      </c>
      <c r="B739" t="inlineStr">
        <is>
          <t>BT481 .R45313</t>
        </is>
      </c>
      <c r="C739" t="inlineStr">
        <is>
          <t>0                      BT 0481000R  45313</t>
        </is>
      </c>
      <c r="D739" t="inlineStr">
        <is>
          <t>The Resurrection and modern Biblical thought / [by] P. de Surgy [and others] Translated by Charles Underhill Quinn.</t>
        </is>
      </c>
      <c r="F739" t="inlineStr">
        <is>
          <t>No</t>
        </is>
      </c>
      <c r="G739" t="inlineStr">
        <is>
          <t>1</t>
        </is>
      </c>
      <c r="H739" t="inlineStr">
        <is>
          <t>No</t>
        </is>
      </c>
      <c r="I739" t="inlineStr">
        <is>
          <t>No</t>
        </is>
      </c>
      <c r="J739" t="inlineStr">
        <is>
          <t>0</t>
        </is>
      </c>
      <c r="L739" t="inlineStr">
        <is>
          <t>New York, Corpus Books [c1970]</t>
        </is>
      </c>
      <c r="M739" t="inlineStr">
        <is>
          <t>1970</t>
        </is>
      </c>
      <c r="O739" t="inlineStr">
        <is>
          <t>eng</t>
        </is>
      </c>
      <c r="P739" t="inlineStr">
        <is>
          <t>nyu</t>
        </is>
      </c>
      <c r="R739" t="inlineStr">
        <is>
          <t xml:space="preserve">BT </t>
        </is>
      </c>
      <c r="S739" t="n">
        <v>3</v>
      </c>
      <c r="T739" t="n">
        <v>3</v>
      </c>
      <c r="U739" t="inlineStr">
        <is>
          <t>2002-12-01</t>
        </is>
      </c>
      <c r="V739" t="inlineStr">
        <is>
          <t>2002-12-01</t>
        </is>
      </c>
      <c r="W739" t="inlineStr">
        <is>
          <t>1990-03-22</t>
        </is>
      </c>
      <c r="X739" t="inlineStr">
        <is>
          <t>1990-03-22</t>
        </is>
      </c>
      <c r="Y739" t="n">
        <v>266</v>
      </c>
      <c r="Z739" t="n">
        <v>237</v>
      </c>
      <c r="AA739" t="n">
        <v>242</v>
      </c>
      <c r="AB739" t="n">
        <v>5</v>
      </c>
      <c r="AC739" t="n">
        <v>5</v>
      </c>
      <c r="AD739" t="n">
        <v>26</v>
      </c>
      <c r="AE739" t="n">
        <v>26</v>
      </c>
      <c r="AF739" t="n">
        <v>6</v>
      </c>
      <c r="AG739" t="n">
        <v>6</v>
      </c>
      <c r="AH739" t="n">
        <v>7</v>
      </c>
      <c r="AI739" t="n">
        <v>7</v>
      </c>
      <c r="AJ739" t="n">
        <v>15</v>
      </c>
      <c r="AK739" t="n">
        <v>15</v>
      </c>
      <c r="AL739" t="n">
        <v>3</v>
      </c>
      <c r="AM739" t="n">
        <v>3</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HYPERLINK("https://creighton-primo.hosted.exlibrisgroup.com/primo-explore/search?tab=default_tab&amp;search_scope=EVERYTHING&amp;vid=01CRU&amp;lang=en_US&amp;offset=0&amp;query=any,contains,991001904029702656","Catalog Record")</f>
        <v/>
      </c>
      <c r="AT739">
        <f>HYPERLINK("http://www.worldcat.org/oclc/239663","WorldCat Record")</f>
        <v/>
      </c>
      <c r="AU739" t="inlineStr">
        <is>
          <t>341757341:eng</t>
        </is>
      </c>
      <c r="AV739" t="inlineStr">
        <is>
          <t>239663</t>
        </is>
      </c>
      <c r="AW739" t="inlineStr">
        <is>
          <t>991001904029702656</t>
        </is>
      </c>
      <c r="AX739" t="inlineStr">
        <is>
          <t>991001904029702656</t>
        </is>
      </c>
      <c r="AY739" t="inlineStr">
        <is>
          <t>2256853620002656</t>
        </is>
      </c>
      <c r="AZ739" t="inlineStr">
        <is>
          <t>BOOK</t>
        </is>
      </c>
      <c r="BC739" t="inlineStr">
        <is>
          <t>32285000089994</t>
        </is>
      </c>
      <c r="BD739" t="inlineStr">
        <is>
          <t>893791816</t>
        </is>
      </c>
    </row>
    <row r="740">
      <c r="A740" t="inlineStr">
        <is>
          <t>No</t>
        </is>
      </c>
      <c r="B740" t="inlineStr">
        <is>
          <t>BT481 .R68</t>
        </is>
      </c>
      <c r="C740" t="inlineStr">
        <is>
          <t>0                      BT 0481000R  68</t>
        </is>
      </c>
      <c r="D740" t="inlineStr">
        <is>
          <t>Who moved the stone? / by Frank Morison [i.e. A. H. Ross].</t>
        </is>
      </c>
      <c r="F740" t="inlineStr">
        <is>
          <t>No</t>
        </is>
      </c>
      <c r="G740" t="inlineStr">
        <is>
          <t>1</t>
        </is>
      </c>
      <c r="H740" t="inlineStr">
        <is>
          <t>No</t>
        </is>
      </c>
      <c r="I740" t="inlineStr">
        <is>
          <t>No</t>
        </is>
      </c>
      <c r="J740" t="inlineStr">
        <is>
          <t>0</t>
        </is>
      </c>
      <c r="K740" t="inlineStr">
        <is>
          <t>Morison, Frank, 1881-</t>
        </is>
      </c>
      <c r="L740" t="inlineStr">
        <is>
          <t>New York, Barnes &amp; Noble [1962]</t>
        </is>
      </c>
      <c r="M740" t="inlineStr">
        <is>
          <t>1962</t>
        </is>
      </c>
      <c r="O740" t="inlineStr">
        <is>
          <t>eng</t>
        </is>
      </c>
      <c r="P740" t="inlineStr">
        <is>
          <t>nyu</t>
        </is>
      </c>
      <c r="Q740" t="inlineStr">
        <is>
          <t>University paperback, UP-24</t>
        </is>
      </c>
      <c r="R740" t="inlineStr">
        <is>
          <t xml:space="preserve">BT </t>
        </is>
      </c>
      <c r="S740" t="n">
        <v>3</v>
      </c>
      <c r="T740" t="n">
        <v>3</v>
      </c>
      <c r="U740" t="inlineStr">
        <is>
          <t>1998-07-20</t>
        </is>
      </c>
      <c r="V740" t="inlineStr">
        <is>
          <t>1998-07-20</t>
        </is>
      </c>
      <c r="W740" t="inlineStr">
        <is>
          <t>1991-08-22</t>
        </is>
      </c>
      <c r="X740" t="inlineStr">
        <is>
          <t>1991-08-22</t>
        </is>
      </c>
      <c r="Y740" t="n">
        <v>105</v>
      </c>
      <c r="Z740" t="n">
        <v>101</v>
      </c>
      <c r="AA740" t="n">
        <v>676</v>
      </c>
      <c r="AB740" t="n">
        <v>1</v>
      </c>
      <c r="AC740" t="n">
        <v>5</v>
      </c>
      <c r="AD740" t="n">
        <v>9</v>
      </c>
      <c r="AE740" t="n">
        <v>28</v>
      </c>
      <c r="AF740" t="n">
        <v>4</v>
      </c>
      <c r="AG740" t="n">
        <v>12</v>
      </c>
      <c r="AH740" t="n">
        <v>1</v>
      </c>
      <c r="AI740" t="n">
        <v>6</v>
      </c>
      <c r="AJ740" t="n">
        <v>5</v>
      </c>
      <c r="AK740" t="n">
        <v>18</v>
      </c>
      <c r="AL740" t="n">
        <v>0</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HYPERLINK("https://creighton-primo.hosted.exlibrisgroup.com/primo-explore/search?tab=default_tab&amp;search_scope=EVERYTHING&amp;vid=01CRU&amp;lang=en_US&amp;offset=0&amp;query=any,contains,991004122849702656","Catalog Record")</f>
        <v/>
      </c>
      <c r="AT740">
        <f>HYPERLINK("http://www.worldcat.org/oclc/2434079","WorldCat Record")</f>
        <v/>
      </c>
      <c r="AU740" t="inlineStr">
        <is>
          <t>1513515:eng</t>
        </is>
      </c>
      <c r="AV740" t="inlineStr">
        <is>
          <t>2434079</t>
        </is>
      </c>
      <c r="AW740" t="inlineStr">
        <is>
          <t>991004122849702656</t>
        </is>
      </c>
      <c r="AX740" t="inlineStr">
        <is>
          <t>991004122849702656</t>
        </is>
      </c>
      <c r="AY740" t="inlineStr">
        <is>
          <t>2264105980002656</t>
        </is>
      </c>
      <c r="AZ740" t="inlineStr">
        <is>
          <t>BOOK</t>
        </is>
      </c>
      <c r="BC740" t="inlineStr">
        <is>
          <t>32285000746098</t>
        </is>
      </c>
      <c r="BD740" t="inlineStr">
        <is>
          <t>893318818</t>
        </is>
      </c>
    </row>
    <row r="741">
      <c r="A741" t="inlineStr">
        <is>
          <t>No</t>
        </is>
      </c>
      <c r="B741" t="inlineStr">
        <is>
          <t>BT481 .S62 1983</t>
        </is>
      </c>
      <c r="C741" t="inlineStr">
        <is>
          <t>0                      BT 0481000S  62          1983</t>
        </is>
      </c>
      <c r="D741" t="inlineStr">
        <is>
          <t>Easter Gospels : the resurrection of Jesus according to the four evangelists / Robert H. Smith.</t>
        </is>
      </c>
      <c r="F741" t="inlineStr">
        <is>
          <t>No</t>
        </is>
      </c>
      <c r="G741" t="inlineStr">
        <is>
          <t>1</t>
        </is>
      </c>
      <c r="H741" t="inlineStr">
        <is>
          <t>No</t>
        </is>
      </c>
      <c r="I741" t="inlineStr">
        <is>
          <t>No</t>
        </is>
      </c>
      <c r="J741" t="inlineStr">
        <is>
          <t>0</t>
        </is>
      </c>
      <c r="K741" t="inlineStr">
        <is>
          <t>Smith, Robert H., 1932-2006.</t>
        </is>
      </c>
      <c r="L741" t="inlineStr">
        <is>
          <t>Minneapolis : Augsburg Pub. House, c1983.</t>
        </is>
      </c>
      <c r="M741" t="inlineStr">
        <is>
          <t>1983</t>
        </is>
      </c>
      <c r="O741" t="inlineStr">
        <is>
          <t>eng</t>
        </is>
      </c>
      <c r="P741" t="inlineStr">
        <is>
          <t>mnu</t>
        </is>
      </c>
      <c r="R741" t="inlineStr">
        <is>
          <t xml:space="preserve">BT </t>
        </is>
      </c>
      <c r="S741" t="n">
        <v>3</v>
      </c>
      <c r="T741" t="n">
        <v>3</v>
      </c>
      <c r="U741" t="inlineStr">
        <is>
          <t>2004-10-26</t>
        </is>
      </c>
      <c r="V741" t="inlineStr">
        <is>
          <t>2004-10-26</t>
        </is>
      </c>
      <c r="W741" t="inlineStr">
        <is>
          <t>1991-08-22</t>
        </is>
      </c>
      <c r="X741" t="inlineStr">
        <is>
          <t>1991-08-22</t>
        </is>
      </c>
      <c r="Y741" t="n">
        <v>260</v>
      </c>
      <c r="Z741" t="n">
        <v>212</v>
      </c>
      <c r="AA741" t="n">
        <v>214</v>
      </c>
      <c r="AB741" t="n">
        <v>2</v>
      </c>
      <c r="AC741" t="n">
        <v>2</v>
      </c>
      <c r="AD741" t="n">
        <v>15</v>
      </c>
      <c r="AE741" t="n">
        <v>15</v>
      </c>
      <c r="AF741" t="n">
        <v>4</v>
      </c>
      <c r="AG741" t="n">
        <v>4</v>
      </c>
      <c r="AH741" t="n">
        <v>4</v>
      </c>
      <c r="AI741" t="n">
        <v>4</v>
      </c>
      <c r="AJ741" t="n">
        <v>9</v>
      </c>
      <c r="AK741" t="n">
        <v>9</v>
      </c>
      <c r="AL741" t="n">
        <v>1</v>
      </c>
      <c r="AM741" t="n">
        <v>1</v>
      </c>
      <c r="AN741" t="n">
        <v>0</v>
      </c>
      <c r="AO741" t="n">
        <v>0</v>
      </c>
      <c r="AP741" t="inlineStr">
        <is>
          <t>No</t>
        </is>
      </c>
      <c r="AQ741" t="inlineStr">
        <is>
          <t>Yes</t>
        </is>
      </c>
      <c r="AR741">
        <f>HYPERLINK("http://catalog.hathitrust.org/Record/002198618","HathiTrust Record")</f>
        <v/>
      </c>
      <c r="AS741">
        <f>HYPERLINK("https://creighton-primo.hosted.exlibrisgroup.com/primo-explore/search?tab=default_tab&amp;search_scope=EVERYTHING&amp;vid=01CRU&amp;lang=en_US&amp;offset=0&amp;query=any,contains,991000325439702656","Catalog Record")</f>
        <v/>
      </c>
      <c r="AT741">
        <f>HYPERLINK("http://www.worldcat.org/oclc/10166833","WorldCat Record")</f>
        <v/>
      </c>
      <c r="AU741" t="inlineStr">
        <is>
          <t>480737230:eng</t>
        </is>
      </c>
      <c r="AV741" t="inlineStr">
        <is>
          <t>10166833</t>
        </is>
      </c>
      <c r="AW741" t="inlineStr">
        <is>
          <t>991000325439702656</t>
        </is>
      </c>
      <c r="AX741" t="inlineStr">
        <is>
          <t>991000325439702656</t>
        </is>
      </c>
      <c r="AY741" t="inlineStr">
        <is>
          <t>2264303440002656</t>
        </is>
      </c>
      <c r="AZ741" t="inlineStr">
        <is>
          <t>BOOK</t>
        </is>
      </c>
      <c r="BB741" t="inlineStr">
        <is>
          <t>9780806620244</t>
        </is>
      </c>
      <c r="BC741" t="inlineStr">
        <is>
          <t>32285000746114</t>
        </is>
      </c>
      <c r="BD741" t="inlineStr">
        <is>
          <t>893224903</t>
        </is>
      </c>
    </row>
    <row r="742">
      <c r="A742" t="inlineStr">
        <is>
          <t>No</t>
        </is>
      </c>
      <c r="B742" t="inlineStr">
        <is>
          <t>BT481 .S684 1995</t>
        </is>
      </c>
      <c r="C742" t="inlineStr">
        <is>
          <t>0                      BT 0481000S  684         1995</t>
        </is>
      </c>
      <c r="D742" t="inlineStr">
        <is>
          <t>Resurrection : myth or reality? : a bishop's search for the origins of Christianity / John Shelby Spong.</t>
        </is>
      </c>
      <c r="F742" t="inlineStr">
        <is>
          <t>No</t>
        </is>
      </c>
      <c r="G742" t="inlineStr">
        <is>
          <t>1</t>
        </is>
      </c>
      <c r="H742" t="inlineStr">
        <is>
          <t>No</t>
        </is>
      </c>
      <c r="I742" t="inlineStr">
        <is>
          <t>No</t>
        </is>
      </c>
      <c r="J742" t="inlineStr">
        <is>
          <t>0</t>
        </is>
      </c>
      <c r="K742" t="inlineStr">
        <is>
          <t>Spong, John Shelby.</t>
        </is>
      </c>
      <c r="L742" t="inlineStr">
        <is>
          <t>[San Francisco, Calif.] : HarperSanFrancisco, 1995, c1994.</t>
        </is>
      </c>
      <c r="M742" t="inlineStr">
        <is>
          <t>1995</t>
        </is>
      </c>
      <c r="N742" t="inlineStr">
        <is>
          <t>1st HarperCollins pbk. ed.</t>
        </is>
      </c>
      <c r="O742" t="inlineStr">
        <is>
          <t>eng</t>
        </is>
      </c>
      <c r="P742" t="inlineStr">
        <is>
          <t>nyu</t>
        </is>
      </c>
      <c r="R742" t="inlineStr">
        <is>
          <t xml:space="preserve">BT </t>
        </is>
      </c>
      <c r="S742" t="n">
        <v>8</v>
      </c>
      <c r="T742" t="n">
        <v>8</v>
      </c>
      <c r="U742" t="inlineStr">
        <is>
          <t>2005-06-22</t>
        </is>
      </c>
      <c r="V742" t="inlineStr">
        <is>
          <t>2005-06-22</t>
        </is>
      </c>
      <c r="W742" t="inlineStr">
        <is>
          <t>1999-05-10</t>
        </is>
      </c>
      <c r="X742" t="inlineStr">
        <is>
          <t>1999-05-10</t>
        </is>
      </c>
      <c r="Y742" t="n">
        <v>97</v>
      </c>
      <c r="Z742" t="n">
        <v>88</v>
      </c>
      <c r="AA742" t="n">
        <v>693</v>
      </c>
      <c r="AB742" t="n">
        <v>1</v>
      </c>
      <c r="AC742" t="n">
        <v>7</v>
      </c>
      <c r="AD742" t="n">
        <v>3</v>
      </c>
      <c r="AE742" t="n">
        <v>24</v>
      </c>
      <c r="AF742" t="n">
        <v>2</v>
      </c>
      <c r="AG742" t="n">
        <v>8</v>
      </c>
      <c r="AH742" t="n">
        <v>0</v>
      </c>
      <c r="AI742" t="n">
        <v>4</v>
      </c>
      <c r="AJ742" t="n">
        <v>1</v>
      </c>
      <c r="AK742" t="n">
        <v>13</v>
      </c>
      <c r="AL742" t="n">
        <v>0</v>
      </c>
      <c r="AM742" t="n">
        <v>4</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HYPERLINK("https://creighton-primo.hosted.exlibrisgroup.com/primo-explore/search?tab=default_tab&amp;search_scope=EVERYTHING&amp;vid=01CRU&amp;lang=en_US&amp;offset=0&amp;query=any,contains,991002836949702656","Catalog Record")</f>
        <v/>
      </c>
      <c r="AT742">
        <f>HYPERLINK("http://www.worldcat.org/oclc/37364368","WorldCat Record")</f>
        <v/>
      </c>
      <c r="AU742" t="inlineStr">
        <is>
          <t>13857787:eng</t>
        </is>
      </c>
      <c r="AV742" t="inlineStr">
        <is>
          <t>37364368</t>
        </is>
      </c>
      <c r="AW742" t="inlineStr">
        <is>
          <t>991002836949702656</t>
        </is>
      </c>
      <c r="AX742" t="inlineStr">
        <is>
          <t>991002836949702656</t>
        </is>
      </c>
      <c r="AY742" t="inlineStr">
        <is>
          <t>2266515260002656</t>
        </is>
      </c>
      <c r="AZ742" t="inlineStr">
        <is>
          <t>BOOK</t>
        </is>
      </c>
      <c r="BB742" t="inlineStr">
        <is>
          <t>9780060674298</t>
        </is>
      </c>
      <c r="BC742" t="inlineStr">
        <is>
          <t>32285003559746</t>
        </is>
      </c>
      <c r="BD742" t="inlineStr">
        <is>
          <t>893597944</t>
        </is>
      </c>
    </row>
    <row r="743">
      <c r="A743" t="inlineStr">
        <is>
          <t>No</t>
        </is>
      </c>
      <c r="B743" t="inlineStr">
        <is>
          <t>BT50 .B53 1975</t>
        </is>
      </c>
      <c r="C743" t="inlineStr">
        <is>
          <t>0                      BT 0050000B  53          1975</t>
        </is>
      </c>
      <c r="D743" t="inlineStr">
        <is>
          <t>Reason and belief / Brand Blanshard.</t>
        </is>
      </c>
      <c r="F743" t="inlineStr">
        <is>
          <t>No</t>
        </is>
      </c>
      <c r="G743" t="inlineStr">
        <is>
          <t>1</t>
        </is>
      </c>
      <c r="H743" t="inlineStr">
        <is>
          <t>No</t>
        </is>
      </c>
      <c r="I743" t="inlineStr">
        <is>
          <t>No</t>
        </is>
      </c>
      <c r="J743" t="inlineStr">
        <is>
          <t>0</t>
        </is>
      </c>
      <c r="K743" t="inlineStr">
        <is>
          <t>Blanshard, Brand, 1892-1987.</t>
        </is>
      </c>
      <c r="L743" t="inlineStr">
        <is>
          <t>New Haven : Yale University Press, [1975, c1974.</t>
        </is>
      </c>
      <c r="M743" t="inlineStr">
        <is>
          <t>1975</t>
        </is>
      </c>
      <c r="O743" t="inlineStr">
        <is>
          <t>eng</t>
        </is>
      </c>
      <c r="P743" t="inlineStr">
        <is>
          <t>ctu</t>
        </is>
      </c>
      <c r="R743" t="inlineStr">
        <is>
          <t xml:space="preserve">BT </t>
        </is>
      </c>
      <c r="S743" t="n">
        <v>6</v>
      </c>
      <c r="T743" t="n">
        <v>6</v>
      </c>
      <c r="U743" t="inlineStr">
        <is>
          <t>1999-04-06</t>
        </is>
      </c>
      <c r="V743" t="inlineStr">
        <is>
          <t>1999-04-06</t>
        </is>
      </c>
      <c r="W743" t="inlineStr">
        <is>
          <t>1991-06-19</t>
        </is>
      </c>
      <c r="X743" t="inlineStr">
        <is>
          <t>1991-06-19</t>
        </is>
      </c>
      <c r="Y743" t="n">
        <v>464</v>
      </c>
      <c r="Z743" t="n">
        <v>429</v>
      </c>
      <c r="AA743" t="n">
        <v>633</v>
      </c>
      <c r="AB743" t="n">
        <v>3</v>
      </c>
      <c r="AC743" t="n">
        <v>4</v>
      </c>
      <c r="AD743" t="n">
        <v>22</v>
      </c>
      <c r="AE743" t="n">
        <v>33</v>
      </c>
      <c r="AF743" t="n">
        <v>8</v>
      </c>
      <c r="AG743" t="n">
        <v>12</v>
      </c>
      <c r="AH743" t="n">
        <v>5</v>
      </c>
      <c r="AI743" t="n">
        <v>7</v>
      </c>
      <c r="AJ743" t="n">
        <v>14</v>
      </c>
      <c r="AK743" t="n">
        <v>21</v>
      </c>
      <c r="AL743" t="n">
        <v>2</v>
      </c>
      <c r="AM743" t="n">
        <v>3</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HYPERLINK("https://creighton-primo.hosted.exlibrisgroup.com/primo-explore/search?tab=default_tab&amp;search_scope=EVERYTHING&amp;vid=01CRU&amp;lang=en_US&amp;offset=0&amp;query=any,contains,991003708389702656","Catalog Record")</f>
        <v/>
      </c>
      <c r="AT743">
        <f>HYPERLINK("http://www.worldcat.org/oclc/1346680","WorldCat Record")</f>
        <v/>
      </c>
      <c r="AU743" t="inlineStr">
        <is>
          <t>2242596:eng</t>
        </is>
      </c>
      <c r="AV743" t="inlineStr">
        <is>
          <t>1346680</t>
        </is>
      </c>
      <c r="AW743" t="inlineStr">
        <is>
          <t>991003708389702656</t>
        </is>
      </c>
      <c r="AX743" t="inlineStr">
        <is>
          <t>991003708389702656</t>
        </is>
      </c>
      <c r="AY743" t="inlineStr">
        <is>
          <t>2258332870002656</t>
        </is>
      </c>
      <c r="AZ743" t="inlineStr">
        <is>
          <t>BOOK</t>
        </is>
      </c>
      <c r="BB743" t="inlineStr">
        <is>
          <t>9780300018257</t>
        </is>
      </c>
      <c r="BC743" t="inlineStr">
        <is>
          <t>32285000687292</t>
        </is>
      </c>
      <c r="BD743" t="inlineStr">
        <is>
          <t>893330688</t>
        </is>
      </c>
    </row>
    <row r="744">
      <c r="A744" t="inlineStr">
        <is>
          <t>No</t>
        </is>
      </c>
      <c r="B744" t="inlineStr">
        <is>
          <t>BT50 .B58 1987</t>
        </is>
      </c>
      <c r="C744" t="inlineStr">
        <is>
          <t>0                      BT 0050000B  58          1987</t>
        </is>
      </c>
      <c r="D744" t="inlineStr">
        <is>
          <t>Rahner, Heidegger, and truth : Karl Rahner's notion of Christian truth, the influence of Heidegger / Jack Arthur Bonsor ; with a preface by Francis Schüssler Fiorenza.</t>
        </is>
      </c>
      <c r="F744" t="inlineStr">
        <is>
          <t>No</t>
        </is>
      </c>
      <c r="G744" t="inlineStr">
        <is>
          <t>1</t>
        </is>
      </c>
      <c r="H744" t="inlineStr">
        <is>
          <t>No</t>
        </is>
      </c>
      <c r="I744" t="inlineStr">
        <is>
          <t>No</t>
        </is>
      </c>
      <c r="J744" t="inlineStr">
        <is>
          <t>0</t>
        </is>
      </c>
      <c r="K744" t="inlineStr">
        <is>
          <t>Bonsor, Jack Arthur, 1944-</t>
        </is>
      </c>
      <c r="L744" t="inlineStr">
        <is>
          <t>Lanham, MD : University Press of America, c1987.</t>
        </is>
      </c>
      <c r="M744" t="inlineStr">
        <is>
          <t>1987</t>
        </is>
      </c>
      <c r="O744" t="inlineStr">
        <is>
          <t>eng</t>
        </is>
      </c>
      <c r="P744" t="inlineStr">
        <is>
          <t>mdu</t>
        </is>
      </c>
      <c r="R744" t="inlineStr">
        <is>
          <t xml:space="preserve">BT </t>
        </is>
      </c>
      <c r="S744" t="n">
        <v>4</v>
      </c>
      <c r="T744" t="n">
        <v>4</v>
      </c>
      <c r="U744" t="inlineStr">
        <is>
          <t>1994-11-09</t>
        </is>
      </c>
      <c r="V744" t="inlineStr">
        <is>
          <t>1994-11-09</t>
        </is>
      </c>
      <c r="W744" t="inlineStr">
        <is>
          <t>1990-04-03</t>
        </is>
      </c>
      <c r="X744" t="inlineStr">
        <is>
          <t>1990-04-03</t>
        </is>
      </c>
      <c r="Y744" t="n">
        <v>188</v>
      </c>
      <c r="Z744" t="n">
        <v>142</v>
      </c>
      <c r="AA744" t="n">
        <v>144</v>
      </c>
      <c r="AB744" t="n">
        <v>4</v>
      </c>
      <c r="AC744" t="n">
        <v>4</v>
      </c>
      <c r="AD744" t="n">
        <v>16</v>
      </c>
      <c r="AE744" t="n">
        <v>16</v>
      </c>
      <c r="AF744" t="n">
        <v>6</v>
      </c>
      <c r="AG744" t="n">
        <v>6</v>
      </c>
      <c r="AH744" t="n">
        <v>4</v>
      </c>
      <c r="AI744" t="n">
        <v>4</v>
      </c>
      <c r="AJ744" t="n">
        <v>9</v>
      </c>
      <c r="AK744" t="n">
        <v>9</v>
      </c>
      <c r="AL744" t="n">
        <v>2</v>
      </c>
      <c r="AM744" t="n">
        <v>2</v>
      </c>
      <c r="AN744" t="n">
        <v>0</v>
      </c>
      <c r="AO744" t="n">
        <v>0</v>
      </c>
      <c r="AP744" t="inlineStr">
        <is>
          <t>No</t>
        </is>
      </c>
      <c r="AQ744" t="inlineStr">
        <is>
          <t>Yes</t>
        </is>
      </c>
      <c r="AR744">
        <f>HYPERLINK("http://catalog.hathitrust.org/Record/000819034","HathiTrust Record")</f>
        <v/>
      </c>
      <c r="AS744">
        <f>HYPERLINK("https://creighton-primo.hosted.exlibrisgroup.com/primo-explore/search?tab=default_tab&amp;search_scope=EVERYTHING&amp;vid=01CRU&amp;lang=en_US&amp;offset=0&amp;query=any,contains,991000995779702656","Catalog Record")</f>
        <v/>
      </c>
      <c r="AT744">
        <f>HYPERLINK("http://www.worldcat.org/oclc/15133502","WorldCat Record")</f>
        <v/>
      </c>
      <c r="AU744" t="inlineStr">
        <is>
          <t>9097518:eng</t>
        </is>
      </c>
      <c r="AV744" t="inlineStr">
        <is>
          <t>15133502</t>
        </is>
      </c>
      <c r="AW744" t="inlineStr">
        <is>
          <t>991000995779702656</t>
        </is>
      </c>
      <c r="AX744" t="inlineStr">
        <is>
          <t>991000995779702656</t>
        </is>
      </c>
      <c r="AY744" t="inlineStr">
        <is>
          <t>2262099760002656</t>
        </is>
      </c>
      <c r="AZ744" t="inlineStr">
        <is>
          <t>BOOK</t>
        </is>
      </c>
      <c r="BB744" t="inlineStr">
        <is>
          <t>9780819161604</t>
        </is>
      </c>
      <c r="BC744" t="inlineStr">
        <is>
          <t>32285000093509</t>
        </is>
      </c>
      <c r="BD744" t="inlineStr">
        <is>
          <t>893897407</t>
        </is>
      </c>
    </row>
    <row r="745">
      <c r="A745" t="inlineStr">
        <is>
          <t>No</t>
        </is>
      </c>
      <c r="B745" t="inlineStr">
        <is>
          <t>BT50 .F45 1976</t>
        </is>
      </c>
      <c r="C745" t="inlineStr">
        <is>
          <t>0                      BT 0050000F  45          1976</t>
        </is>
      </c>
      <c r="D745" t="inlineStr">
        <is>
          <t>Faith and doubt : the unfolding of Newman's thought on certainty / by William R. Fey ; with a pref. by Charles Stephen Dessain.</t>
        </is>
      </c>
      <c r="F745" t="inlineStr">
        <is>
          <t>No</t>
        </is>
      </c>
      <c r="G745" t="inlineStr">
        <is>
          <t>1</t>
        </is>
      </c>
      <c r="H745" t="inlineStr">
        <is>
          <t>No</t>
        </is>
      </c>
      <c r="I745" t="inlineStr">
        <is>
          <t>No</t>
        </is>
      </c>
      <c r="J745" t="inlineStr">
        <is>
          <t>0</t>
        </is>
      </c>
      <c r="K745" t="inlineStr">
        <is>
          <t>Fey, William R., 1942-</t>
        </is>
      </c>
      <c r="L745" t="inlineStr">
        <is>
          <t>Shepherdstown, W.Va. : Patmos Press, 1976.</t>
        </is>
      </c>
      <c r="M745" t="inlineStr">
        <is>
          <t>1976</t>
        </is>
      </c>
      <c r="O745" t="inlineStr">
        <is>
          <t>eng</t>
        </is>
      </c>
      <c r="P745" t="inlineStr">
        <is>
          <t>wvu</t>
        </is>
      </c>
      <c r="R745" t="inlineStr">
        <is>
          <t xml:space="preserve">BT </t>
        </is>
      </c>
      <c r="S745" t="n">
        <v>6</v>
      </c>
      <c r="T745" t="n">
        <v>6</v>
      </c>
      <c r="U745" t="inlineStr">
        <is>
          <t>2010-01-31</t>
        </is>
      </c>
      <c r="V745" t="inlineStr">
        <is>
          <t>2010-01-31</t>
        </is>
      </c>
      <c r="W745" t="inlineStr">
        <is>
          <t>1993-08-03</t>
        </is>
      </c>
      <c r="X745" t="inlineStr">
        <is>
          <t>1993-08-03</t>
        </is>
      </c>
      <c r="Y745" t="n">
        <v>382</v>
      </c>
      <c r="Z745" t="n">
        <v>325</v>
      </c>
      <c r="AA745" t="n">
        <v>331</v>
      </c>
      <c r="AB745" t="n">
        <v>3</v>
      </c>
      <c r="AC745" t="n">
        <v>3</v>
      </c>
      <c r="AD745" t="n">
        <v>31</v>
      </c>
      <c r="AE745" t="n">
        <v>31</v>
      </c>
      <c r="AF745" t="n">
        <v>11</v>
      </c>
      <c r="AG745" t="n">
        <v>11</v>
      </c>
      <c r="AH745" t="n">
        <v>8</v>
      </c>
      <c r="AI745" t="n">
        <v>8</v>
      </c>
      <c r="AJ745" t="n">
        <v>21</v>
      </c>
      <c r="AK745" t="n">
        <v>21</v>
      </c>
      <c r="AL745" t="n">
        <v>1</v>
      </c>
      <c r="AM745" t="n">
        <v>1</v>
      </c>
      <c r="AN745" t="n">
        <v>0</v>
      </c>
      <c r="AO745" t="n">
        <v>0</v>
      </c>
      <c r="AP745" t="inlineStr">
        <is>
          <t>No</t>
        </is>
      </c>
      <c r="AQ745" t="inlineStr">
        <is>
          <t>Yes</t>
        </is>
      </c>
      <c r="AR745">
        <f>HYPERLINK("http://catalog.hathitrust.org/Record/000745684","HathiTrust Record")</f>
        <v/>
      </c>
      <c r="AS745">
        <f>HYPERLINK("https://creighton-primo.hosted.exlibrisgroup.com/primo-explore/search?tab=default_tab&amp;search_scope=EVERYTHING&amp;vid=01CRU&amp;lang=en_US&amp;offset=0&amp;query=any,contains,991004129369702656","Catalog Record")</f>
        <v/>
      </c>
      <c r="AT745">
        <f>HYPERLINK("http://www.worldcat.org/oclc/2464148","WorldCat Record")</f>
        <v/>
      </c>
      <c r="AU745" t="inlineStr">
        <is>
          <t>375379362:eng</t>
        </is>
      </c>
      <c r="AV745" t="inlineStr">
        <is>
          <t>2464148</t>
        </is>
      </c>
      <c r="AW745" t="inlineStr">
        <is>
          <t>991004129369702656</t>
        </is>
      </c>
      <c r="AX745" t="inlineStr">
        <is>
          <t>991004129369702656</t>
        </is>
      </c>
      <c r="AY745" t="inlineStr">
        <is>
          <t>2269068500002656</t>
        </is>
      </c>
      <c r="AZ745" t="inlineStr">
        <is>
          <t>BOOK</t>
        </is>
      </c>
      <c r="BB745" t="inlineStr">
        <is>
          <t>9780915762026</t>
        </is>
      </c>
      <c r="BC745" t="inlineStr">
        <is>
          <t>32285001704641</t>
        </is>
      </c>
      <c r="BD745" t="inlineStr">
        <is>
          <t>893875718</t>
        </is>
      </c>
    </row>
    <row r="746">
      <c r="A746" t="inlineStr">
        <is>
          <t>No</t>
        </is>
      </c>
      <c r="B746" t="inlineStr">
        <is>
          <t>BT50 .H38</t>
        </is>
      </c>
      <c r="C746" t="inlineStr">
        <is>
          <t>0                      BT 0050000H  38</t>
        </is>
      </c>
      <c r="D746" t="inlineStr">
        <is>
          <t>Faith, reason, and the Gospels; a selection of modern thought on faith and the Gospels / ed. by John J. Heaney.</t>
        </is>
      </c>
      <c r="F746" t="inlineStr">
        <is>
          <t>No</t>
        </is>
      </c>
      <c r="G746" t="inlineStr">
        <is>
          <t>1</t>
        </is>
      </c>
      <c r="H746" t="inlineStr">
        <is>
          <t>No</t>
        </is>
      </c>
      <c r="I746" t="inlineStr">
        <is>
          <t>No</t>
        </is>
      </c>
      <c r="J746" t="inlineStr">
        <is>
          <t>0</t>
        </is>
      </c>
      <c r="K746" t="inlineStr">
        <is>
          <t>Heaney, John J., editor.</t>
        </is>
      </c>
      <c r="L746" t="inlineStr">
        <is>
          <t>Westminster, Md., Newman Press, 1961.</t>
        </is>
      </c>
      <c r="M746" t="inlineStr">
        <is>
          <t>1961</t>
        </is>
      </c>
      <c r="O746" t="inlineStr">
        <is>
          <t>eng</t>
        </is>
      </c>
      <c r="P746" t="inlineStr">
        <is>
          <t>mdu</t>
        </is>
      </c>
      <c r="R746" t="inlineStr">
        <is>
          <t xml:space="preserve">BT </t>
        </is>
      </c>
      <c r="S746" t="n">
        <v>4</v>
      </c>
      <c r="T746" t="n">
        <v>4</v>
      </c>
      <c r="U746" t="inlineStr">
        <is>
          <t>1999-10-18</t>
        </is>
      </c>
      <c r="V746" t="inlineStr">
        <is>
          <t>1999-10-18</t>
        </is>
      </c>
      <c r="W746" t="inlineStr">
        <is>
          <t>1991-06-19</t>
        </is>
      </c>
      <c r="X746" t="inlineStr">
        <is>
          <t>1991-06-19</t>
        </is>
      </c>
      <c r="Y746" t="n">
        <v>317</v>
      </c>
      <c r="Z746" t="n">
        <v>277</v>
      </c>
      <c r="AA746" t="n">
        <v>289</v>
      </c>
      <c r="AB746" t="n">
        <v>5</v>
      </c>
      <c r="AC746" t="n">
        <v>5</v>
      </c>
      <c r="AD746" t="n">
        <v>33</v>
      </c>
      <c r="AE746" t="n">
        <v>33</v>
      </c>
      <c r="AF746" t="n">
        <v>11</v>
      </c>
      <c r="AG746" t="n">
        <v>11</v>
      </c>
      <c r="AH746" t="n">
        <v>8</v>
      </c>
      <c r="AI746" t="n">
        <v>8</v>
      </c>
      <c r="AJ746" t="n">
        <v>23</v>
      </c>
      <c r="AK746" t="n">
        <v>23</v>
      </c>
      <c r="AL746" t="n">
        <v>3</v>
      </c>
      <c r="AM746" t="n">
        <v>3</v>
      </c>
      <c r="AN746" t="n">
        <v>0</v>
      </c>
      <c r="AO746" t="n">
        <v>0</v>
      </c>
      <c r="AP746" t="inlineStr">
        <is>
          <t>No</t>
        </is>
      </c>
      <c r="AQ746" t="inlineStr">
        <is>
          <t>No</t>
        </is>
      </c>
      <c r="AR746">
        <f>HYPERLINK("http://catalog.hathitrust.org/Record/102582726","HathiTrust Record")</f>
        <v/>
      </c>
      <c r="AS746">
        <f>HYPERLINK("https://creighton-primo.hosted.exlibrisgroup.com/primo-explore/search?tab=default_tab&amp;search_scope=EVERYTHING&amp;vid=01CRU&amp;lang=en_US&amp;offset=0&amp;query=any,contains,991003100619702656","Catalog Record")</f>
        <v/>
      </c>
      <c r="AT746">
        <f>HYPERLINK("http://www.worldcat.org/oclc/649540","WorldCat Record")</f>
        <v/>
      </c>
      <c r="AU746" t="inlineStr">
        <is>
          <t>865289719:eng</t>
        </is>
      </c>
      <c r="AV746" t="inlineStr">
        <is>
          <t>649540</t>
        </is>
      </c>
      <c r="AW746" t="inlineStr">
        <is>
          <t>991003100619702656</t>
        </is>
      </c>
      <c r="AX746" t="inlineStr">
        <is>
          <t>991003100619702656</t>
        </is>
      </c>
      <c r="AY746" t="inlineStr">
        <is>
          <t>2259045310002656</t>
        </is>
      </c>
      <c r="AZ746" t="inlineStr">
        <is>
          <t>BOOK</t>
        </is>
      </c>
      <c r="BC746" t="inlineStr">
        <is>
          <t>32285000687318</t>
        </is>
      </c>
      <c r="BD746" t="inlineStr">
        <is>
          <t>893704902</t>
        </is>
      </c>
    </row>
    <row r="747">
      <c r="A747" t="inlineStr">
        <is>
          <t>No</t>
        </is>
      </c>
      <c r="B747" t="inlineStr">
        <is>
          <t>BT50 .K43 1983</t>
        </is>
      </c>
      <c r="C747" t="inlineStr">
        <is>
          <t>0                      BT 0050000K  43          1983</t>
        </is>
      </c>
      <c r="D747" t="inlineStr">
        <is>
          <t>Faith and reason / Anthony Kenny.</t>
        </is>
      </c>
      <c r="F747" t="inlineStr">
        <is>
          <t>No</t>
        </is>
      </c>
      <c r="G747" t="inlineStr">
        <is>
          <t>1</t>
        </is>
      </c>
      <c r="H747" t="inlineStr">
        <is>
          <t>No</t>
        </is>
      </c>
      <c r="I747" t="inlineStr">
        <is>
          <t>No</t>
        </is>
      </c>
      <c r="J747" t="inlineStr">
        <is>
          <t>0</t>
        </is>
      </c>
      <c r="K747" t="inlineStr">
        <is>
          <t>Kenny, Anthony, 1931-</t>
        </is>
      </c>
      <c r="L747" t="inlineStr">
        <is>
          <t>New York : Columbia University Press, 1983.</t>
        </is>
      </c>
      <c r="M747" t="inlineStr">
        <is>
          <t>1983</t>
        </is>
      </c>
      <c r="O747" t="inlineStr">
        <is>
          <t>eng</t>
        </is>
      </c>
      <c r="P747" t="inlineStr">
        <is>
          <t>nyu</t>
        </is>
      </c>
      <c r="Q747" t="inlineStr">
        <is>
          <t>Bampton lectures in America ; no. 22</t>
        </is>
      </c>
      <c r="R747" t="inlineStr">
        <is>
          <t xml:space="preserve">BT </t>
        </is>
      </c>
      <c r="S747" t="n">
        <v>8</v>
      </c>
      <c r="T747" t="n">
        <v>8</v>
      </c>
      <c r="U747" t="inlineStr">
        <is>
          <t>2005-04-24</t>
        </is>
      </c>
      <c r="V747" t="inlineStr">
        <is>
          <t>2005-04-24</t>
        </is>
      </c>
      <c r="W747" t="inlineStr">
        <is>
          <t>1991-06-21</t>
        </is>
      </c>
      <c r="X747" t="inlineStr">
        <is>
          <t>1991-06-21</t>
        </is>
      </c>
      <c r="Y747" t="n">
        <v>459</v>
      </c>
      <c r="Z747" t="n">
        <v>371</v>
      </c>
      <c r="AA747" t="n">
        <v>376</v>
      </c>
      <c r="AB747" t="n">
        <v>2</v>
      </c>
      <c r="AC747" t="n">
        <v>2</v>
      </c>
      <c r="AD747" t="n">
        <v>21</v>
      </c>
      <c r="AE747" t="n">
        <v>22</v>
      </c>
      <c r="AF747" t="n">
        <v>8</v>
      </c>
      <c r="AG747" t="n">
        <v>8</v>
      </c>
      <c r="AH747" t="n">
        <v>6</v>
      </c>
      <c r="AI747" t="n">
        <v>6</v>
      </c>
      <c r="AJ747" t="n">
        <v>15</v>
      </c>
      <c r="AK747" t="n">
        <v>16</v>
      </c>
      <c r="AL747" t="n">
        <v>1</v>
      </c>
      <c r="AM747" t="n">
        <v>1</v>
      </c>
      <c r="AN747" t="n">
        <v>0</v>
      </c>
      <c r="AO747" t="n">
        <v>0</v>
      </c>
      <c r="AP747" t="inlineStr">
        <is>
          <t>No</t>
        </is>
      </c>
      <c r="AQ747" t="inlineStr">
        <is>
          <t>Yes</t>
        </is>
      </c>
      <c r="AR747">
        <f>HYPERLINK("http://catalog.hathitrust.org/Record/000117643","HathiTrust Record")</f>
        <v/>
      </c>
      <c r="AS747">
        <f>HYPERLINK("https://creighton-primo.hosted.exlibrisgroup.com/primo-explore/search?tab=default_tab&amp;search_scope=EVERYTHING&amp;vid=01CRU&amp;lang=en_US&amp;offset=0&amp;query=any,contains,991000121429702656","Catalog Record")</f>
        <v/>
      </c>
      <c r="AT747">
        <f>HYPERLINK("http://www.worldcat.org/oclc/9066867","WorldCat Record")</f>
        <v/>
      </c>
      <c r="AU747" t="inlineStr">
        <is>
          <t>134135722:eng</t>
        </is>
      </c>
      <c r="AV747" t="inlineStr">
        <is>
          <t>9066867</t>
        </is>
      </c>
      <c r="AW747" t="inlineStr">
        <is>
          <t>991000121429702656</t>
        </is>
      </c>
      <c r="AX747" t="inlineStr">
        <is>
          <t>991000121429702656</t>
        </is>
      </c>
      <c r="AY747" t="inlineStr">
        <is>
          <t>2269718470002656</t>
        </is>
      </c>
      <c r="AZ747" t="inlineStr">
        <is>
          <t>BOOK</t>
        </is>
      </c>
      <c r="BB747" t="inlineStr">
        <is>
          <t>9780231054881</t>
        </is>
      </c>
      <c r="BC747" t="inlineStr">
        <is>
          <t>32285000687334</t>
        </is>
      </c>
      <c r="BD747" t="inlineStr">
        <is>
          <t>893339307</t>
        </is>
      </c>
    </row>
    <row r="748">
      <c r="A748" t="inlineStr">
        <is>
          <t>No</t>
        </is>
      </c>
      <c r="B748" t="inlineStr">
        <is>
          <t>BT50 .M56 1994</t>
        </is>
      </c>
      <c r="C748" t="inlineStr">
        <is>
          <t>0                      BT 0050000M  56          1994</t>
        </is>
      </c>
      <c r="D748" t="inlineStr">
        <is>
          <t>Faith and criticism : the Sarum lectures 1992 / Basil Mitchell.</t>
        </is>
      </c>
      <c r="F748" t="inlineStr">
        <is>
          <t>No</t>
        </is>
      </c>
      <c r="G748" t="inlineStr">
        <is>
          <t>1</t>
        </is>
      </c>
      <c r="H748" t="inlineStr">
        <is>
          <t>No</t>
        </is>
      </c>
      <c r="I748" t="inlineStr">
        <is>
          <t>No</t>
        </is>
      </c>
      <c r="J748" t="inlineStr">
        <is>
          <t>0</t>
        </is>
      </c>
      <c r="K748" t="inlineStr">
        <is>
          <t>Mitchell, Basil, 1917-2011.</t>
        </is>
      </c>
      <c r="L748" t="inlineStr">
        <is>
          <t>Oxford : Clarendon Press ; Oxford ; New York : Oxford University Press, 1994.</t>
        </is>
      </c>
      <c r="M748" t="inlineStr">
        <is>
          <t>1994</t>
        </is>
      </c>
      <c r="O748" t="inlineStr">
        <is>
          <t>eng</t>
        </is>
      </c>
      <c r="P748" t="inlineStr">
        <is>
          <t>enk</t>
        </is>
      </c>
      <c r="R748" t="inlineStr">
        <is>
          <t xml:space="preserve">BT </t>
        </is>
      </c>
      <c r="S748" t="n">
        <v>2</v>
      </c>
      <c r="T748" t="n">
        <v>2</v>
      </c>
      <c r="U748" t="inlineStr">
        <is>
          <t>2008-04-15</t>
        </is>
      </c>
      <c r="V748" t="inlineStr">
        <is>
          <t>2008-04-15</t>
        </is>
      </c>
      <c r="W748" t="inlineStr">
        <is>
          <t>1996-05-28</t>
        </is>
      </c>
      <c r="X748" t="inlineStr">
        <is>
          <t>1996-05-28</t>
        </is>
      </c>
      <c r="Y748" t="n">
        <v>267</v>
      </c>
      <c r="Z748" t="n">
        <v>203</v>
      </c>
      <c r="AA748" t="n">
        <v>260</v>
      </c>
      <c r="AB748" t="n">
        <v>2</v>
      </c>
      <c r="AC748" t="n">
        <v>2</v>
      </c>
      <c r="AD748" t="n">
        <v>15</v>
      </c>
      <c r="AE748" t="n">
        <v>16</v>
      </c>
      <c r="AF748" t="n">
        <v>6</v>
      </c>
      <c r="AG748" t="n">
        <v>7</v>
      </c>
      <c r="AH748" t="n">
        <v>4</v>
      </c>
      <c r="AI748" t="n">
        <v>4</v>
      </c>
      <c r="AJ748" t="n">
        <v>8</v>
      </c>
      <c r="AK748" t="n">
        <v>9</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HYPERLINK("https://creighton-primo.hosted.exlibrisgroup.com/primo-explore/search?tab=default_tab&amp;search_scope=EVERYTHING&amp;vid=01CRU&amp;lang=en_US&amp;offset=0&amp;query=any,contains,991002338769702656","Catalog Record")</f>
        <v/>
      </c>
      <c r="AT748">
        <f>HYPERLINK("http://www.worldcat.org/oclc/30438188","WorldCat Record")</f>
        <v/>
      </c>
      <c r="AU748" t="inlineStr">
        <is>
          <t>864861575:eng</t>
        </is>
      </c>
      <c r="AV748" t="inlineStr">
        <is>
          <t>30438188</t>
        </is>
      </c>
      <c r="AW748" t="inlineStr">
        <is>
          <t>991002338769702656</t>
        </is>
      </c>
      <c r="AX748" t="inlineStr">
        <is>
          <t>991002338769702656</t>
        </is>
      </c>
      <c r="AY748" t="inlineStr">
        <is>
          <t>2270897820002656</t>
        </is>
      </c>
      <c r="AZ748" t="inlineStr">
        <is>
          <t>BOOK</t>
        </is>
      </c>
      <c r="BB748" t="inlineStr">
        <is>
          <t>9780198267584</t>
        </is>
      </c>
      <c r="BC748" t="inlineStr">
        <is>
          <t>32285002178159</t>
        </is>
      </c>
      <c r="BD748" t="inlineStr">
        <is>
          <t>893773492</t>
        </is>
      </c>
    </row>
    <row r="749">
      <c r="A749" t="inlineStr">
        <is>
          <t>No</t>
        </is>
      </c>
      <c r="B749" t="inlineStr">
        <is>
          <t>BT50 .R64 1989</t>
        </is>
      </c>
      <c r="C749" t="inlineStr">
        <is>
          <t>0                      BT 0050000R  64          1989</t>
        </is>
      </c>
      <c r="D749" t="inlineStr">
        <is>
          <t>Romance and the rock : nineteenth-century Catholics on faith and reason / edited by Joseph Fitzer.</t>
        </is>
      </c>
      <c r="F749" t="inlineStr">
        <is>
          <t>No</t>
        </is>
      </c>
      <c r="G749" t="inlineStr">
        <is>
          <t>1</t>
        </is>
      </c>
      <c r="H749" t="inlineStr">
        <is>
          <t>No</t>
        </is>
      </c>
      <c r="I749" t="inlineStr">
        <is>
          <t>No</t>
        </is>
      </c>
      <c r="J749" t="inlineStr">
        <is>
          <t>0</t>
        </is>
      </c>
      <c r="L749" t="inlineStr">
        <is>
          <t>Minneapolis : Fortress Press, c1989.</t>
        </is>
      </c>
      <c r="M749" t="inlineStr">
        <is>
          <t>1989</t>
        </is>
      </c>
      <c r="O749" t="inlineStr">
        <is>
          <t>eng</t>
        </is>
      </c>
      <c r="P749" t="inlineStr">
        <is>
          <t>mnu</t>
        </is>
      </c>
      <c r="Q749" t="inlineStr">
        <is>
          <t>Fortress texts in modern theology</t>
        </is>
      </c>
      <c r="R749" t="inlineStr">
        <is>
          <t xml:space="preserve">BT </t>
        </is>
      </c>
      <c r="S749" t="n">
        <v>1</v>
      </c>
      <c r="T749" t="n">
        <v>1</v>
      </c>
      <c r="U749" t="inlineStr">
        <is>
          <t>1993-09-24</t>
        </is>
      </c>
      <c r="V749" t="inlineStr">
        <is>
          <t>1993-09-24</t>
        </is>
      </c>
      <c r="W749" t="inlineStr">
        <is>
          <t>1991-04-09</t>
        </is>
      </c>
      <c r="X749" t="inlineStr">
        <is>
          <t>1991-04-09</t>
        </is>
      </c>
      <c r="Y749" t="n">
        <v>226</v>
      </c>
      <c r="Z749" t="n">
        <v>188</v>
      </c>
      <c r="AA749" t="n">
        <v>188</v>
      </c>
      <c r="AB749" t="n">
        <v>2</v>
      </c>
      <c r="AC749" t="n">
        <v>2</v>
      </c>
      <c r="AD749" t="n">
        <v>26</v>
      </c>
      <c r="AE749" t="n">
        <v>26</v>
      </c>
      <c r="AF749" t="n">
        <v>9</v>
      </c>
      <c r="AG749" t="n">
        <v>9</v>
      </c>
      <c r="AH749" t="n">
        <v>7</v>
      </c>
      <c r="AI749" t="n">
        <v>7</v>
      </c>
      <c r="AJ749" t="n">
        <v>17</v>
      </c>
      <c r="AK749" t="n">
        <v>17</v>
      </c>
      <c r="AL749" t="n">
        <v>1</v>
      </c>
      <c r="AM749" t="n">
        <v>1</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HYPERLINK("https://creighton-primo.hosted.exlibrisgroup.com/primo-explore/search?tab=default_tab&amp;search_scope=EVERYTHING&amp;vid=01CRU&amp;lang=en_US&amp;offset=0&amp;query=any,contains,991001498379702656","Catalog Record")</f>
        <v/>
      </c>
      <c r="AT749">
        <f>HYPERLINK("http://www.worldcat.org/oclc/19778078","WorldCat Record")</f>
        <v/>
      </c>
      <c r="AU749" t="inlineStr">
        <is>
          <t>21570143:eng</t>
        </is>
      </c>
      <c r="AV749" t="inlineStr">
        <is>
          <t>19778078</t>
        </is>
      </c>
      <c r="AW749" t="inlineStr">
        <is>
          <t>991001498379702656</t>
        </is>
      </c>
      <c r="AX749" t="inlineStr">
        <is>
          <t>991001498379702656</t>
        </is>
      </c>
      <c r="AY749" t="inlineStr">
        <is>
          <t>2265045270002656</t>
        </is>
      </c>
      <c r="AZ749" t="inlineStr">
        <is>
          <t>BOOK</t>
        </is>
      </c>
      <c r="BB749" t="inlineStr">
        <is>
          <t>9780800632076</t>
        </is>
      </c>
      <c r="BC749" t="inlineStr">
        <is>
          <t>32285000567098</t>
        </is>
      </c>
      <c r="BD749" t="inlineStr">
        <is>
          <t>893420369</t>
        </is>
      </c>
    </row>
    <row r="750">
      <c r="A750" t="inlineStr">
        <is>
          <t>No</t>
        </is>
      </c>
      <c r="B750" t="inlineStr">
        <is>
          <t>BT50 .V3613 1989</t>
        </is>
      </c>
      <c r="C750" t="inlineStr">
        <is>
          <t>0                      BT 0050000V  3613        1989</t>
        </is>
      </c>
      <c r="D750" t="inlineStr">
        <is>
          <t>Theology and the justification of faith : constructing theories in systematic theology / by Wentzel van Huyssteen ; translated by H.F. Snijders.</t>
        </is>
      </c>
      <c r="F750" t="inlineStr">
        <is>
          <t>No</t>
        </is>
      </c>
      <c r="G750" t="inlineStr">
        <is>
          <t>1</t>
        </is>
      </c>
      <c r="H750" t="inlineStr">
        <is>
          <t>No</t>
        </is>
      </c>
      <c r="I750" t="inlineStr">
        <is>
          <t>No</t>
        </is>
      </c>
      <c r="J750" t="inlineStr">
        <is>
          <t>0</t>
        </is>
      </c>
      <c r="K750" t="inlineStr">
        <is>
          <t>Van Huyssteen, J. Wentzel (Jacobus Wentzel), 1942-</t>
        </is>
      </c>
      <c r="L750" t="inlineStr">
        <is>
          <t>Grand Rapids, Mich. : Eerdmans, c1989.</t>
        </is>
      </c>
      <c r="M750" t="inlineStr">
        <is>
          <t>1989</t>
        </is>
      </c>
      <c r="O750" t="inlineStr">
        <is>
          <t>eng</t>
        </is>
      </c>
      <c r="P750" t="inlineStr">
        <is>
          <t>miu</t>
        </is>
      </c>
      <c r="R750" t="inlineStr">
        <is>
          <t xml:space="preserve">BT </t>
        </is>
      </c>
      <c r="S750" t="n">
        <v>8</v>
      </c>
      <c r="T750" t="n">
        <v>8</v>
      </c>
      <c r="U750" t="inlineStr">
        <is>
          <t>2006-09-06</t>
        </is>
      </c>
      <c r="V750" t="inlineStr">
        <is>
          <t>2006-09-06</t>
        </is>
      </c>
      <c r="W750" t="inlineStr">
        <is>
          <t>1989-12-05</t>
        </is>
      </c>
      <c r="X750" t="inlineStr">
        <is>
          <t>1989-12-05</t>
        </is>
      </c>
      <c r="Y750" t="n">
        <v>329</v>
      </c>
      <c r="Z750" t="n">
        <v>250</v>
      </c>
      <c r="AA750" t="n">
        <v>250</v>
      </c>
      <c r="AB750" t="n">
        <v>2</v>
      </c>
      <c r="AC750" t="n">
        <v>2</v>
      </c>
      <c r="AD750" t="n">
        <v>12</v>
      </c>
      <c r="AE750" t="n">
        <v>12</v>
      </c>
      <c r="AF750" t="n">
        <v>4</v>
      </c>
      <c r="AG750" t="n">
        <v>4</v>
      </c>
      <c r="AH750" t="n">
        <v>3</v>
      </c>
      <c r="AI750" t="n">
        <v>3</v>
      </c>
      <c r="AJ750" t="n">
        <v>8</v>
      </c>
      <c r="AK750" t="n">
        <v>8</v>
      </c>
      <c r="AL750" t="n">
        <v>1</v>
      </c>
      <c r="AM750" t="n">
        <v>1</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HYPERLINK("https://creighton-primo.hosted.exlibrisgroup.com/primo-explore/search?tab=default_tab&amp;search_scope=EVERYTHING&amp;vid=01CRU&amp;lang=en_US&amp;offset=0&amp;query=any,contains,991001417249702656","Catalog Record")</f>
        <v/>
      </c>
      <c r="AT750">
        <f>HYPERLINK("http://www.worldcat.org/oclc/18950380","WorldCat Record")</f>
        <v/>
      </c>
      <c r="AU750" t="inlineStr">
        <is>
          <t>767132010:eng</t>
        </is>
      </c>
      <c r="AV750" t="inlineStr">
        <is>
          <t>18950380</t>
        </is>
      </c>
      <c r="AW750" t="inlineStr">
        <is>
          <t>991001417249702656</t>
        </is>
      </c>
      <c r="AX750" t="inlineStr">
        <is>
          <t>991001417249702656</t>
        </is>
      </c>
      <c r="AY750" t="inlineStr">
        <is>
          <t>2262554570002656</t>
        </is>
      </c>
      <c r="AZ750" t="inlineStr">
        <is>
          <t>BOOK</t>
        </is>
      </c>
      <c r="BB750" t="inlineStr">
        <is>
          <t>9780802803665</t>
        </is>
      </c>
      <c r="BC750" t="inlineStr">
        <is>
          <t>32285000016674</t>
        </is>
      </c>
      <c r="BD750" t="inlineStr">
        <is>
          <t>893703022</t>
        </is>
      </c>
    </row>
    <row r="751">
      <c r="A751" t="inlineStr">
        <is>
          <t>No</t>
        </is>
      </c>
      <c r="B751" t="inlineStr">
        <is>
          <t>BT50 .W48 1995</t>
        </is>
      </c>
      <c r="C751" t="inlineStr">
        <is>
          <t>0                      BT 0050000W  48          1995</t>
        </is>
      </c>
      <c r="D751" t="inlineStr">
        <is>
          <t>Mediaeval reactions to the encounter between faith and reason / by John F. Wippel.</t>
        </is>
      </c>
      <c r="F751" t="inlineStr">
        <is>
          <t>No</t>
        </is>
      </c>
      <c r="G751" t="inlineStr">
        <is>
          <t>1</t>
        </is>
      </c>
      <c r="H751" t="inlineStr">
        <is>
          <t>No</t>
        </is>
      </c>
      <c r="I751" t="inlineStr">
        <is>
          <t>No</t>
        </is>
      </c>
      <c r="J751" t="inlineStr">
        <is>
          <t>0</t>
        </is>
      </c>
      <c r="K751" t="inlineStr">
        <is>
          <t>Wippel, John F.</t>
        </is>
      </c>
      <c r="L751" t="inlineStr">
        <is>
          <t>Milwaukee : Marquette University Press, 1995.</t>
        </is>
      </c>
      <c r="M751" t="inlineStr">
        <is>
          <t>1995</t>
        </is>
      </c>
      <c r="O751" t="inlineStr">
        <is>
          <t>eng</t>
        </is>
      </c>
      <c r="P751" t="inlineStr">
        <is>
          <t>wiu</t>
        </is>
      </c>
      <c r="Q751" t="inlineStr">
        <is>
          <t>The Aquinas lecture ; 1995</t>
        </is>
      </c>
      <c r="R751" t="inlineStr">
        <is>
          <t xml:space="preserve">BT </t>
        </is>
      </c>
      <c r="S751" t="n">
        <v>2</v>
      </c>
      <c r="T751" t="n">
        <v>2</v>
      </c>
      <c r="U751" t="inlineStr">
        <is>
          <t>2008-02-15</t>
        </is>
      </c>
      <c r="V751" t="inlineStr">
        <is>
          <t>2008-02-15</t>
        </is>
      </c>
      <c r="W751" t="inlineStr">
        <is>
          <t>1995-12-05</t>
        </is>
      </c>
      <c r="X751" t="inlineStr">
        <is>
          <t>1995-12-05</t>
        </is>
      </c>
      <c r="Y751" t="n">
        <v>248</v>
      </c>
      <c r="Z751" t="n">
        <v>202</v>
      </c>
      <c r="AA751" t="n">
        <v>294</v>
      </c>
      <c r="AB751" t="n">
        <v>2</v>
      </c>
      <c r="AC751" t="n">
        <v>2</v>
      </c>
      <c r="AD751" t="n">
        <v>26</v>
      </c>
      <c r="AE751" t="n">
        <v>27</v>
      </c>
      <c r="AF751" t="n">
        <v>8</v>
      </c>
      <c r="AG751" t="n">
        <v>9</v>
      </c>
      <c r="AH751" t="n">
        <v>6</v>
      </c>
      <c r="AI751" t="n">
        <v>6</v>
      </c>
      <c r="AJ751" t="n">
        <v>20</v>
      </c>
      <c r="AK751" t="n">
        <v>20</v>
      </c>
      <c r="AL751" t="n">
        <v>1</v>
      </c>
      <c r="AM751" t="n">
        <v>1</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HYPERLINK("https://creighton-primo.hosted.exlibrisgroup.com/primo-explore/search?tab=default_tab&amp;search_scope=EVERYTHING&amp;vid=01CRU&amp;lang=en_US&amp;offset=0&amp;query=any,contains,991002483839702656","Catalog Record")</f>
        <v/>
      </c>
      <c r="AT751">
        <f>HYPERLINK("http://www.worldcat.org/oclc/32341622","WorldCat Record")</f>
        <v/>
      </c>
      <c r="AU751" t="inlineStr">
        <is>
          <t>36937943:eng</t>
        </is>
      </c>
      <c r="AV751" t="inlineStr">
        <is>
          <t>32341622</t>
        </is>
      </c>
      <c r="AW751" t="inlineStr">
        <is>
          <t>991002483839702656</t>
        </is>
      </c>
      <c r="AX751" t="inlineStr">
        <is>
          <t>991002483839702656</t>
        </is>
      </c>
      <c r="AY751" t="inlineStr">
        <is>
          <t>2258118380002656</t>
        </is>
      </c>
      <c r="AZ751" t="inlineStr">
        <is>
          <t>BOOK</t>
        </is>
      </c>
      <c r="BB751" t="inlineStr">
        <is>
          <t>9780874621624</t>
        </is>
      </c>
      <c r="BC751" t="inlineStr">
        <is>
          <t>32285002108321</t>
        </is>
      </c>
      <c r="BD751" t="inlineStr">
        <is>
          <t>893804652</t>
        </is>
      </c>
    </row>
    <row r="752">
      <c r="A752" t="inlineStr">
        <is>
          <t>No</t>
        </is>
      </c>
      <c r="B752" t="inlineStr">
        <is>
          <t>BT500 .F37 1999</t>
        </is>
      </c>
      <c r="C752" t="inlineStr">
        <is>
          <t>0                      BT 0500000F  37          1999</t>
        </is>
      </c>
      <c r="D752" t="inlineStr">
        <is>
          <t>Ascension and ecclesia : on the significance of the doctrine of the Ascension for ecclesiology and Christian cosmology / Douglas Farrow.</t>
        </is>
      </c>
      <c r="F752" t="inlineStr">
        <is>
          <t>No</t>
        </is>
      </c>
      <c r="G752" t="inlineStr">
        <is>
          <t>1</t>
        </is>
      </c>
      <c r="H752" t="inlineStr">
        <is>
          <t>No</t>
        </is>
      </c>
      <c r="I752" t="inlineStr">
        <is>
          <t>No</t>
        </is>
      </c>
      <c r="J752" t="inlineStr">
        <is>
          <t>0</t>
        </is>
      </c>
      <c r="K752" t="inlineStr">
        <is>
          <t>Farrow, Douglas.</t>
        </is>
      </c>
      <c r="L752" t="inlineStr">
        <is>
          <t>Grand Rapids, Mich. : W.B. Eerdmans Pub., 1999.</t>
        </is>
      </c>
      <c r="M752" t="inlineStr">
        <is>
          <t>1999</t>
        </is>
      </c>
      <c r="O752" t="inlineStr">
        <is>
          <t>eng</t>
        </is>
      </c>
      <c r="P752" t="inlineStr">
        <is>
          <t>miu</t>
        </is>
      </c>
      <c r="R752" t="inlineStr">
        <is>
          <t xml:space="preserve">BT </t>
        </is>
      </c>
      <c r="S752" t="n">
        <v>3</v>
      </c>
      <c r="T752" t="n">
        <v>3</v>
      </c>
      <c r="U752" t="inlineStr">
        <is>
          <t>2000-08-23</t>
        </is>
      </c>
      <c r="V752" t="inlineStr">
        <is>
          <t>2000-08-23</t>
        </is>
      </c>
      <c r="W752" t="inlineStr">
        <is>
          <t>2000-08-22</t>
        </is>
      </c>
      <c r="X752" t="inlineStr">
        <is>
          <t>2000-08-22</t>
        </is>
      </c>
      <c r="Y752" t="n">
        <v>248</v>
      </c>
      <c r="Z752" t="n">
        <v>204</v>
      </c>
      <c r="AA752" t="n">
        <v>558</v>
      </c>
      <c r="AB752" t="n">
        <v>1</v>
      </c>
      <c r="AC752" t="n">
        <v>5</v>
      </c>
      <c r="AD752" t="n">
        <v>17</v>
      </c>
      <c r="AE752" t="n">
        <v>32</v>
      </c>
      <c r="AF752" t="n">
        <v>7</v>
      </c>
      <c r="AG752" t="n">
        <v>13</v>
      </c>
      <c r="AH752" t="n">
        <v>4</v>
      </c>
      <c r="AI752" t="n">
        <v>7</v>
      </c>
      <c r="AJ752" t="n">
        <v>10</v>
      </c>
      <c r="AK752" t="n">
        <v>15</v>
      </c>
      <c r="AL752" t="n">
        <v>0</v>
      </c>
      <c r="AM752" t="n">
        <v>4</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HYPERLINK("https://creighton-primo.hosted.exlibrisgroup.com/primo-explore/search?tab=default_tab&amp;search_scope=EVERYTHING&amp;vid=01CRU&amp;lang=en_US&amp;offset=0&amp;query=any,contains,991003218469702656","Catalog Record")</f>
        <v/>
      </c>
      <c r="AT752">
        <f>HYPERLINK("http://www.worldcat.org/oclc/41944722","WorldCat Record")</f>
        <v/>
      </c>
      <c r="AU752" t="inlineStr">
        <is>
          <t>44939754:eng</t>
        </is>
      </c>
      <c r="AV752" t="inlineStr">
        <is>
          <t>41944722</t>
        </is>
      </c>
      <c r="AW752" t="inlineStr">
        <is>
          <t>991003218469702656</t>
        </is>
      </c>
      <c r="AX752" t="inlineStr">
        <is>
          <t>991003218469702656</t>
        </is>
      </c>
      <c r="AY752" t="inlineStr">
        <is>
          <t>2272069250002656</t>
        </is>
      </c>
      <c r="AZ752" t="inlineStr">
        <is>
          <t>BOOK</t>
        </is>
      </c>
      <c r="BB752" t="inlineStr">
        <is>
          <t>9780802846839</t>
        </is>
      </c>
      <c r="BC752" t="inlineStr">
        <is>
          <t>32285003758413</t>
        </is>
      </c>
      <c r="BD752" t="inlineStr">
        <is>
          <t>893441027</t>
        </is>
      </c>
    </row>
    <row r="753">
      <c r="A753" t="inlineStr">
        <is>
          <t>No</t>
        </is>
      </c>
      <c r="B753" t="inlineStr">
        <is>
          <t>BT500 .P37 1987</t>
        </is>
      </c>
      <c r="C753" t="inlineStr">
        <is>
          <t>0                      BT 0500000P  37          1987</t>
        </is>
      </c>
      <c r="D753" t="inlineStr">
        <is>
          <t>The departure of Jesus in Luke-Acts : the Ascension narratives in context / Mikeal C. Parsons.</t>
        </is>
      </c>
      <c r="F753" t="inlineStr">
        <is>
          <t>No</t>
        </is>
      </c>
      <c r="G753" t="inlineStr">
        <is>
          <t>1</t>
        </is>
      </c>
      <c r="H753" t="inlineStr">
        <is>
          <t>No</t>
        </is>
      </c>
      <c r="I753" t="inlineStr">
        <is>
          <t>No</t>
        </is>
      </c>
      <c r="J753" t="inlineStr">
        <is>
          <t>0</t>
        </is>
      </c>
      <c r="K753" t="inlineStr">
        <is>
          <t>Parsons, Mikeal C. (Mikeal Carl), 1957-</t>
        </is>
      </c>
      <c r="L753" t="inlineStr">
        <is>
          <t>Sheffield : JSOT, c1987.</t>
        </is>
      </c>
      <c r="M753" t="inlineStr">
        <is>
          <t>1987</t>
        </is>
      </c>
      <c r="O753" t="inlineStr">
        <is>
          <t>eng</t>
        </is>
      </c>
      <c r="P753" t="inlineStr">
        <is>
          <t>enk</t>
        </is>
      </c>
      <c r="Q753" t="inlineStr">
        <is>
          <t>Journal for the study of the New Testament. Supplement series, 0143-5108 ; 21</t>
        </is>
      </c>
      <c r="R753" t="inlineStr">
        <is>
          <t xml:space="preserve">BT </t>
        </is>
      </c>
      <c r="S753" t="n">
        <v>5</v>
      </c>
      <c r="T753" t="n">
        <v>5</v>
      </c>
      <c r="U753" t="inlineStr">
        <is>
          <t>2004-04-05</t>
        </is>
      </c>
      <c r="V753" t="inlineStr">
        <is>
          <t>2004-04-05</t>
        </is>
      </c>
      <c r="W753" t="inlineStr">
        <is>
          <t>1991-01-04</t>
        </is>
      </c>
      <c r="X753" t="inlineStr">
        <is>
          <t>1991-01-04</t>
        </is>
      </c>
      <c r="Y753" t="n">
        <v>302</v>
      </c>
      <c r="Z753" t="n">
        <v>189</v>
      </c>
      <c r="AA753" t="n">
        <v>192</v>
      </c>
      <c r="AB753" t="n">
        <v>1</v>
      </c>
      <c r="AC753" t="n">
        <v>1</v>
      </c>
      <c r="AD753" t="n">
        <v>10</v>
      </c>
      <c r="AE753" t="n">
        <v>10</v>
      </c>
      <c r="AF753" t="n">
        <v>3</v>
      </c>
      <c r="AG753" t="n">
        <v>3</v>
      </c>
      <c r="AH753" t="n">
        <v>2</v>
      </c>
      <c r="AI753" t="n">
        <v>2</v>
      </c>
      <c r="AJ753" t="n">
        <v>7</v>
      </c>
      <c r="AK753" t="n">
        <v>7</v>
      </c>
      <c r="AL753" t="n">
        <v>0</v>
      </c>
      <c r="AM753" t="n">
        <v>0</v>
      </c>
      <c r="AN753" t="n">
        <v>0</v>
      </c>
      <c r="AO753" t="n">
        <v>0</v>
      </c>
      <c r="AP753" t="inlineStr">
        <is>
          <t>No</t>
        </is>
      </c>
      <c r="AQ753" t="inlineStr">
        <is>
          <t>Yes</t>
        </is>
      </c>
      <c r="AR753">
        <f>HYPERLINK("http://catalog.hathitrust.org/Record/000907105","HathiTrust Record")</f>
        <v/>
      </c>
      <c r="AS753">
        <f>HYPERLINK("https://creighton-primo.hosted.exlibrisgroup.com/primo-explore/search?tab=default_tab&amp;search_scope=EVERYTHING&amp;vid=01CRU&amp;lang=en_US&amp;offset=0&amp;query=any,contains,991001148849702656","Catalog Record")</f>
        <v/>
      </c>
      <c r="AT753">
        <f>HYPERLINK("http://www.worldcat.org/oclc/59885772","WorldCat Record")</f>
        <v/>
      </c>
      <c r="AU753" t="inlineStr">
        <is>
          <t>840642071:eng</t>
        </is>
      </c>
      <c r="AV753" t="inlineStr">
        <is>
          <t>59885772</t>
        </is>
      </c>
      <c r="AW753" t="inlineStr">
        <is>
          <t>991001148849702656</t>
        </is>
      </c>
      <c r="AX753" t="inlineStr">
        <is>
          <t>991001148849702656</t>
        </is>
      </c>
      <c r="AY753" t="inlineStr">
        <is>
          <t>2269297760002656</t>
        </is>
      </c>
      <c r="AZ753" t="inlineStr">
        <is>
          <t>BOOK</t>
        </is>
      </c>
      <c r="BB753" t="inlineStr">
        <is>
          <t>9781850750765</t>
        </is>
      </c>
      <c r="BC753" t="inlineStr">
        <is>
          <t>32285000407329</t>
        </is>
      </c>
      <c r="BD753" t="inlineStr">
        <is>
          <t>893596234</t>
        </is>
      </c>
    </row>
    <row r="754">
      <c r="A754" t="inlineStr">
        <is>
          <t>No</t>
        </is>
      </c>
      <c r="B754" t="inlineStr">
        <is>
          <t>BT520 .B83 1976</t>
        </is>
      </c>
      <c r="C754" t="inlineStr">
        <is>
          <t>0                      BT 0520000B  83          1976</t>
        </is>
      </c>
      <c r="D754" t="inlineStr">
        <is>
          <t>The forbidden Gospel / J. Edgar Bruns.</t>
        </is>
      </c>
      <c r="F754" t="inlineStr">
        <is>
          <t>No</t>
        </is>
      </c>
      <c r="G754" t="inlineStr">
        <is>
          <t>1</t>
        </is>
      </c>
      <c r="H754" t="inlineStr">
        <is>
          <t>No</t>
        </is>
      </c>
      <c r="I754" t="inlineStr">
        <is>
          <t>No</t>
        </is>
      </c>
      <c r="J754" t="inlineStr">
        <is>
          <t>0</t>
        </is>
      </c>
      <c r="K754" t="inlineStr">
        <is>
          <t>Bruns, J. Edgar, 1923-</t>
        </is>
      </c>
      <c r="L754" t="inlineStr">
        <is>
          <t>New York : Harper &amp; Row, c1976.</t>
        </is>
      </c>
      <c r="M754" t="inlineStr">
        <is>
          <t>1976</t>
        </is>
      </c>
      <c r="N754" t="inlineStr">
        <is>
          <t>1st ed.</t>
        </is>
      </c>
      <c r="O754" t="inlineStr">
        <is>
          <t>eng</t>
        </is>
      </c>
      <c r="P754" t="inlineStr">
        <is>
          <t>nyu</t>
        </is>
      </c>
      <c r="R754" t="inlineStr">
        <is>
          <t xml:space="preserve">BT </t>
        </is>
      </c>
      <c r="S754" t="n">
        <v>6</v>
      </c>
      <c r="T754" t="n">
        <v>6</v>
      </c>
      <c r="U754" t="inlineStr">
        <is>
          <t>1994-04-22</t>
        </is>
      </c>
      <c r="V754" t="inlineStr">
        <is>
          <t>1994-04-22</t>
        </is>
      </c>
      <c r="W754" t="inlineStr">
        <is>
          <t>1991-08-22</t>
        </is>
      </c>
      <c r="X754" t="inlineStr">
        <is>
          <t>1991-08-22</t>
        </is>
      </c>
      <c r="Y754" t="n">
        <v>332</v>
      </c>
      <c r="Z754" t="n">
        <v>297</v>
      </c>
      <c r="AA754" t="n">
        <v>297</v>
      </c>
      <c r="AB754" t="n">
        <v>3</v>
      </c>
      <c r="AC754" t="n">
        <v>3</v>
      </c>
      <c r="AD754" t="n">
        <v>15</v>
      </c>
      <c r="AE754" t="n">
        <v>15</v>
      </c>
      <c r="AF754" t="n">
        <v>4</v>
      </c>
      <c r="AG754" t="n">
        <v>4</v>
      </c>
      <c r="AH754" t="n">
        <v>3</v>
      </c>
      <c r="AI754" t="n">
        <v>3</v>
      </c>
      <c r="AJ754" t="n">
        <v>10</v>
      </c>
      <c r="AK754" t="n">
        <v>10</v>
      </c>
      <c r="AL754" t="n">
        <v>2</v>
      </c>
      <c r="AM754" t="n">
        <v>2</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HYPERLINK("https://creighton-primo.hosted.exlibrisgroup.com/primo-explore/search?tab=default_tab&amp;search_scope=EVERYTHING&amp;vid=01CRU&amp;lang=en_US&amp;offset=0&amp;query=any,contains,991003945409702656","Catalog Record")</f>
        <v/>
      </c>
      <c r="AT754">
        <f>HYPERLINK("http://www.worldcat.org/oclc/1945231","WorldCat Record")</f>
        <v/>
      </c>
      <c r="AU754" t="inlineStr">
        <is>
          <t>3223999:eng</t>
        </is>
      </c>
      <c r="AV754" t="inlineStr">
        <is>
          <t>1945231</t>
        </is>
      </c>
      <c r="AW754" t="inlineStr">
        <is>
          <t>991003945409702656</t>
        </is>
      </c>
      <c r="AX754" t="inlineStr">
        <is>
          <t>991003945409702656</t>
        </is>
      </c>
      <c r="AY754" t="inlineStr">
        <is>
          <t>2265032450002656</t>
        </is>
      </c>
      <c r="AZ754" t="inlineStr">
        <is>
          <t>BOOK</t>
        </is>
      </c>
      <c r="BB754" t="inlineStr">
        <is>
          <t>9780060611491</t>
        </is>
      </c>
      <c r="BC754" t="inlineStr">
        <is>
          <t>32285000746163</t>
        </is>
      </c>
      <c r="BD754" t="inlineStr">
        <is>
          <t>893318621</t>
        </is>
      </c>
    </row>
    <row r="755">
      <c r="A755" t="inlineStr">
        <is>
          <t>No</t>
        </is>
      </c>
      <c r="B755" t="inlineStr">
        <is>
          <t>BT55 .R6 1964</t>
        </is>
      </c>
      <c r="C755" t="inlineStr">
        <is>
          <t>0                      BT 0055000R  6           1964</t>
        </is>
      </c>
      <c r="D755" t="inlineStr">
        <is>
          <t>Honest to God / [by] John A. T. Robinson.</t>
        </is>
      </c>
      <c r="F755" t="inlineStr">
        <is>
          <t>No</t>
        </is>
      </c>
      <c r="G755" t="inlineStr">
        <is>
          <t>1</t>
        </is>
      </c>
      <c r="H755" t="inlineStr">
        <is>
          <t>No</t>
        </is>
      </c>
      <c r="I755" t="inlineStr">
        <is>
          <t>No</t>
        </is>
      </c>
      <c r="J755" t="inlineStr">
        <is>
          <t>0</t>
        </is>
      </c>
      <c r="K755" t="inlineStr">
        <is>
          <t>Robinson, John A. T. (John Arthur Thomas), 1919-1983.</t>
        </is>
      </c>
      <c r="L755" t="inlineStr">
        <is>
          <t>London : SCM Press, [1964, c1963]</t>
        </is>
      </c>
      <c r="M755" t="inlineStr">
        <is>
          <t>1964</t>
        </is>
      </c>
      <c r="O755" t="inlineStr">
        <is>
          <t>eng</t>
        </is>
      </c>
      <c r="P755" t="inlineStr">
        <is>
          <t>enk</t>
        </is>
      </c>
      <c r="R755" t="inlineStr">
        <is>
          <t xml:space="preserve">BT </t>
        </is>
      </c>
      <c r="S755" t="n">
        <v>8</v>
      </c>
      <c r="T755" t="n">
        <v>8</v>
      </c>
      <c r="U755" t="inlineStr">
        <is>
          <t>2008-07-22</t>
        </is>
      </c>
      <c r="V755" t="inlineStr">
        <is>
          <t>2008-07-22</t>
        </is>
      </c>
      <c r="W755" t="inlineStr">
        <is>
          <t>1991-06-21</t>
        </is>
      </c>
      <c r="X755" t="inlineStr">
        <is>
          <t>1991-06-21</t>
        </is>
      </c>
      <c r="Y755" t="n">
        <v>61</v>
      </c>
      <c r="Z755" t="n">
        <v>39</v>
      </c>
      <c r="AA755" t="n">
        <v>1378</v>
      </c>
      <c r="AB755" t="n">
        <v>2</v>
      </c>
      <c r="AC755" t="n">
        <v>12</v>
      </c>
      <c r="AD755" t="n">
        <v>2</v>
      </c>
      <c r="AE755" t="n">
        <v>55</v>
      </c>
      <c r="AF755" t="n">
        <v>0</v>
      </c>
      <c r="AG755" t="n">
        <v>22</v>
      </c>
      <c r="AH755" t="n">
        <v>0</v>
      </c>
      <c r="AI755" t="n">
        <v>9</v>
      </c>
      <c r="AJ755" t="n">
        <v>2</v>
      </c>
      <c r="AK755" t="n">
        <v>27</v>
      </c>
      <c r="AL755" t="n">
        <v>0</v>
      </c>
      <c r="AM755" t="n">
        <v>8</v>
      </c>
      <c r="AN755" t="n">
        <v>0</v>
      </c>
      <c r="AO755" t="n">
        <v>2</v>
      </c>
      <c r="AP755" t="inlineStr">
        <is>
          <t>No</t>
        </is>
      </c>
      <c r="AQ755" t="inlineStr">
        <is>
          <t>No</t>
        </is>
      </c>
      <c r="AS755">
        <f>HYPERLINK("https://creighton-primo.hosted.exlibrisgroup.com/primo-explore/search?tab=default_tab&amp;search_scope=EVERYTHING&amp;vid=01CRU&amp;lang=en_US&amp;offset=0&amp;query=any,contains,991004703299702656","Catalog Record")</f>
        <v/>
      </c>
      <c r="AT755">
        <f>HYPERLINK("http://www.worldcat.org/oclc/4690343","WorldCat Record")</f>
        <v/>
      </c>
      <c r="AU755" t="inlineStr">
        <is>
          <t>19784664:eng</t>
        </is>
      </c>
      <c r="AV755" t="inlineStr">
        <is>
          <t>4690343</t>
        </is>
      </c>
      <c r="AW755" t="inlineStr">
        <is>
          <t>991004703299702656</t>
        </is>
      </c>
      <c r="AX755" t="inlineStr">
        <is>
          <t>991004703299702656</t>
        </is>
      </c>
      <c r="AY755" t="inlineStr">
        <is>
          <t>2258630500002656</t>
        </is>
      </c>
      <c r="AZ755" t="inlineStr">
        <is>
          <t>BOOK</t>
        </is>
      </c>
      <c r="BC755" t="inlineStr">
        <is>
          <t>32285000687375</t>
        </is>
      </c>
      <c r="BD755" t="inlineStr">
        <is>
          <t>893536168</t>
        </is>
      </c>
    </row>
    <row r="756">
      <c r="A756" t="inlineStr">
        <is>
          <t>No</t>
        </is>
      </c>
      <c r="B756" t="inlineStr">
        <is>
          <t>BT580.S7 C47 1992</t>
        </is>
      </c>
      <c r="C756" t="inlineStr">
        <is>
          <t>0                      BT 0580000S  7                  C  47          1992</t>
        </is>
      </c>
      <c r="D756" t="inlineStr">
        <is>
          <t>Moving crucifixes in modern Spain / William A. Christian, Jr.</t>
        </is>
      </c>
      <c r="F756" t="inlineStr">
        <is>
          <t>No</t>
        </is>
      </c>
      <c r="G756" t="inlineStr">
        <is>
          <t>1</t>
        </is>
      </c>
      <c r="H756" t="inlineStr">
        <is>
          <t>No</t>
        </is>
      </c>
      <c r="I756" t="inlineStr">
        <is>
          <t>No</t>
        </is>
      </c>
      <c r="J756" t="inlineStr">
        <is>
          <t>0</t>
        </is>
      </c>
      <c r="K756" t="inlineStr">
        <is>
          <t>Christian, William A., 1944-</t>
        </is>
      </c>
      <c r="L756" t="inlineStr">
        <is>
          <t>Princeton, N.J. : Princeton University Press, c1992.</t>
        </is>
      </c>
      <c r="M756" t="inlineStr">
        <is>
          <t>1992</t>
        </is>
      </c>
      <c r="O756" t="inlineStr">
        <is>
          <t>eng</t>
        </is>
      </c>
      <c r="P756" t="inlineStr">
        <is>
          <t>nju</t>
        </is>
      </c>
      <c r="R756" t="inlineStr">
        <is>
          <t xml:space="preserve">BT </t>
        </is>
      </c>
      <c r="S756" t="n">
        <v>2</v>
      </c>
      <c r="T756" t="n">
        <v>2</v>
      </c>
      <c r="U756" t="inlineStr">
        <is>
          <t>1994-07-23</t>
        </is>
      </c>
      <c r="V756" t="inlineStr">
        <is>
          <t>1994-07-23</t>
        </is>
      </c>
      <c r="W756" t="inlineStr">
        <is>
          <t>1993-12-22</t>
        </is>
      </c>
      <c r="X756" t="inlineStr">
        <is>
          <t>1993-12-22</t>
        </is>
      </c>
      <c r="Y756" t="n">
        <v>335</v>
      </c>
      <c r="Z756" t="n">
        <v>265</v>
      </c>
      <c r="AA756" t="n">
        <v>519</v>
      </c>
      <c r="AB756" t="n">
        <v>2</v>
      </c>
      <c r="AC756" t="n">
        <v>5</v>
      </c>
      <c r="AD756" t="n">
        <v>21</v>
      </c>
      <c r="AE756" t="n">
        <v>34</v>
      </c>
      <c r="AF756" t="n">
        <v>6</v>
      </c>
      <c r="AG756" t="n">
        <v>13</v>
      </c>
      <c r="AH756" t="n">
        <v>6</v>
      </c>
      <c r="AI756" t="n">
        <v>10</v>
      </c>
      <c r="AJ756" t="n">
        <v>16</v>
      </c>
      <c r="AK756" t="n">
        <v>19</v>
      </c>
      <c r="AL756" t="n">
        <v>1</v>
      </c>
      <c r="AM756" t="n">
        <v>3</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HYPERLINK("https://creighton-primo.hosted.exlibrisgroup.com/primo-explore/search?tab=default_tab&amp;search_scope=EVERYTHING&amp;vid=01CRU&amp;lang=en_US&amp;offset=0&amp;query=any,contains,991001897349702656","Catalog Record")</f>
        <v/>
      </c>
      <c r="AT756">
        <f>HYPERLINK("http://www.worldcat.org/oclc/23972773","WorldCat Record")</f>
        <v/>
      </c>
      <c r="AU756" t="inlineStr">
        <is>
          <t>25205680:eng</t>
        </is>
      </c>
      <c r="AV756" t="inlineStr">
        <is>
          <t>23972773</t>
        </is>
      </c>
      <c r="AW756" t="inlineStr">
        <is>
          <t>991001897349702656</t>
        </is>
      </c>
      <c r="AX756" t="inlineStr">
        <is>
          <t>991001897349702656</t>
        </is>
      </c>
      <c r="AY756" t="inlineStr">
        <is>
          <t>2259145730002656</t>
        </is>
      </c>
      <c r="AZ756" t="inlineStr">
        <is>
          <t>BOOK</t>
        </is>
      </c>
      <c r="BB756" t="inlineStr">
        <is>
          <t>9780691073873</t>
        </is>
      </c>
      <c r="BC756" t="inlineStr">
        <is>
          <t>32285001817609</t>
        </is>
      </c>
      <c r="BD756" t="inlineStr">
        <is>
          <t>893226206</t>
        </is>
      </c>
    </row>
    <row r="757">
      <c r="A757" t="inlineStr">
        <is>
          <t>No</t>
        </is>
      </c>
      <c r="B757" t="inlineStr">
        <is>
          <t>BT587.S4 D7 1984</t>
        </is>
      </c>
      <c r="C757" t="inlineStr">
        <is>
          <t>0                      BT 0587000S  4                  D  7           1984</t>
        </is>
      </c>
      <c r="D757" t="inlineStr">
        <is>
          <t>In search of the Shroud of Turin : new light on its history and origins / Robert Drews.</t>
        </is>
      </c>
      <c r="F757" t="inlineStr">
        <is>
          <t>No</t>
        </is>
      </c>
      <c r="G757" t="inlineStr">
        <is>
          <t>1</t>
        </is>
      </c>
      <c r="H757" t="inlineStr">
        <is>
          <t>No</t>
        </is>
      </c>
      <c r="I757" t="inlineStr">
        <is>
          <t>No</t>
        </is>
      </c>
      <c r="J757" t="inlineStr">
        <is>
          <t>0</t>
        </is>
      </c>
      <c r="K757" t="inlineStr">
        <is>
          <t>Drews, Robert.</t>
        </is>
      </c>
      <c r="L757" t="inlineStr">
        <is>
          <t>Totowa, N.J. : Rowman &amp; Allanheld, 1984.</t>
        </is>
      </c>
      <c r="M757" t="inlineStr">
        <is>
          <t>1984</t>
        </is>
      </c>
      <c r="O757" t="inlineStr">
        <is>
          <t>eng</t>
        </is>
      </c>
      <c r="P757" t="inlineStr">
        <is>
          <t>nju</t>
        </is>
      </c>
      <c r="R757" t="inlineStr">
        <is>
          <t xml:space="preserve">BT </t>
        </is>
      </c>
      <c r="S757" t="n">
        <v>2</v>
      </c>
      <c r="T757" t="n">
        <v>2</v>
      </c>
      <c r="U757" t="inlineStr">
        <is>
          <t>1998-04-08</t>
        </is>
      </c>
      <c r="V757" t="inlineStr">
        <is>
          <t>1998-04-08</t>
        </is>
      </c>
      <c r="W757" t="inlineStr">
        <is>
          <t>1991-08-22</t>
        </is>
      </c>
      <c r="X757" t="inlineStr">
        <is>
          <t>1991-08-22</t>
        </is>
      </c>
      <c r="Y757" t="n">
        <v>611</v>
      </c>
      <c r="Z757" t="n">
        <v>569</v>
      </c>
      <c r="AA757" t="n">
        <v>571</v>
      </c>
      <c r="AB757" t="n">
        <v>5</v>
      </c>
      <c r="AC757" t="n">
        <v>5</v>
      </c>
      <c r="AD757" t="n">
        <v>24</v>
      </c>
      <c r="AE757" t="n">
        <v>24</v>
      </c>
      <c r="AF757" t="n">
        <v>8</v>
      </c>
      <c r="AG757" t="n">
        <v>8</v>
      </c>
      <c r="AH757" t="n">
        <v>4</v>
      </c>
      <c r="AI757" t="n">
        <v>4</v>
      </c>
      <c r="AJ757" t="n">
        <v>13</v>
      </c>
      <c r="AK757" t="n">
        <v>13</v>
      </c>
      <c r="AL757" t="n">
        <v>3</v>
      </c>
      <c r="AM757" t="n">
        <v>3</v>
      </c>
      <c r="AN757" t="n">
        <v>0</v>
      </c>
      <c r="AO757" t="n">
        <v>0</v>
      </c>
      <c r="AP757" t="inlineStr">
        <is>
          <t>No</t>
        </is>
      </c>
      <c r="AQ757" t="inlineStr">
        <is>
          <t>Yes</t>
        </is>
      </c>
      <c r="AR757">
        <f>HYPERLINK("http://catalog.hathitrust.org/Record/000410818","HathiTrust Record")</f>
        <v/>
      </c>
      <c r="AS757">
        <f>HYPERLINK("https://creighton-primo.hosted.exlibrisgroup.com/primo-explore/search?tab=default_tab&amp;search_scope=EVERYTHING&amp;vid=01CRU&amp;lang=en_US&amp;offset=0&amp;query=any,contains,991000336079702656","Catalog Record")</f>
        <v/>
      </c>
      <c r="AT757">
        <f>HYPERLINK("http://www.worldcat.org/oclc/10229898","WorldCat Record")</f>
        <v/>
      </c>
      <c r="AU757" t="inlineStr">
        <is>
          <t>3314454:eng</t>
        </is>
      </c>
      <c r="AV757" t="inlineStr">
        <is>
          <t>10229898</t>
        </is>
      </c>
      <c r="AW757" t="inlineStr">
        <is>
          <t>991000336079702656</t>
        </is>
      </c>
      <c r="AX757" t="inlineStr">
        <is>
          <t>991000336079702656</t>
        </is>
      </c>
      <c r="AY757" t="inlineStr">
        <is>
          <t>2264085990002656</t>
        </is>
      </c>
      <c r="AZ757" t="inlineStr">
        <is>
          <t>BOOK</t>
        </is>
      </c>
      <c r="BB757" t="inlineStr">
        <is>
          <t>9780847673490</t>
        </is>
      </c>
      <c r="BC757" t="inlineStr">
        <is>
          <t>32285000746254</t>
        </is>
      </c>
      <c r="BD757" t="inlineStr">
        <is>
          <t>893589356</t>
        </is>
      </c>
    </row>
    <row r="758">
      <c r="A758" t="inlineStr">
        <is>
          <t>No</t>
        </is>
      </c>
      <c r="B758" t="inlineStr">
        <is>
          <t>BT587.S4 H44 1983</t>
        </is>
      </c>
      <c r="C758" t="inlineStr">
        <is>
          <t>0                      BT 0587000S  4                  H  44          1983</t>
        </is>
      </c>
      <c r="D758" t="inlineStr">
        <is>
          <t>Report on the Shroud of Turin / John H. Heller.</t>
        </is>
      </c>
      <c r="F758" t="inlineStr">
        <is>
          <t>No</t>
        </is>
      </c>
      <c r="G758" t="inlineStr">
        <is>
          <t>1</t>
        </is>
      </c>
      <c r="H758" t="inlineStr">
        <is>
          <t>Yes</t>
        </is>
      </c>
      <c r="I758" t="inlineStr">
        <is>
          <t>No</t>
        </is>
      </c>
      <c r="J758" t="inlineStr">
        <is>
          <t>0</t>
        </is>
      </c>
      <c r="K758" t="inlineStr">
        <is>
          <t>Heller, John H. (John Herbert), 1921-1995.</t>
        </is>
      </c>
      <c r="L758" t="inlineStr">
        <is>
          <t>Boston : Houghton Mifflin, 1983.</t>
        </is>
      </c>
      <c r="M758" t="inlineStr">
        <is>
          <t>1983</t>
        </is>
      </c>
      <c r="O758" t="inlineStr">
        <is>
          <t>eng</t>
        </is>
      </c>
      <c r="P758" t="inlineStr">
        <is>
          <t>mau</t>
        </is>
      </c>
      <c r="R758" t="inlineStr">
        <is>
          <t xml:space="preserve">BT </t>
        </is>
      </c>
      <c r="S758" t="n">
        <v>1</v>
      </c>
      <c r="T758" t="n">
        <v>2</v>
      </c>
      <c r="U758" t="inlineStr">
        <is>
          <t>2006-02-21</t>
        </is>
      </c>
      <c r="V758" t="inlineStr">
        <is>
          <t>2006-02-21</t>
        </is>
      </c>
      <c r="W758" t="inlineStr">
        <is>
          <t>1991-08-29</t>
        </is>
      </c>
      <c r="X758" t="inlineStr">
        <is>
          <t>1991-08-29</t>
        </is>
      </c>
      <c r="Y758" t="n">
        <v>1302</v>
      </c>
      <c r="Z758" t="n">
        <v>1235</v>
      </c>
      <c r="AA758" t="n">
        <v>1273</v>
      </c>
      <c r="AB758" t="n">
        <v>12</v>
      </c>
      <c r="AC758" t="n">
        <v>12</v>
      </c>
      <c r="AD758" t="n">
        <v>37</v>
      </c>
      <c r="AE758" t="n">
        <v>38</v>
      </c>
      <c r="AF758" t="n">
        <v>17</v>
      </c>
      <c r="AG758" t="n">
        <v>17</v>
      </c>
      <c r="AH758" t="n">
        <v>6</v>
      </c>
      <c r="AI758" t="n">
        <v>6</v>
      </c>
      <c r="AJ758" t="n">
        <v>18</v>
      </c>
      <c r="AK758" t="n">
        <v>19</v>
      </c>
      <c r="AL758" t="n">
        <v>4</v>
      </c>
      <c r="AM758" t="n">
        <v>4</v>
      </c>
      <c r="AN758" t="n">
        <v>0</v>
      </c>
      <c r="AO758" t="n">
        <v>0</v>
      </c>
      <c r="AP758" t="inlineStr">
        <is>
          <t>No</t>
        </is>
      </c>
      <c r="AQ758" t="inlineStr">
        <is>
          <t>Yes</t>
        </is>
      </c>
      <c r="AR758">
        <f>HYPERLINK("http://catalog.hathitrust.org/Record/000244204","HathiTrust Record")</f>
        <v/>
      </c>
      <c r="AS758">
        <f>HYPERLINK("https://creighton-primo.hosted.exlibrisgroup.com/primo-explore/search?tab=default_tab&amp;search_scope=EVERYTHING&amp;vid=01CRU&amp;lang=en_US&amp;offset=0&amp;query=any,contains,991001763319702656","Catalog Record")</f>
        <v/>
      </c>
      <c r="AT758">
        <f>HYPERLINK("http://www.worldcat.org/oclc/9219465","WorldCat Record")</f>
        <v/>
      </c>
      <c r="AU758" t="inlineStr">
        <is>
          <t>1909646057:eng</t>
        </is>
      </c>
      <c r="AV758" t="inlineStr">
        <is>
          <t>9219465</t>
        </is>
      </c>
      <c r="AW758" t="inlineStr">
        <is>
          <t>991001763319702656</t>
        </is>
      </c>
      <c r="AX758" t="inlineStr">
        <is>
          <t>991001763319702656</t>
        </is>
      </c>
      <c r="AY758" t="inlineStr">
        <is>
          <t>2268234270002656</t>
        </is>
      </c>
      <c r="AZ758" t="inlineStr">
        <is>
          <t>BOOK</t>
        </is>
      </c>
      <c r="BB758" t="inlineStr">
        <is>
          <t>9780395339671</t>
        </is>
      </c>
      <c r="BC758" t="inlineStr">
        <is>
          <t>32285000746262</t>
        </is>
      </c>
      <c r="BD758" t="inlineStr">
        <is>
          <t>893779049</t>
        </is>
      </c>
    </row>
    <row r="759">
      <c r="A759" t="inlineStr">
        <is>
          <t>No</t>
        </is>
      </c>
      <c r="B759" t="inlineStr">
        <is>
          <t>BT587.S4 H82 1936</t>
        </is>
      </c>
      <c r="C759" t="inlineStr">
        <is>
          <t>0                      BT 0587000S  4                  H  82          1936</t>
        </is>
      </c>
      <c r="D759" t="inlineStr">
        <is>
          <t>Science and the Holy Shroud : an examination into the sacred passion and the direct cause of Christ's death / R. W. Hynek. Freely translated from the Czech by Dom Augustine Studeny.</t>
        </is>
      </c>
      <c r="F759" t="inlineStr">
        <is>
          <t>No</t>
        </is>
      </c>
      <c r="G759" t="inlineStr">
        <is>
          <t>1</t>
        </is>
      </c>
      <c r="H759" t="inlineStr">
        <is>
          <t>No</t>
        </is>
      </c>
      <c r="I759" t="inlineStr">
        <is>
          <t>No</t>
        </is>
      </c>
      <c r="J759" t="inlineStr">
        <is>
          <t>0</t>
        </is>
      </c>
      <c r="K759" t="inlineStr">
        <is>
          <t>Hynek, Rudolf Maria, 1883-1952.</t>
        </is>
      </c>
      <c r="L759" t="inlineStr">
        <is>
          <t>Chicago : Benedictine Press, [1936]</t>
        </is>
      </c>
      <c r="M759" t="inlineStr">
        <is>
          <t>1936</t>
        </is>
      </c>
      <c r="O759" t="inlineStr">
        <is>
          <t>eng</t>
        </is>
      </c>
      <c r="P759" t="inlineStr">
        <is>
          <t xml:space="preserve">xx </t>
        </is>
      </c>
      <c r="R759" t="inlineStr">
        <is>
          <t xml:space="preserve">BT </t>
        </is>
      </c>
      <c r="S759" t="n">
        <v>5</v>
      </c>
      <c r="T759" t="n">
        <v>5</v>
      </c>
      <c r="U759" t="inlineStr">
        <is>
          <t>2006-02-21</t>
        </is>
      </c>
      <c r="V759" t="inlineStr">
        <is>
          <t>2006-02-21</t>
        </is>
      </c>
      <c r="W759" t="inlineStr">
        <is>
          <t>1991-08-29</t>
        </is>
      </c>
      <c r="X759" t="inlineStr">
        <is>
          <t>1991-08-29</t>
        </is>
      </c>
      <c r="Y759" t="n">
        <v>52</v>
      </c>
      <c r="Z759" t="n">
        <v>52</v>
      </c>
      <c r="AA759" t="n">
        <v>53</v>
      </c>
      <c r="AB759" t="n">
        <v>3</v>
      </c>
      <c r="AC759" t="n">
        <v>3</v>
      </c>
      <c r="AD759" t="n">
        <v>8</v>
      </c>
      <c r="AE759" t="n">
        <v>8</v>
      </c>
      <c r="AF759" t="n">
        <v>0</v>
      </c>
      <c r="AG759" t="n">
        <v>0</v>
      </c>
      <c r="AH759" t="n">
        <v>3</v>
      </c>
      <c r="AI759" t="n">
        <v>3</v>
      </c>
      <c r="AJ759" t="n">
        <v>5</v>
      </c>
      <c r="AK759" t="n">
        <v>5</v>
      </c>
      <c r="AL759" t="n">
        <v>1</v>
      </c>
      <c r="AM759" t="n">
        <v>1</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HYPERLINK("https://creighton-primo.hosted.exlibrisgroup.com/primo-explore/search?tab=default_tab&amp;search_scope=EVERYTHING&amp;vid=01CRU&amp;lang=en_US&amp;offset=0&amp;query=any,contains,991004280089702656","Catalog Record")</f>
        <v/>
      </c>
      <c r="AT759">
        <f>HYPERLINK("http://www.worldcat.org/oclc/2908076","WorldCat Record")</f>
        <v/>
      </c>
      <c r="AU759" t="inlineStr">
        <is>
          <t>4073030638:eng</t>
        </is>
      </c>
      <c r="AV759" t="inlineStr">
        <is>
          <t>2908076</t>
        </is>
      </c>
      <c r="AW759" t="inlineStr">
        <is>
          <t>991004280089702656</t>
        </is>
      </c>
      <c r="AX759" t="inlineStr">
        <is>
          <t>991004280089702656</t>
        </is>
      </c>
      <c r="AY759" t="inlineStr">
        <is>
          <t>2270712430002656</t>
        </is>
      </c>
      <c r="AZ759" t="inlineStr">
        <is>
          <t>BOOK</t>
        </is>
      </c>
      <c r="BC759" t="inlineStr">
        <is>
          <t>32285000746270</t>
        </is>
      </c>
      <c r="BD759" t="inlineStr">
        <is>
          <t>893901038</t>
        </is>
      </c>
    </row>
    <row r="760">
      <c r="A760" t="inlineStr">
        <is>
          <t>No</t>
        </is>
      </c>
      <c r="B760" t="inlineStr">
        <is>
          <t>BT587.S4 M43 1999</t>
        </is>
      </c>
      <c r="C760" t="inlineStr">
        <is>
          <t>0                      BT 0587000S  4                  M  43          1999</t>
        </is>
      </c>
      <c r="D760" t="inlineStr">
        <is>
          <t>Judgment day for the Shroud of Turin / Walter C. McCrone ; foreword by David A. Stoney.</t>
        </is>
      </c>
      <c r="F760" t="inlineStr">
        <is>
          <t>No</t>
        </is>
      </c>
      <c r="G760" t="inlineStr">
        <is>
          <t>1</t>
        </is>
      </c>
      <c r="H760" t="inlineStr">
        <is>
          <t>No</t>
        </is>
      </c>
      <c r="I760" t="inlineStr">
        <is>
          <t>No</t>
        </is>
      </c>
      <c r="J760" t="inlineStr">
        <is>
          <t>0</t>
        </is>
      </c>
      <c r="K760" t="inlineStr">
        <is>
          <t>McCrone, Walter C.</t>
        </is>
      </c>
      <c r="L760" t="inlineStr">
        <is>
          <t>Amherst, N.Y. : Prometheus Books, 1999.</t>
        </is>
      </c>
      <c r="M760" t="inlineStr">
        <is>
          <t>1999</t>
        </is>
      </c>
      <c r="O760" t="inlineStr">
        <is>
          <t>eng</t>
        </is>
      </c>
      <c r="P760" t="inlineStr">
        <is>
          <t>nyu</t>
        </is>
      </c>
      <c r="R760" t="inlineStr">
        <is>
          <t xml:space="preserve">BT </t>
        </is>
      </c>
      <c r="S760" t="n">
        <v>5</v>
      </c>
      <c r="T760" t="n">
        <v>5</v>
      </c>
      <c r="U760" t="inlineStr">
        <is>
          <t>2009-11-15</t>
        </is>
      </c>
      <c r="V760" t="inlineStr">
        <is>
          <t>2009-11-15</t>
        </is>
      </c>
      <c r="W760" t="inlineStr">
        <is>
          <t>2001-12-20</t>
        </is>
      </c>
      <c r="X760" t="inlineStr">
        <is>
          <t>2001-12-20</t>
        </is>
      </c>
      <c r="Y760" t="n">
        <v>159</v>
      </c>
      <c r="Z760" t="n">
        <v>149</v>
      </c>
      <c r="AA760" t="n">
        <v>152</v>
      </c>
      <c r="AB760" t="n">
        <v>2</v>
      </c>
      <c r="AC760" t="n">
        <v>2</v>
      </c>
      <c r="AD760" t="n">
        <v>10</v>
      </c>
      <c r="AE760" t="n">
        <v>10</v>
      </c>
      <c r="AF760" t="n">
        <v>2</v>
      </c>
      <c r="AG760" t="n">
        <v>2</v>
      </c>
      <c r="AH760" t="n">
        <v>3</v>
      </c>
      <c r="AI760" t="n">
        <v>3</v>
      </c>
      <c r="AJ760" t="n">
        <v>7</v>
      </c>
      <c r="AK760" t="n">
        <v>7</v>
      </c>
      <c r="AL760" t="n">
        <v>1</v>
      </c>
      <c r="AM760" t="n">
        <v>1</v>
      </c>
      <c r="AN760" t="n">
        <v>0</v>
      </c>
      <c r="AO760" t="n">
        <v>0</v>
      </c>
      <c r="AP760" t="inlineStr">
        <is>
          <t>No</t>
        </is>
      </c>
      <c r="AQ760" t="inlineStr">
        <is>
          <t>Yes</t>
        </is>
      </c>
      <c r="AR760">
        <f>HYPERLINK("http://catalog.hathitrust.org/Record/009818369","HathiTrust Record")</f>
        <v/>
      </c>
      <c r="AS760">
        <f>HYPERLINK("https://creighton-primo.hosted.exlibrisgroup.com/primo-explore/search?tab=default_tab&amp;search_scope=EVERYTHING&amp;vid=01CRU&amp;lang=en_US&amp;offset=0&amp;query=any,contains,991003668119702656","Catalog Record")</f>
        <v/>
      </c>
      <c r="AT760">
        <f>HYPERLINK("http://www.worldcat.org/oclc/40403671","WorldCat Record")</f>
        <v/>
      </c>
      <c r="AU760" t="inlineStr">
        <is>
          <t>1809679681:eng</t>
        </is>
      </c>
      <c r="AV760" t="inlineStr">
        <is>
          <t>40403671</t>
        </is>
      </c>
      <c r="AW760" t="inlineStr">
        <is>
          <t>991003668119702656</t>
        </is>
      </c>
      <c r="AX760" t="inlineStr">
        <is>
          <t>991003668119702656</t>
        </is>
      </c>
      <c r="AY760" t="inlineStr">
        <is>
          <t>2256334710002656</t>
        </is>
      </c>
      <c r="AZ760" t="inlineStr">
        <is>
          <t>BOOK</t>
        </is>
      </c>
      <c r="BB760" t="inlineStr">
        <is>
          <t>9781573926799</t>
        </is>
      </c>
      <c r="BC760" t="inlineStr">
        <is>
          <t>32285004429873</t>
        </is>
      </c>
      <c r="BD760" t="inlineStr">
        <is>
          <t>893410526</t>
        </is>
      </c>
    </row>
    <row r="761">
      <c r="A761" t="inlineStr">
        <is>
          <t>No</t>
        </is>
      </c>
      <c r="B761" t="inlineStr">
        <is>
          <t>BT587.S4 O2 1955</t>
        </is>
      </c>
      <c r="C761" t="inlineStr">
        <is>
          <t>0                      BT 0587000S  4                  O  2           1955</t>
        </is>
      </c>
      <c r="D761" t="inlineStr">
        <is>
          <t>New light on the Passion of Our Divine Lord : from a comparsion between the evidence from the Holy Shroud and the visions of St. Bridget of Sweden and other contemplatives / by Patrick O'Connell.</t>
        </is>
      </c>
      <c r="F761" t="inlineStr">
        <is>
          <t>No</t>
        </is>
      </c>
      <c r="G761" t="inlineStr">
        <is>
          <t>1</t>
        </is>
      </c>
      <c r="H761" t="inlineStr">
        <is>
          <t>No</t>
        </is>
      </c>
      <c r="I761" t="inlineStr">
        <is>
          <t>No</t>
        </is>
      </c>
      <c r="J761" t="inlineStr">
        <is>
          <t>0</t>
        </is>
      </c>
      <c r="K761" t="inlineStr">
        <is>
          <t>O'Connell, Patrick.</t>
        </is>
      </c>
      <c r="L761" t="inlineStr">
        <is>
          <t>Dublin : M.H. Gill, 1955.</t>
        </is>
      </c>
      <c r="M761" t="inlineStr">
        <is>
          <t>1955</t>
        </is>
      </c>
      <c r="N761" t="inlineStr">
        <is>
          <t>1st ed.</t>
        </is>
      </c>
      <c r="O761" t="inlineStr">
        <is>
          <t>eng</t>
        </is>
      </c>
      <c r="P761" t="inlineStr">
        <is>
          <t xml:space="preserve">ie </t>
        </is>
      </c>
      <c r="R761" t="inlineStr">
        <is>
          <t xml:space="preserve">BT </t>
        </is>
      </c>
      <c r="S761" t="n">
        <v>3</v>
      </c>
      <c r="T761" t="n">
        <v>3</v>
      </c>
      <c r="U761" t="inlineStr">
        <is>
          <t>1999-11-29</t>
        </is>
      </c>
      <c r="V761" t="inlineStr">
        <is>
          <t>1999-11-29</t>
        </is>
      </c>
      <c r="W761" t="inlineStr">
        <is>
          <t>1991-08-29</t>
        </is>
      </c>
      <c r="X761" t="inlineStr">
        <is>
          <t>1991-08-29</t>
        </is>
      </c>
      <c r="Y761" t="n">
        <v>20</v>
      </c>
      <c r="Z761" t="n">
        <v>11</v>
      </c>
      <c r="AA761" t="n">
        <v>25</v>
      </c>
      <c r="AB761" t="n">
        <v>1</v>
      </c>
      <c r="AC761" t="n">
        <v>1</v>
      </c>
      <c r="AD761" t="n">
        <v>3</v>
      </c>
      <c r="AE761" t="n">
        <v>6</v>
      </c>
      <c r="AF761" t="n">
        <v>1</v>
      </c>
      <c r="AG761" t="n">
        <v>2</v>
      </c>
      <c r="AH761" t="n">
        <v>1</v>
      </c>
      <c r="AI761" t="n">
        <v>2</v>
      </c>
      <c r="AJ761" t="n">
        <v>2</v>
      </c>
      <c r="AK761" t="n">
        <v>4</v>
      </c>
      <c r="AL761" t="n">
        <v>0</v>
      </c>
      <c r="AM761" t="n">
        <v>0</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HYPERLINK("https://creighton-primo.hosted.exlibrisgroup.com/primo-explore/search?tab=default_tab&amp;search_scope=EVERYTHING&amp;vid=01CRU&amp;lang=en_US&amp;offset=0&amp;query=any,contains,991000851689702656","Catalog Record")</f>
        <v/>
      </c>
      <c r="AT761">
        <f>HYPERLINK("http://www.worldcat.org/oclc/13586374","WorldCat Record")</f>
        <v/>
      </c>
      <c r="AU761" t="inlineStr">
        <is>
          <t>434477158:eng</t>
        </is>
      </c>
      <c r="AV761" t="inlineStr">
        <is>
          <t>13586374</t>
        </is>
      </c>
      <c r="AW761" t="inlineStr">
        <is>
          <t>991000851689702656</t>
        </is>
      </c>
      <c r="AX761" t="inlineStr">
        <is>
          <t>991000851689702656</t>
        </is>
      </c>
      <c r="AY761" t="inlineStr">
        <is>
          <t>2257148480002656</t>
        </is>
      </c>
      <c r="AZ761" t="inlineStr">
        <is>
          <t>BOOK</t>
        </is>
      </c>
      <c r="BC761" t="inlineStr">
        <is>
          <t>32285000746304</t>
        </is>
      </c>
      <c r="BD761" t="inlineStr">
        <is>
          <t>893903186</t>
        </is>
      </c>
    </row>
    <row r="762">
      <c r="A762" t="inlineStr">
        <is>
          <t>No</t>
        </is>
      </c>
      <c r="B762" t="inlineStr">
        <is>
          <t>BT587.S4 R52 1972</t>
        </is>
      </c>
      <c r="C762" t="inlineStr">
        <is>
          <t>0                      BT 0587000S  4                  R  52          1972</t>
        </is>
      </c>
      <c r="D762" t="inlineStr">
        <is>
          <t>It is the Lord : a study of the Shroud of Christ / Peter M. Rinaldi.</t>
        </is>
      </c>
      <c r="F762" t="inlineStr">
        <is>
          <t>No</t>
        </is>
      </c>
      <c r="G762" t="inlineStr">
        <is>
          <t>1</t>
        </is>
      </c>
      <c r="H762" t="inlineStr">
        <is>
          <t>No</t>
        </is>
      </c>
      <c r="I762" t="inlineStr">
        <is>
          <t>No</t>
        </is>
      </c>
      <c r="J762" t="inlineStr">
        <is>
          <t>0</t>
        </is>
      </c>
      <c r="K762" t="inlineStr">
        <is>
          <t>Rinaldi, Peter M.</t>
        </is>
      </c>
      <c r="L762" t="inlineStr">
        <is>
          <t>New York : Vantage Press, [1972]</t>
        </is>
      </c>
      <c r="M762" t="inlineStr">
        <is>
          <t>1972</t>
        </is>
      </c>
      <c r="N762" t="inlineStr">
        <is>
          <t>[1st ed.]</t>
        </is>
      </c>
      <c r="O762" t="inlineStr">
        <is>
          <t>eng</t>
        </is>
      </c>
      <c r="P762" t="inlineStr">
        <is>
          <t>___</t>
        </is>
      </c>
      <c r="R762" t="inlineStr">
        <is>
          <t xml:space="preserve">BT </t>
        </is>
      </c>
      <c r="S762" t="n">
        <v>4</v>
      </c>
      <c r="T762" t="n">
        <v>4</v>
      </c>
      <c r="U762" t="inlineStr">
        <is>
          <t>1999-11-29</t>
        </is>
      </c>
      <c r="V762" t="inlineStr">
        <is>
          <t>1999-11-29</t>
        </is>
      </c>
      <c r="W762" t="inlineStr">
        <is>
          <t>1991-08-29</t>
        </is>
      </c>
      <c r="X762" t="inlineStr">
        <is>
          <t>1991-08-29</t>
        </is>
      </c>
      <c r="Y762" t="n">
        <v>80</v>
      </c>
      <c r="Z762" t="n">
        <v>74</v>
      </c>
      <c r="AA762" t="n">
        <v>150</v>
      </c>
      <c r="AB762" t="n">
        <v>2</v>
      </c>
      <c r="AC762" t="n">
        <v>4</v>
      </c>
      <c r="AD762" t="n">
        <v>10</v>
      </c>
      <c r="AE762" t="n">
        <v>12</v>
      </c>
      <c r="AF762" t="n">
        <v>2</v>
      </c>
      <c r="AG762" t="n">
        <v>2</v>
      </c>
      <c r="AH762" t="n">
        <v>3</v>
      </c>
      <c r="AI762" t="n">
        <v>4</v>
      </c>
      <c r="AJ762" t="n">
        <v>8</v>
      </c>
      <c r="AK762" t="n">
        <v>8</v>
      </c>
      <c r="AL762" t="n">
        <v>0</v>
      </c>
      <c r="AM762" t="n">
        <v>1</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HYPERLINK("https://creighton-primo.hosted.exlibrisgroup.com/primo-explore/search?tab=default_tab&amp;search_scope=EVERYTHING&amp;vid=01CRU&amp;lang=en_US&amp;offset=0&amp;query=any,contains,991003077949702656","Catalog Record")</f>
        <v/>
      </c>
      <c r="AT762">
        <f>HYPERLINK("http://www.worldcat.org/oclc/631044","WorldCat Record")</f>
        <v/>
      </c>
      <c r="AU762" t="inlineStr">
        <is>
          <t>1740819:eng</t>
        </is>
      </c>
      <c r="AV762" t="inlineStr">
        <is>
          <t>631044</t>
        </is>
      </c>
      <c r="AW762" t="inlineStr">
        <is>
          <t>991003077949702656</t>
        </is>
      </c>
      <c r="AX762" t="inlineStr">
        <is>
          <t>991003077949702656</t>
        </is>
      </c>
      <c r="AY762" t="inlineStr">
        <is>
          <t>2263150370002656</t>
        </is>
      </c>
      <c r="AZ762" t="inlineStr">
        <is>
          <t>BOOK</t>
        </is>
      </c>
      <c r="BC762" t="inlineStr">
        <is>
          <t>32285000746312</t>
        </is>
      </c>
      <c r="BD762" t="inlineStr">
        <is>
          <t>893530824</t>
        </is>
      </c>
    </row>
    <row r="763">
      <c r="A763" t="inlineStr">
        <is>
          <t>No</t>
        </is>
      </c>
      <c r="B763" t="inlineStr">
        <is>
          <t>BT587.S4 S74</t>
        </is>
      </c>
      <c r="C763" t="inlineStr">
        <is>
          <t>0                      BT 0587000S  4                  S  74</t>
        </is>
      </c>
      <c r="D763" t="inlineStr">
        <is>
          <t>Verdict on the shroud : evidence for the death and resurrection of Jesus Christ / Kenneth E. Stevenson, Gary R. Habermas.</t>
        </is>
      </c>
      <c r="F763" t="inlineStr">
        <is>
          <t>No</t>
        </is>
      </c>
      <c r="G763" t="inlineStr">
        <is>
          <t>1</t>
        </is>
      </c>
      <c r="H763" t="inlineStr">
        <is>
          <t>No</t>
        </is>
      </c>
      <c r="I763" t="inlineStr">
        <is>
          <t>No</t>
        </is>
      </c>
      <c r="J763" t="inlineStr">
        <is>
          <t>0</t>
        </is>
      </c>
      <c r="K763" t="inlineStr">
        <is>
          <t>Stevenson, Kenneth E.</t>
        </is>
      </c>
      <c r="L763" t="inlineStr">
        <is>
          <t>Ann Arbor, Mich. : Servant Books, c1981.</t>
        </is>
      </c>
      <c r="M763" t="inlineStr">
        <is>
          <t>1981</t>
        </is>
      </c>
      <c r="O763" t="inlineStr">
        <is>
          <t>eng</t>
        </is>
      </c>
      <c r="P763" t="inlineStr">
        <is>
          <t>miu</t>
        </is>
      </c>
      <c r="R763" t="inlineStr">
        <is>
          <t xml:space="preserve">BT </t>
        </is>
      </c>
      <c r="S763" t="n">
        <v>4</v>
      </c>
      <c r="T763" t="n">
        <v>4</v>
      </c>
      <c r="U763" t="inlineStr">
        <is>
          <t>1999-11-29</t>
        </is>
      </c>
      <c r="V763" t="inlineStr">
        <is>
          <t>1999-11-29</t>
        </is>
      </c>
      <c r="W763" t="inlineStr">
        <is>
          <t>1991-08-29</t>
        </is>
      </c>
      <c r="X763" t="inlineStr">
        <is>
          <t>1991-08-29</t>
        </is>
      </c>
      <c r="Y763" t="n">
        <v>887</v>
      </c>
      <c r="Z763" t="n">
        <v>841</v>
      </c>
      <c r="AA763" t="n">
        <v>939</v>
      </c>
      <c r="AB763" t="n">
        <v>11</v>
      </c>
      <c r="AC763" t="n">
        <v>11</v>
      </c>
      <c r="AD763" t="n">
        <v>39</v>
      </c>
      <c r="AE763" t="n">
        <v>40</v>
      </c>
      <c r="AF763" t="n">
        <v>14</v>
      </c>
      <c r="AG763" t="n">
        <v>14</v>
      </c>
      <c r="AH763" t="n">
        <v>8</v>
      </c>
      <c r="AI763" t="n">
        <v>8</v>
      </c>
      <c r="AJ763" t="n">
        <v>21</v>
      </c>
      <c r="AK763" t="n">
        <v>22</v>
      </c>
      <c r="AL763" t="n">
        <v>6</v>
      </c>
      <c r="AM763" t="n">
        <v>6</v>
      </c>
      <c r="AN763" t="n">
        <v>0</v>
      </c>
      <c r="AO763" t="n">
        <v>0</v>
      </c>
      <c r="AP763" t="inlineStr">
        <is>
          <t>No</t>
        </is>
      </c>
      <c r="AQ763" t="inlineStr">
        <is>
          <t>Yes</t>
        </is>
      </c>
      <c r="AR763">
        <f>HYPERLINK("http://catalog.hathitrust.org/Record/000116370","HathiTrust Record")</f>
        <v/>
      </c>
      <c r="AS763">
        <f>HYPERLINK("https://creighton-primo.hosted.exlibrisgroup.com/primo-explore/search?tab=default_tab&amp;search_scope=EVERYTHING&amp;vid=01CRU&amp;lang=en_US&amp;offset=0&amp;query=any,contains,991005174429702656","Catalog Record")</f>
        <v/>
      </c>
      <c r="AT763">
        <f>HYPERLINK("http://www.worldcat.org/oclc/7897516","WorldCat Record")</f>
        <v/>
      </c>
      <c r="AU763" t="inlineStr">
        <is>
          <t>1007213705:eng</t>
        </is>
      </c>
      <c r="AV763" t="inlineStr">
        <is>
          <t>7897516</t>
        </is>
      </c>
      <c r="AW763" t="inlineStr">
        <is>
          <t>991005174429702656</t>
        </is>
      </c>
      <c r="AX763" t="inlineStr">
        <is>
          <t>991005174429702656</t>
        </is>
      </c>
      <c r="AY763" t="inlineStr">
        <is>
          <t>2260095050002656</t>
        </is>
      </c>
      <c r="AZ763" t="inlineStr">
        <is>
          <t>BOOK</t>
        </is>
      </c>
      <c r="BB763" t="inlineStr">
        <is>
          <t>9780892831111</t>
        </is>
      </c>
      <c r="BC763" t="inlineStr">
        <is>
          <t>32285000746338</t>
        </is>
      </c>
      <c r="BD763" t="inlineStr">
        <is>
          <t>893320155</t>
        </is>
      </c>
    </row>
    <row r="764">
      <c r="A764" t="inlineStr">
        <is>
          <t>No</t>
        </is>
      </c>
      <c r="B764" t="inlineStr">
        <is>
          <t>BT587.S4 W3 1963</t>
        </is>
      </c>
      <c r="C764" t="inlineStr">
        <is>
          <t>0                      BT 0587000S  4                  W  3           1963</t>
        </is>
      </c>
      <c r="D764" t="inlineStr">
        <is>
          <t>The Shroud / John Walsh.</t>
        </is>
      </c>
      <c r="F764" t="inlineStr">
        <is>
          <t>No</t>
        </is>
      </c>
      <c r="G764" t="inlineStr">
        <is>
          <t>1</t>
        </is>
      </c>
      <c r="H764" t="inlineStr">
        <is>
          <t>No</t>
        </is>
      </c>
      <c r="I764" t="inlineStr">
        <is>
          <t>No</t>
        </is>
      </c>
      <c r="J764" t="inlineStr">
        <is>
          <t>0</t>
        </is>
      </c>
      <c r="K764" t="inlineStr">
        <is>
          <t>Walsh, John Evangelist, 1927-2015.</t>
        </is>
      </c>
      <c r="L764" t="inlineStr">
        <is>
          <t>New York : Random House, [1963]</t>
        </is>
      </c>
      <c r="M764" t="inlineStr">
        <is>
          <t>1963</t>
        </is>
      </c>
      <c r="O764" t="inlineStr">
        <is>
          <t>eng</t>
        </is>
      </c>
      <c r="P764" t="inlineStr">
        <is>
          <t>nyu</t>
        </is>
      </c>
      <c r="R764" t="inlineStr">
        <is>
          <t xml:space="preserve">BT </t>
        </is>
      </c>
      <c r="S764" t="n">
        <v>2</v>
      </c>
      <c r="T764" t="n">
        <v>2</v>
      </c>
      <c r="U764" t="inlineStr">
        <is>
          <t>2007-11-20</t>
        </is>
      </c>
      <c r="V764" t="inlineStr">
        <is>
          <t>2007-11-20</t>
        </is>
      </c>
      <c r="W764" t="inlineStr">
        <is>
          <t>1991-08-29</t>
        </is>
      </c>
      <c r="X764" t="inlineStr">
        <is>
          <t>1991-08-29</t>
        </is>
      </c>
      <c r="Y764" t="n">
        <v>364</v>
      </c>
      <c r="Z764" t="n">
        <v>349</v>
      </c>
      <c r="AA764" t="n">
        <v>389</v>
      </c>
      <c r="AB764" t="n">
        <v>4</v>
      </c>
      <c r="AC764" t="n">
        <v>4</v>
      </c>
      <c r="AD764" t="n">
        <v>23</v>
      </c>
      <c r="AE764" t="n">
        <v>25</v>
      </c>
      <c r="AF764" t="n">
        <v>8</v>
      </c>
      <c r="AG764" t="n">
        <v>8</v>
      </c>
      <c r="AH764" t="n">
        <v>3</v>
      </c>
      <c r="AI764" t="n">
        <v>4</v>
      </c>
      <c r="AJ764" t="n">
        <v>18</v>
      </c>
      <c r="AK764" t="n">
        <v>20</v>
      </c>
      <c r="AL764" t="n">
        <v>1</v>
      </c>
      <c r="AM764" t="n">
        <v>1</v>
      </c>
      <c r="AN764" t="n">
        <v>0</v>
      </c>
      <c r="AO764" t="n">
        <v>0</v>
      </c>
      <c r="AP764" t="inlineStr">
        <is>
          <t>No</t>
        </is>
      </c>
      <c r="AQ764" t="inlineStr">
        <is>
          <t>No</t>
        </is>
      </c>
      <c r="AR764">
        <f>HYPERLINK("http://catalog.hathitrust.org/Record/101845936","HathiTrust Record")</f>
        <v/>
      </c>
      <c r="AS764">
        <f>HYPERLINK("https://creighton-primo.hosted.exlibrisgroup.com/primo-explore/search?tab=default_tab&amp;search_scope=EVERYTHING&amp;vid=01CRU&amp;lang=en_US&amp;offset=0&amp;query=any,contains,991002929779702656","Catalog Record")</f>
        <v/>
      </c>
      <c r="AT764">
        <f>HYPERLINK("http://www.worldcat.org/oclc/530554","WorldCat Record")</f>
        <v/>
      </c>
      <c r="AU764" t="inlineStr">
        <is>
          <t>1543446:eng</t>
        </is>
      </c>
      <c r="AV764" t="inlineStr">
        <is>
          <t>530554</t>
        </is>
      </c>
      <c r="AW764" t="inlineStr">
        <is>
          <t>991002929779702656</t>
        </is>
      </c>
      <c r="AX764" t="inlineStr">
        <is>
          <t>991002929779702656</t>
        </is>
      </c>
      <c r="AY764" t="inlineStr">
        <is>
          <t>2266598750002656</t>
        </is>
      </c>
      <c r="AZ764" t="inlineStr">
        <is>
          <t>BOOK</t>
        </is>
      </c>
      <c r="BC764" t="inlineStr">
        <is>
          <t>32285000746361</t>
        </is>
      </c>
      <c r="BD764" t="inlineStr">
        <is>
          <t>893616776</t>
        </is>
      </c>
    </row>
    <row r="765">
      <c r="A765" t="inlineStr">
        <is>
          <t>No</t>
        </is>
      </c>
      <c r="B765" t="inlineStr">
        <is>
          <t>BT587.S4 W52 1986</t>
        </is>
      </c>
      <c r="C765" t="inlineStr">
        <is>
          <t>0                      BT 0587000S  4                  W  52          1986</t>
        </is>
      </c>
      <c r="D765" t="inlineStr">
        <is>
          <t>The mysterious shroud / Ian Wilson ; photographs by Vernon Miller.</t>
        </is>
      </c>
      <c r="F765" t="inlineStr">
        <is>
          <t>No</t>
        </is>
      </c>
      <c r="G765" t="inlineStr">
        <is>
          <t>1</t>
        </is>
      </c>
      <c r="H765" t="inlineStr">
        <is>
          <t>No</t>
        </is>
      </c>
      <c r="I765" t="inlineStr">
        <is>
          <t>No</t>
        </is>
      </c>
      <c r="J765" t="inlineStr">
        <is>
          <t>0</t>
        </is>
      </c>
      <c r="K765" t="inlineStr">
        <is>
          <t>Wilson, Ian, 1941-</t>
        </is>
      </c>
      <c r="L765" t="inlineStr">
        <is>
          <t>Garden City, N.Y. : Doubleday, 1986.</t>
        </is>
      </c>
      <c r="M765" t="inlineStr">
        <is>
          <t>1986</t>
        </is>
      </c>
      <c r="N765" t="inlineStr">
        <is>
          <t>1st ed.</t>
        </is>
      </c>
      <c r="O765" t="inlineStr">
        <is>
          <t>eng</t>
        </is>
      </c>
      <c r="P765" t="inlineStr">
        <is>
          <t>nyu</t>
        </is>
      </c>
      <c r="R765" t="inlineStr">
        <is>
          <t xml:space="preserve">BT </t>
        </is>
      </c>
      <c r="S765" t="n">
        <v>4</v>
      </c>
      <c r="T765" t="n">
        <v>4</v>
      </c>
      <c r="U765" t="inlineStr">
        <is>
          <t>2010-10-12</t>
        </is>
      </c>
      <c r="V765" t="inlineStr">
        <is>
          <t>2010-10-12</t>
        </is>
      </c>
      <c r="W765" t="inlineStr">
        <is>
          <t>1991-08-29</t>
        </is>
      </c>
      <c r="X765" t="inlineStr">
        <is>
          <t>1991-08-29</t>
        </is>
      </c>
      <c r="Y765" t="n">
        <v>819</v>
      </c>
      <c r="Z765" t="n">
        <v>788</v>
      </c>
      <c r="AA765" t="n">
        <v>815</v>
      </c>
      <c r="AB765" t="n">
        <v>10</v>
      </c>
      <c r="AC765" t="n">
        <v>10</v>
      </c>
      <c r="AD765" t="n">
        <v>26</v>
      </c>
      <c r="AE765" t="n">
        <v>26</v>
      </c>
      <c r="AF765" t="n">
        <v>7</v>
      </c>
      <c r="AG765" t="n">
        <v>7</v>
      </c>
      <c r="AH765" t="n">
        <v>6</v>
      </c>
      <c r="AI765" t="n">
        <v>6</v>
      </c>
      <c r="AJ765" t="n">
        <v>16</v>
      </c>
      <c r="AK765" t="n">
        <v>16</v>
      </c>
      <c r="AL765" t="n">
        <v>3</v>
      </c>
      <c r="AM765" t="n">
        <v>3</v>
      </c>
      <c r="AN765" t="n">
        <v>0</v>
      </c>
      <c r="AO765" t="n">
        <v>0</v>
      </c>
      <c r="AP765" t="inlineStr">
        <is>
          <t>No</t>
        </is>
      </c>
      <c r="AQ765" t="inlineStr">
        <is>
          <t>Yes</t>
        </is>
      </c>
      <c r="AR765">
        <f>HYPERLINK("http://catalog.hathitrust.org/Record/102071690","HathiTrust Record")</f>
        <v/>
      </c>
      <c r="AS765">
        <f>HYPERLINK("https://creighton-primo.hosted.exlibrisgroup.com/primo-explore/search?tab=default_tab&amp;search_scope=EVERYTHING&amp;vid=01CRU&amp;lang=en_US&amp;offset=0&amp;query=any,contains,991000527709702656","Catalog Record")</f>
        <v/>
      </c>
      <c r="AT765">
        <f>HYPERLINK("http://www.worldcat.org/oclc/11371892","WorldCat Record")</f>
        <v/>
      </c>
      <c r="AU765" t="inlineStr">
        <is>
          <t>3935560:eng</t>
        </is>
      </c>
      <c r="AV765" t="inlineStr">
        <is>
          <t>11371892</t>
        </is>
      </c>
      <c r="AW765" t="inlineStr">
        <is>
          <t>991000527709702656</t>
        </is>
      </c>
      <c r="AX765" t="inlineStr">
        <is>
          <t>991000527709702656</t>
        </is>
      </c>
      <c r="AY765" t="inlineStr">
        <is>
          <t>2259148440002656</t>
        </is>
      </c>
      <c r="AZ765" t="inlineStr">
        <is>
          <t>BOOK</t>
        </is>
      </c>
      <c r="BB765" t="inlineStr">
        <is>
          <t>9780385190749</t>
        </is>
      </c>
      <c r="BC765" t="inlineStr">
        <is>
          <t>32285000746395</t>
        </is>
      </c>
      <c r="BD765" t="inlineStr">
        <is>
          <t>893589530</t>
        </is>
      </c>
    </row>
    <row r="766">
      <c r="A766" t="inlineStr">
        <is>
          <t>No</t>
        </is>
      </c>
      <c r="B766" t="inlineStr">
        <is>
          <t>BT587.S4 W53</t>
        </is>
      </c>
      <c r="C766" t="inlineStr">
        <is>
          <t>0                      BT 0587000S  4                  W  53</t>
        </is>
      </c>
      <c r="D766" t="inlineStr">
        <is>
          <t>The Shroud of Turin : the burial cloth of Jesus Christ? / by Ian Wilson.</t>
        </is>
      </c>
      <c r="F766" t="inlineStr">
        <is>
          <t>No</t>
        </is>
      </c>
      <c r="G766" t="inlineStr">
        <is>
          <t>1</t>
        </is>
      </c>
      <c r="H766" t="inlineStr">
        <is>
          <t>No</t>
        </is>
      </c>
      <c r="I766" t="inlineStr">
        <is>
          <t>No</t>
        </is>
      </c>
      <c r="J766" t="inlineStr">
        <is>
          <t>0</t>
        </is>
      </c>
      <c r="K766" t="inlineStr">
        <is>
          <t>Wilson, Ian, 1941-</t>
        </is>
      </c>
      <c r="L766" t="inlineStr">
        <is>
          <t>Garden City, N.Y. : Doubleday, 1978.</t>
        </is>
      </c>
      <c r="M766" t="inlineStr">
        <is>
          <t>1978</t>
        </is>
      </c>
      <c r="N766" t="inlineStr">
        <is>
          <t>1st ed.</t>
        </is>
      </c>
      <c r="O766" t="inlineStr">
        <is>
          <t>eng</t>
        </is>
      </c>
      <c r="P766" t="inlineStr">
        <is>
          <t>nyu</t>
        </is>
      </c>
      <c r="R766" t="inlineStr">
        <is>
          <t xml:space="preserve">BT </t>
        </is>
      </c>
      <c r="S766" t="n">
        <v>3</v>
      </c>
      <c r="T766" t="n">
        <v>3</v>
      </c>
      <c r="U766" t="inlineStr">
        <is>
          <t>2010-04-30</t>
        </is>
      </c>
      <c r="V766" t="inlineStr">
        <is>
          <t>2010-04-30</t>
        </is>
      </c>
      <c r="W766" t="inlineStr">
        <is>
          <t>1991-08-29</t>
        </is>
      </c>
      <c r="X766" t="inlineStr">
        <is>
          <t>1991-08-29</t>
        </is>
      </c>
      <c r="Y766" t="n">
        <v>1117</v>
      </c>
      <c r="Z766" t="n">
        <v>1068</v>
      </c>
      <c r="AA766" t="n">
        <v>1280</v>
      </c>
      <c r="AB766" t="n">
        <v>7</v>
      </c>
      <c r="AC766" t="n">
        <v>10</v>
      </c>
      <c r="AD766" t="n">
        <v>29</v>
      </c>
      <c r="AE766" t="n">
        <v>38</v>
      </c>
      <c r="AF766" t="n">
        <v>11</v>
      </c>
      <c r="AG766" t="n">
        <v>14</v>
      </c>
      <c r="AH766" t="n">
        <v>4</v>
      </c>
      <c r="AI766" t="n">
        <v>7</v>
      </c>
      <c r="AJ766" t="n">
        <v>19</v>
      </c>
      <c r="AK766" t="n">
        <v>23</v>
      </c>
      <c r="AL766" t="n">
        <v>2</v>
      </c>
      <c r="AM766" t="n">
        <v>3</v>
      </c>
      <c r="AN766" t="n">
        <v>0</v>
      </c>
      <c r="AO766" t="n">
        <v>0</v>
      </c>
      <c r="AP766" t="inlineStr">
        <is>
          <t>No</t>
        </is>
      </c>
      <c r="AQ766" t="inlineStr">
        <is>
          <t>Yes</t>
        </is>
      </c>
      <c r="AR766">
        <f>HYPERLINK("http://catalog.hathitrust.org/Record/000085655","HathiTrust Record")</f>
        <v/>
      </c>
      <c r="AS766">
        <f>HYPERLINK("https://creighton-primo.hosted.exlibrisgroup.com/primo-explore/search?tab=default_tab&amp;search_scope=EVERYTHING&amp;vid=01CRU&amp;lang=en_US&amp;offset=0&amp;query=any,contains,991004451709702656","Catalog Record")</f>
        <v/>
      </c>
      <c r="AT766">
        <f>HYPERLINK("http://www.worldcat.org/oclc/3516265","WorldCat Record")</f>
        <v/>
      </c>
      <c r="AU766" t="inlineStr">
        <is>
          <t>20333359:eng</t>
        </is>
      </c>
      <c r="AV766" t="inlineStr">
        <is>
          <t>3516265</t>
        </is>
      </c>
      <c r="AW766" t="inlineStr">
        <is>
          <t>991004451709702656</t>
        </is>
      </c>
      <c r="AX766" t="inlineStr">
        <is>
          <t>991004451709702656</t>
        </is>
      </c>
      <c r="AY766" t="inlineStr">
        <is>
          <t>2272481400002656</t>
        </is>
      </c>
      <c r="AZ766" t="inlineStr">
        <is>
          <t>BOOK</t>
        </is>
      </c>
      <c r="BB766" t="inlineStr">
        <is>
          <t>9780385127363</t>
        </is>
      </c>
      <c r="BC766" t="inlineStr">
        <is>
          <t>32285000746403</t>
        </is>
      </c>
      <c r="BD766" t="inlineStr">
        <is>
          <t>893513260</t>
        </is>
      </c>
    </row>
    <row r="767">
      <c r="A767" t="inlineStr">
        <is>
          <t>No</t>
        </is>
      </c>
      <c r="B767" t="inlineStr">
        <is>
          <t>BT590.C78 W6513 1987</t>
        </is>
      </c>
      <c r="C767" t="inlineStr">
        <is>
          <t>0                      BT 0590000C  78                 W  6513        1987</t>
        </is>
      </c>
      <c r="D767" t="inlineStr">
        <is>
          <t>Jesus the therapist / Hanna Wolff ; translated by Robert R. Barr.</t>
        </is>
      </c>
      <c r="F767" t="inlineStr">
        <is>
          <t>No</t>
        </is>
      </c>
      <c r="G767" t="inlineStr">
        <is>
          <t>1</t>
        </is>
      </c>
      <c r="H767" t="inlineStr">
        <is>
          <t>No</t>
        </is>
      </c>
      <c r="I767" t="inlineStr">
        <is>
          <t>No</t>
        </is>
      </c>
      <c r="J767" t="inlineStr">
        <is>
          <t>0</t>
        </is>
      </c>
      <c r="K767" t="inlineStr">
        <is>
          <t>Wolff, Hanna, 1910-</t>
        </is>
      </c>
      <c r="L767" t="inlineStr">
        <is>
          <t>Oak Park, IL : Meyer Stone Books, c1987.</t>
        </is>
      </c>
      <c r="M767" t="inlineStr">
        <is>
          <t>1987</t>
        </is>
      </c>
      <c r="O767" t="inlineStr">
        <is>
          <t>eng</t>
        </is>
      </c>
      <c r="P767" t="inlineStr">
        <is>
          <t>nyu</t>
        </is>
      </c>
      <c r="R767" t="inlineStr">
        <is>
          <t xml:space="preserve">BT </t>
        </is>
      </c>
      <c r="S767" t="n">
        <v>4</v>
      </c>
      <c r="T767" t="n">
        <v>4</v>
      </c>
      <c r="U767" t="inlineStr">
        <is>
          <t>2001-08-30</t>
        </is>
      </c>
      <c r="V767" t="inlineStr">
        <is>
          <t>2001-08-30</t>
        </is>
      </c>
      <c r="W767" t="inlineStr">
        <is>
          <t>1991-08-29</t>
        </is>
      </c>
      <c r="X767" t="inlineStr">
        <is>
          <t>1991-08-29</t>
        </is>
      </c>
      <c r="Y767" t="n">
        <v>181</v>
      </c>
      <c r="Z767" t="n">
        <v>158</v>
      </c>
      <c r="AA767" t="n">
        <v>158</v>
      </c>
      <c r="AB767" t="n">
        <v>1</v>
      </c>
      <c r="AC767" t="n">
        <v>1</v>
      </c>
      <c r="AD767" t="n">
        <v>13</v>
      </c>
      <c r="AE767" t="n">
        <v>13</v>
      </c>
      <c r="AF767" t="n">
        <v>6</v>
      </c>
      <c r="AG767" t="n">
        <v>6</v>
      </c>
      <c r="AH767" t="n">
        <v>4</v>
      </c>
      <c r="AI767" t="n">
        <v>4</v>
      </c>
      <c r="AJ767" t="n">
        <v>9</v>
      </c>
      <c r="AK767" t="n">
        <v>9</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HYPERLINK("https://creighton-primo.hosted.exlibrisgroup.com/primo-explore/search?tab=default_tab&amp;search_scope=EVERYTHING&amp;vid=01CRU&amp;lang=en_US&amp;offset=0&amp;query=any,contains,991001162749702656","Catalog Record")</f>
        <v/>
      </c>
      <c r="AT767">
        <f>HYPERLINK("http://www.worldcat.org/oclc/16901301","WorldCat Record")</f>
        <v/>
      </c>
      <c r="AU767" t="inlineStr">
        <is>
          <t>1151160607:eng</t>
        </is>
      </c>
      <c r="AV767" t="inlineStr">
        <is>
          <t>16901301</t>
        </is>
      </c>
      <c r="AW767" t="inlineStr">
        <is>
          <t>991001162749702656</t>
        </is>
      </c>
      <c r="AX767" t="inlineStr">
        <is>
          <t>991001162749702656</t>
        </is>
      </c>
      <c r="AY767" t="inlineStr">
        <is>
          <t>2268464400002656</t>
        </is>
      </c>
      <c r="AZ767" t="inlineStr">
        <is>
          <t>BOOK</t>
        </is>
      </c>
      <c r="BB767" t="inlineStr">
        <is>
          <t>9780940989108</t>
        </is>
      </c>
      <c r="BC767" t="inlineStr">
        <is>
          <t>32285000746445</t>
        </is>
      </c>
      <c r="BD767" t="inlineStr">
        <is>
          <t>893797351</t>
        </is>
      </c>
    </row>
    <row r="768">
      <c r="A768" t="inlineStr">
        <is>
          <t>No</t>
        </is>
      </c>
      <c r="B768" t="inlineStr">
        <is>
          <t>BT590.J8 F35 1985</t>
        </is>
      </c>
      <c r="C768" t="inlineStr">
        <is>
          <t>0                      BT 0590000J  8                  F  35          1985</t>
        </is>
      </c>
      <c r="D768" t="inlineStr">
        <is>
          <t>Jesus the Pharisee : a new look at the Jewishness of Jesus / Harvey Falk.</t>
        </is>
      </c>
      <c r="F768" t="inlineStr">
        <is>
          <t>No</t>
        </is>
      </c>
      <c r="G768" t="inlineStr">
        <is>
          <t>1</t>
        </is>
      </c>
      <c r="H768" t="inlineStr">
        <is>
          <t>No</t>
        </is>
      </c>
      <c r="I768" t="inlineStr">
        <is>
          <t>No</t>
        </is>
      </c>
      <c r="J768" t="inlineStr">
        <is>
          <t>0</t>
        </is>
      </c>
      <c r="K768" t="inlineStr">
        <is>
          <t>Falk, Harvey.</t>
        </is>
      </c>
      <c r="L768" t="inlineStr">
        <is>
          <t>New York ; Mahwah, N.J. : Paulist Press, 1985.</t>
        </is>
      </c>
      <c r="M768" t="inlineStr">
        <is>
          <t>1985</t>
        </is>
      </c>
      <c r="O768" t="inlineStr">
        <is>
          <t>eng</t>
        </is>
      </c>
      <c r="P768" t="inlineStr">
        <is>
          <t>nyu</t>
        </is>
      </c>
      <c r="R768" t="inlineStr">
        <is>
          <t xml:space="preserve">BT </t>
        </is>
      </c>
      <c r="S768" t="n">
        <v>9</v>
      </c>
      <c r="T768" t="n">
        <v>9</v>
      </c>
      <c r="U768" t="inlineStr">
        <is>
          <t>2009-11-09</t>
        </is>
      </c>
      <c r="V768" t="inlineStr">
        <is>
          <t>2009-11-09</t>
        </is>
      </c>
      <c r="W768" t="inlineStr">
        <is>
          <t>1991-08-29</t>
        </is>
      </c>
      <c r="X768" t="inlineStr">
        <is>
          <t>1991-08-29</t>
        </is>
      </c>
      <c r="Y768" t="n">
        <v>483</v>
      </c>
      <c r="Z768" t="n">
        <v>389</v>
      </c>
      <c r="AA768" t="n">
        <v>409</v>
      </c>
      <c r="AB768" t="n">
        <v>3</v>
      </c>
      <c r="AC768" t="n">
        <v>3</v>
      </c>
      <c r="AD768" t="n">
        <v>26</v>
      </c>
      <c r="AE768" t="n">
        <v>26</v>
      </c>
      <c r="AF768" t="n">
        <v>9</v>
      </c>
      <c r="AG768" t="n">
        <v>9</v>
      </c>
      <c r="AH768" t="n">
        <v>6</v>
      </c>
      <c r="AI768" t="n">
        <v>6</v>
      </c>
      <c r="AJ768" t="n">
        <v>17</v>
      </c>
      <c r="AK768" t="n">
        <v>17</v>
      </c>
      <c r="AL768" t="n">
        <v>1</v>
      </c>
      <c r="AM768" t="n">
        <v>1</v>
      </c>
      <c r="AN768" t="n">
        <v>0</v>
      </c>
      <c r="AO768" t="n">
        <v>0</v>
      </c>
      <c r="AP768" t="inlineStr">
        <is>
          <t>No</t>
        </is>
      </c>
      <c r="AQ768" t="inlineStr">
        <is>
          <t>Yes</t>
        </is>
      </c>
      <c r="AR768">
        <f>HYPERLINK("http://catalog.hathitrust.org/Record/011810417","HathiTrust Record")</f>
        <v/>
      </c>
      <c r="AS768">
        <f>HYPERLINK("https://creighton-primo.hosted.exlibrisgroup.com/primo-explore/search?tab=default_tab&amp;search_scope=EVERYTHING&amp;vid=01CRU&amp;lang=en_US&amp;offset=0&amp;query=any,contains,991000644779702656","Catalog Record")</f>
        <v/>
      </c>
      <c r="AT768">
        <f>HYPERLINK("http://www.worldcat.org/oclc/12119057","WorldCat Record")</f>
        <v/>
      </c>
      <c r="AU768" t="inlineStr">
        <is>
          <t>890392175:eng</t>
        </is>
      </c>
      <c r="AV768" t="inlineStr">
        <is>
          <t>12119057</t>
        </is>
      </c>
      <c r="AW768" t="inlineStr">
        <is>
          <t>991000644779702656</t>
        </is>
      </c>
      <c r="AX768" t="inlineStr">
        <is>
          <t>991000644779702656</t>
        </is>
      </c>
      <c r="AY768" t="inlineStr">
        <is>
          <t>2263273340002656</t>
        </is>
      </c>
      <c r="AZ768" t="inlineStr">
        <is>
          <t>BOOK</t>
        </is>
      </c>
      <c r="BB768" t="inlineStr">
        <is>
          <t>9780809126774</t>
        </is>
      </c>
      <c r="BC768" t="inlineStr">
        <is>
          <t>32285000746460</t>
        </is>
      </c>
      <c r="BD768" t="inlineStr">
        <is>
          <t>893255609</t>
        </is>
      </c>
    </row>
    <row r="769">
      <c r="A769" t="inlineStr">
        <is>
          <t>No</t>
        </is>
      </c>
      <c r="B769" t="inlineStr">
        <is>
          <t>BT590.J8 J48 1994</t>
        </is>
      </c>
      <c r="C769" t="inlineStr">
        <is>
          <t>0                      BT 0590000J  8                  J  48          1994</t>
        </is>
      </c>
      <c r="D769" t="inlineStr">
        <is>
          <t>Jews &amp; Christians speak of Jesus / Arthur E. Zannoni, editor.</t>
        </is>
      </c>
      <c r="F769" t="inlineStr">
        <is>
          <t>No</t>
        </is>
      </c>
      <c r="G769" t="inlineStr">
        <is>
          <t>1</t>
        </is>
      </c>
      <c r="H769" t="inlineStr">
        <is>
          <t>No</t>
        </is>
      </c>
      <c r="I769" t="inlineStr">
        <is>
          <t>No</t>
        </is>
      </c>
      <c r="J769" t="inlineStr">
        <is>
          <t>0</t>
        </is>
      </c>
      <c r="L769" t="inlineStr">
        <is>
          <t>Minneapolis : Fortress Press, c1994.</t>
        </is>
      </c>
      <c r="M769" t="inlineStr">
        <is>
          <t>1994</t>
        </is>
      </c>
      <c r="O769" t="inlineStr">
        <is>
          <t>eng</t>
        </is>
      </c>
      <c r="P769" t="inlineStr">
        <is>
          <t>mnu</t>
        </is>
      </c>
      <c r="R769" t="inlineStr">
        <is>
          <t xml:space="preserve">BT </t>
        </is>
      </c>
      <c r="S769" t="n">
        <v>9</v>
      </c>
      <c r="T769" t="n">
        <v>9</v>
      </c>
      <c r="U769" t="inlineStr">
        <is>
          <t>2005-11-04</t>
        </is>
      </c>
      <c r="V769" t="inlineStr">
        <is>
          <t>2005-11-04</t>
        </is>
      </c>
      <c r="W769" t="inlineStr">
        <is>
          <t>1995-04-17</t>
        </is>
      </c>
      <c r="X769" t="inlineStr">
        <is>
          <t>1995-04-17</t>
        </is>
      </c>
      <c r="Y769" t="n">
        <v>300</v>
      </c>
      <c r="Z769" t="n">
        <v>252</v>
      </c>
      <c r="AA769" t="n">
        <v>252</v>
      </c>
      <c r="AB769" t="n">
        <v>2</v>
      </c>
      <c r="AC769" t="n">
        <v>2</v>
      </c>
      <c r="AD769" t="n">
        <v>26</v>
      </c>
      <c r="AE769" t="n">
        <v>26</v>
      </c>
      <c r="AF769" t="n">
        <v>10</v>
      </c>
      <c r="AG769" t="n">
        <v>10</v>
      </c>
      <c r="AH769" t="n">
        <v>5</v>
      </c>
      <c r="AI769" t="n">
        <v>5</v>
      </c>
      <c r="AJ769" t="n">
        <v>16</v>
      </c>
      <c r="AK769" t="n">
        <v>16</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HYPERLINK("https://creighton-primo.hosted.exlibrisgroup.com/primo-explore/search?tab=default_tab&amp;search_scope=EVERYTHING&amp;vid=01CRU&amp;lang=en_US&amp;offset=0&amp;query=any,contains,991002349949702656","Catalog Record")</f>
        <v/>
      </c>
      <c r="AT769">
        <f>HYPERLINK("http://www.worldcat.org/oclc/30594675","WorldCat Record")</f>
        <v/>
      </c>
      <c r="AU769" t="inlineStr">
        <is>
          <t>32783781:eng</t>
        </is>
      </c>
      <c r="AV769" t="inlineStr">
        <is>
          <t>30594675</t>
        </is>
      </c>
      <c r="AW769" t="inlineStr">
        <is>
          <t>991002349949702656</t>
        </is>
      </c>
      <c r="AX769" t="inlineStr">
        <is>
          <t>991002349949702656</t>
        </is>
      </c>
      <c r="AY769" t="inlineStr">
        <is>
          <t>2263867330002656</t>
        </is>
      </c>
      <c r="AZ769" t="inlineStr">
        <is>
          <t>BOOK</t>
        </is>
      </c>
      <c r="BB769" t="inlineStr">
        <is>
          <t>9780800628048</t>
        </is>
      </c>
      <c r="BC769" t="inlineStr">
        <is>
          <t>32285004677018</t>
        </is>
      </c>
      <c r="BD769" t="inlineStr">
        <is>
          <t>893879802</t>
        </is>
      </c>
    </row>
    <row r="770">
      <c r="A770" t="inlineStr">
        <is>
          <t>No</t>
        </is>
      </c>
      <c r="B770" t="inlineStr">
        <is>
          <t>BT590.J8 L43 1988</t>
        </is>
      </c>
      <c r="C770" t="inlineStr">
        <is>
          <t>0                      BT 0590000J  8                  L  43          1988</t>
        </is>
      </c>
      <c r="D770" t="inlineStr">
        <is>
          <t>The Galilean Jewishness of Jesus : retrieving the Jewish origins of Christianity / Bernard J. Lee.</t>
        </is>
      </c>
      <c r="F770" t="inlineStr">
        <is>
          <t>No</t>
        </is>
      </c>
      <c r="G770" t="inlineStr">
        <is>
          <t>1</t>
        </is>
      </c>
      <c r="H770" t="inlineStr">
        <is>
          <t>No</t>
        </is>
      </c>
      <c r="I770" t="inlineStr">
        <is>
          <t>No</t>
        </is>
      </c>
      <c r="J770" t="inlineStr">
        <is>
          <t>0</t>
        </is>
      </c>
      <c r="K770" t="inlineStr">
        <is>
          <t>Lee, Bernard J., 1932-</t>
        </is>
      </c>
      <c r="L770" t="inlineStr">
        <is>
          <t>New York : Paulist Press, c1988.</t>
        </is>
      </c>
      <c r="M770" t="inlineStr">
        <is>
          <t>1988</t>
        </is>
      </c>
      <c r="O770" t="inlineStr">
        <is>
          <t>eng</t>
        </is>
      </c>
      <c r="P770" t="inlineStr">
        <is>
          <t>nyu</t>
        </is>
      </c>
      <c r="Q770" t="inlineStr">
        <is>
          <t>Studies in Judaism and Christianity</t>
        </is>
      </c>
      <c r="R770" t="inlineStr">
        <is>
          <t xml:space="preserve">BT </t>
        </is>
      </c>
      <c r="S770" t="n">
        <v>7</v>
      </c>
      <c r="T770" t="n">
        <v>7</v>
      </c>
      <c r="U770" t="inlineStr">
        <is>
          <t>2003-11-04</t>
        </is>
      </c>
      <c r="V770" t="inlineStr">
        <is>
          <t>2003-11-04</t>
        </is>
      </c>
      <c r="W770" t="inlineStr">
        <is>
          <t>1991-08-29</t>
        </is>
      </c>
      <c r="X770" t="inlineStr">
        <is>
          <t>1991-08-29</t>
        </is>
      </c>
      <c r="Y770" t="n">
        <v>430</v>
      </c>
      <c r="Z770" t="n">
        <v>347</v>
      </c>
      <c r="AA770" t="n">
        <v>353</v>
      </c>
      <c r="AB770" t="n">
        <v>2</v>
      </c>
      <c r="AC770" t="n">
        <v>2</v>
      </c>
      <c r="AD770" t="n">
        <v>31</v>
      </c>
      <c r="AE770" t="n">
        <v>31</v>
      </c>
      <c r="AF770" t="n">
        <v>12</v>
      </c>
      <c r="AG770" t="n">
        <v>12</v>
      </c>
      <c r="AH770" t="n">
        <v>8</v>
      </c>
      <c r="AI770" t="n">
        <v>8</v>
      </c>
      <c r="AJ770" t="n">
        <v>20</v>
      </c>
      <c r="AK770" t="n">
        <v>20</v>
      </c>
      <c r="AL770" t="n">
        <v>1</v>
      </c>
      <c r="AM770" t="n">
        <v>1</v>
      </c>
      <c r="AN770" t="n">
        <v>0</v>
      </c>
      <c r="AO770" t="n">
        <v>0</v>
      </c>
      <c r="AP770" t="inlineStr">
        <is>
          <t>No</t>
        </is>
      </c>
      <c r="AQ770" t="inlineStr">
        <is>
          <t>Yes</t>
        </is>
      </c>
      <c r="AR770">
        <f>HYPERLINK("http://catalog.hathitrust.org/Record/002181362","HathiTrust Record")</f>
        <v/>
      </c>
      <c r="AS770">
        <f>HYPERLINK("https://creighton-primo.hosted.exlibrisgroup.com/primo-explore/search?tab=default_tab&amp;search_scope=EVERYTHING&amp;vid=01CRU&amp;lang=en_US&amp;offset=0&amp;query=any,contains,991001332389702656","Catalog Record")</f>
        <v/>
      </c>
      <c r="AT770">
        <f>HYPERLINK("http://www.worldcat.org/oclc/18325473","WorldCat Record")</f>
        <v/>
      </c>
      <c r="AU770" t="inlineStr">
        <is>
          <t>17622036:eng</t>
        </is>
      </c>
      <c r="AV770" t="inlineStr">
        <is>
          <t>18325473</t>
        </is>
      </c>
      <c r="AW770" t="inlineStr">
        <is>
          <t>991001332389702656</t>
        </is>
      </c>
      <c r="AX770" t="inlineStr">
        <is>
          <t>991001332389702656</t>
        </is>
      </c>
      <c r="AY770" t="inlineStr">
        <is>
          <t>2259331290002656</t>
        </is>
      </c>
      <c r="AZ770" t="inlineStr">
        <is>
          <t>BOOK</t>
        </is>
      </c>
      <c r="BB770" t="inlineStr">
        <is>
          <t>9780809130214</t>
        </is>
      </c>
      <c r="BC770" t="inlineStr">
        <is>
          <t>32285000746478</t>
        </is>
      </c>
      <c r="BD770" t="inlineStr">
        <is>
          <t>893626655</t>
        </is>
      </c>
    </row>
    <row r="771">
      <c r="A771" t="inlineStr">
        <is>
          <t>No</t>
        </is>
      </c>
      <c r="B771" t="inlineStr">
        <is>
          <t>BT590.J8 M34 1999</t>
        </is>
      </c>
      <c r="C771" t="inlineStr">
        <is>
          <t>0                      BT 0590000J  8                  M  34          1999</t>
        </is>
      </c>
      <c r="D771" t="inlineStr">
        <is>
          <t>A new vision for Israel : the teachings of Jesus in national context / Scot McKnight.</t>
        </is>
      </c>
      <c r="F771" t="inlineStr">
        <is>
          <t>No</t>
        </is>
      </c>
      <c r="G771" t="inlineStr">
        <is>
          <t>1</t>
        </is>
      </c>
      <c r="H771" t="inlineStr">
        <is>
          <t>No</t>
        </is>
      </c>
      <c r="I771" t="inlineStr">
        <is>
          <t>No</t>
        </is>
      </c>
      <c r="J771" t="inlineStr">
        <is>
          <t>0</t>
        </is>
      </c>
      <c r="K771" t="inlineStr">
        <is>
          <t>McKnight, Scot.</t>
        </is>
      </c>
      <c r="L771" t="inlineStr">
        <is>
          <t>Grand Rapids, MI : W.B. Eerdmans, c1999.</t>
        </is>
      </c>
      <c r="M771" t="inlineStr">
        <is>
          <t>1999</t>
        </is>
      </c>
      <c r="O771" t="inlineStr">
        <is>
          <t>eng</t>
        </is>
      </c>
      <c r="P771" t="inlineStr">
        <is>
          <t>miu</t>
        </is>
      </c>
      <c r="R771" t="inlineStr">
        <is>
          <t xml:space="preserve">BT </t>
        </is>
      </c>
      <c r="S771" t="n">
        <v>2</v>
      </c>
      <c r="T771" t="n">
        <v>2</v>
      </c>
      <c r="U771" t="inlineStr">
        <is>
          <t>2001-01-30</t>
        </is>
      </c>
      <c r="V771" t="inlineStr">
        <is>
          <t>2001-01-30</t>
        </is>
      </c>
      <c r="W771" t="inlineStr">
        <is>
          <t>1999-11-08</t>
        </is>
      </c>
      <c r="X771" t="inlineStr">
        <is>
          <t>1999-11-08</t>
        </is>
      </c>
      <c r="Y771" t="n">
        <v>444</v>
      </c>
      <c r="Z771" t="n">
        <v>376</v>
      </c>
      <c r="AA771" t="n">
        <v>376</v>
      </c>
      <c r="AB771" t="n">
        <v>4</v>
      </c>
      <c r="AC771" t="n">
        <v>4</v>
      </c>
      <c r="AD771" t="n">
        <v>27</v>
      </c>
      <c r="AE771" t="n">
        <v>27</v>
      </c>
      <c r="AF771" t="n">
        <v>9</v>
      </c>
      <c r="AG771" t="n">
        <v>9</v>
      </c>
      <c r="AH771" t="n">
        <v>7</v>
      </c>
      <c r="AI771" t="n">
        <v>7</v>
      </c>
      <c r="AJ771" t="n">
        <v>14</v>
      </c>
      <c r="AK771" t="n">
        <v>14</v>
      </c>
      <c r="AL771" t="n">
        <v>3</v>
      </c>
      <c r="AM771" t="n">
        <v>3</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HYPERLINK("https://creighton-primo.hosted.exlibrisgroup.com/primo-explore/search?tab=default_tab&amp;search_scope=EVERYTHING&amp;vid=01CRU&amp;lang=en_US&amp;offset=0&amp;query=any,contains,991002989769702656","Catalog Record")</f>
        <v/>
      </c>
      <c r="AT771">
        <f>HYPERLINK("http://www.worldcat.org/oclc/40347339","WorldCat Record")</f>
        <v/>
      </c>
      <c r="AU771" t="inlineStr">
        <is>
          <t>20331735:eng</t>
        </is>
      </c>
      <c r="AV771" t="inlineStr">
        <is>
          <t>40347339</t>
        </is>
      </c>
      <c r="AW771" t="inlineStr">
        <is>
          <t>991002989769702656</t>
        </is>
      </c>
      <c r="AX771" t="inlineStr">
        <is>
          <t>991002989769702656</t>
        </is>
      </c>
      <c r="AY771" t="inlineStr">
        <is>
          <t>2254838050002656</t>
        </is>
      </c>
      <c r="AZ771" t="inlineStr">
        <is>
          <t>BOOK</t>
        </is>
      </c>
      <c r="BB771" t="inlineStr">
        <is>
          <t>9780802842121</t>
        </is>
      </c>
      <c r="BC771" t="inlineStr">
        <is>
          <t>32285003619128</t>
        </is>
      </c>
      <c r="BD771" t="inlineStr">
        <is>
          <t>893428309</t>
        </is>
      </c>
    </row>
    <row r="772">
      <c r="A772" t="inlineStr">
        <is>
          <t>No</t>
        </is>
      </c>
      <c r="B772" t="inlineStr">
        <is>
          <t>BT590.J8 R53</t>
        </is>
      </c>
      <c r="C772" t="inlineStr">
        <is>
          <t>0                      BT 0590000J  8                  R  53</t>
        </is>
      </c>
      <c r="D772" t="inlineStr">
        <is>
          <t>Jesus and the transformation of Judaism / John Riches.</t>
        </is>
      </c>
      <c r="F772" t="inlineStr">
        <is>
          <t>No</t>
        </is>
      </c>
      <c r="G772" t="inlineStr">
        <is>
          <t>1</t>
        </is>
      </c>
      <c r="H772" t="inlineStr">
        <is>
          <t>No</t>
        </is>
      </c>
      <c r="I772" t="inlineStr">
        <is>
          <t>No</t>
        </is>
      </c>
      <c r="J772" t="inlineStr">
        <is>
          <t>0</t>
        </is>
      </c>
      <c r="K772" t="inlineStr">
        <is>
          <t>Riches, John, 1939-</t>
        </is>
      </c>
      <c r="L772" t="inlineStr">
        <is>
          <t>London : Darton, Longman &amp; Todd, 1980.</t>
        </is>
      </c>
      <c r="M772" t="inlineStr">
        <is>
          <t>1980</t>
        </is>
      </c>
      <c r="O772" t="inlineStr">
        <is>
          <t>eng</t>
        </is>
      </c>
      <c r="P772" t="inlineStr">
        <is>
          <t>enk</t>
        </is>
      </c>
      <c r="R772" t="inlineStr">
        <is>
          <t xml:space="preserve">BT </t>
        </is>
      </c>
      <c r="S772" t="n">
        <v>8</v>
      </c>
      <c r="T772" t="n">
        <v>8</v>
      </c>
      <c r="U772" t="inlineStr">
        <is>
          <t>2003-11-04</t>
        </is>
      </c>
      <c r="V772" t="inlineStr">
        <is>
          <t>2003-11-04</t>
        </is>
      </c>
      <c r="W772" t="inlineStr">
        <is>
          <t>1991-08-29</t>
        </is>
      </c>
      <c r="X772" t="inlineStr">
        <is>
          <t>1991-08-29</t>
        </is>
      </c>
      <c r="Y772" t="n">
        <v>212</v>
      </c>
      <c r="Z772" t="n">
        <v>91</v>
      </c>
      <c r="AA772" t="n">
        <v>265</v>
      </c>
      <c r="AB772" t="n">
        <v>1</v>
      </c>
      <c r="AC772" t="n">
        <v>1</v>
      </c>
      <c r="AD772" t="n">
        <v>4</v>
      </c>
      <c r="AE772" t="n">
        <v>14</v>
      </c>
      <c r="AF772" t="n">
        <v>0</v>
      </c>
      <c r="AG772" t="n">
        <v>2</v>
      </c>
      <c r="AH772" t="n">
        <v>1</v>
      </c>
      <c r="AI772" t="n">
        <v>4</v>
      </c>
      <c r="AJ772" t="n">
        <v>4</v>
      </c>
      <c r="AK772" t="n">
        <v>12</v>
      </c>
      <c r="AL772" t="n">
        <v>0</v>
      </c>
      <c r="AM772" t="n">
        <v>0</v>
      </c>
      <c r="AN772" t="n">
        <v>0</v>
      </c>
      <c r="AO772" t="n">
        <v>0</v>
      </c>
      <c r="AP772" t="inlineStr">
        <is>
          <t>No</t>
        </is>
      </c>
      <c r="AQ772" t="inlineStr">
        <is>
          <t>Yes</t>
        </is>
      </c>
      <c r="AR772">
        <f>HYPERLINK("http://catalog.hathitrust.org/Record/000195353","HathiTrust Record")</f>
        <v/>
      </c>
      <c r="AS772">
        <f>HYPERLINK("https://creighton-primo.hosted.exlibrisgroup.com/primo-explore/search?tab=default_tab&amp;search_scope=EVERYTHING&amp;vid=01CRU&amp;lang=en_US&amp;offset=0&amp;query=any,contains,991005158519702656","Catalog Record")</f>
        <v/>
      </c>
      <c r="AT772">
        <f>HYPERLINK("http://www.worldcat.org/oclc/7763352","WorldCat Record")</f>
        <v/>
      </c>
      <c r="AU772" t="inlineStr">
        <is>
          <t>355758477:eng</t>
        </is>
      </c>
      <c r="AV772" t="inlineStr">
        <is>
          <t>7763352</t>
        </is>
      </c>
      <c r="AW772" t="inlineStr">
        <is>
          <t>991005158519702656</t>
        </is>
      </c>
      <c r="AX772" t="inlineStr">
        <is>
          <t>991005158519702656</t>
        </is>
      </c>
      <c r="AY772" t="inlineStr">
        <is>
          <t>2272250510002656</t>
        </is>
      </c>
      <c r="AZ772" t="inlineStr">
        <is>
          <t>BOOK</t>
        </is>
      </c>
      <c r="BB772" t="inlineStr">
        <is>
          <t>9780232514483</t>
        </is>
      </c>
      <c r="BC772" t="inlineStr">
        <is>
          <t>32285000746486</t>
        </is>
      </c>
      <c r="BD772" t="inlineStr">
        <is>
          <t>893520536</t>
        </is>
      </c>
    </row>
    <row r="773">
      <c r="A773" t="inlineStr">
        <is>
          <t>No</t>
        </is>
      </c>
      <c r="B773" t="inlineStr">
        <is>
          <t>BT590.J8 W47</t>
        </is>
      </c>
      <c r="C773" t="inlineStr">
        <is>
          <t>0                      BT 0590000J  8                  W  47</t>
        </is>
      </c>
      <c r="D773" t="inlineStr">
        <is>
          <t>Jesus and scribal authority / Stephen Westerholm.</t>
        </is>
      </c>
      <c r="F773" t="inlineStr">
        <is>
          <t>No</t>
        </is>
      </c>
      <c r="G773" t="inlineStr">
        <is>
          <t>1</t>
        </is>
      </c>
      <c r="H773" t="inlineStr">
        <is>
          <t>No</t>
        </is>
      </c>
      <c r="I773" t="inlineStr">
        <is>
          <t>No</t>
        </is>
      </c>
      <c r="J773" t="inlineStr">
        <is>
          <t>0</t>
        </is>
      </c>
      <c r="K773" t="inlineStr">
        <is>
          <t>Westerholm, Stephen, 1949-</t>
        </is>
      </c>
      <c r="L773" t="inlineStr">
        <is>
          <t>Lund : LiberLäromedel/Gleerup, 1978.</t>
        </is>
      </c>
      <c r="M773" t="inlineStr">
        <is>
          <t>1978</t>
        </is>
      </c>
      <c r="O773" t="inlineStr">
        <is>
          <t>eng</t>
        </is>
      </c>
      <c r="P773" t="inlineStr">
        <is>
          <t xml:space="preserve">ii </t>
        </is>
      </c>
      <c r="Q773" t="inlineStr">
        <is>
          <t>Coniectanea biblica. New Testament series ; 10</t>
        </is>
      </c>
      <c r="R773" t="inlineStr">
        <is>
          <t xml:space="preserve">BT </t>
        </is>
      </c>
      <c r="S773" t="n">
        <v>2</v>
      </c>
      <c r="T773" t="n">
        <v>2</v>
      </c>
      <c r="U773" t="inlineStr">
        <is>
          <t>1999-01-04</t>
        </is>
      </c>
      <c r="V773" t="inlineStr">
        <is>
          <t>1999-01-04</t>
        </is>
      </c>
      <c r="W773" t="inlineStr">
        <is>
          <t>1991-08-29</t>
        </is>
      </c>
      <c r="X773" t="inlineStr">
        <is>
          <t>1991-08-29</t>
        </is>
      </c>
      <c r="Y773" t="n">
        <v>226</v>
      </c>
      <c r="Z773" t="n">
        <v>141</v>
      </c>
      <c r="AA773" t="n">
        <v>145</v>
      </c>
      <c r="AB773" t="n">
        <v>1</v>
      </c>
      <c r="AC773" t="n">
        <v>1</v>
      </c>
      <c r="AD773" t="n">
        <v>15</v>
      </c>
      <c r="AE773" t="n">
        <v>15</v>
      </c>
      <c r="AF773" t="n">
        <v>4</v>
      </c>
      <c r="AG773" t="n">
        <v>4</v>
      </c>
      <c r="AH773" t="n">
        <v>4</v>
      </c>
      <c r="AI773" t="n">
        <v>4</v>
      </c>
      <c r="AJ773" t="n">
        <v>9</v>
      </c>
      <c r="AK773" t="n">
        <v>9</v>
      </c>
      <c r="AL773" t="n">
        <v>0</v>
      </c>
      <c r="AM773" t="n">
        <v>0</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HYPERLINK("https://creighton-primo.hosted.exlibrisgroup.com/primo-explore/search?tab=default_tab&amp;search_scope=EVERYTHING&amp;vid=01CRU&amp;lang=en_US&amp;offset=0&amp;query=any,contains,991004928779702656","Catalog Record")</f>
        <v/>
      </c>
      <c r="AT773">
        <f>HYPERLINK("http://www.worldcat.org/oclc/6088678","WorldCat Record")</f>
        <v/>
      </c>
      <c r="AU773" t="inlineStr">
        <is>
          <t>21027121:eng</t>
        </is>
      </c>
      <c r="AV773" t="inlineStr">
        <is>
          <t>6088678</t>
        </is>
      </c>
      <c r="AW773" t="inlineStr">
        <is>
          <t>991004928779702656</t>
        </is>
      </c>
      <c r="AX773" t="inlineStr">
        <is>
          <t>991004928779702656</t>
        </is>
      </c>
      <c r="AY773" t="inlineStr">
        <is>
          <t>2258942500002656</t>
        </is>
      </c>
      <c r="AZ773" t="inlineStr">
        <is>
          <t>BOOK</t>
        </is>
      </c>
      <c r="BB773" t="inlineStr">
        <is>
          <t>9789140046420</t>
        </is>
      </c>
      <c r="BC773" t="inlineStr">
        <is>
          <t>32285000746502</t>
        </is>
      </c>
      <c r="BD773" t="inlineStr">
        <is>
          <t>893338291</t>
        </is>
      </c>
    </row>
    <row r="774">
      <c r="A774" t="inlineStr">
        <is>
          <t>No</t>
        </is>
      </c>
      <c r="B774" t="inlineStr">
        <is>
          <t>BT590.N2 H33</t>
        </is>
      </c>
      <c r="C774" t="inlineStr">
        <is>
          <t>0                      BT 0590000N  2                  H  33</t>
        </is>
      </c>
      <c r="D774" t="inlineStr">
        <is>
          <t>The titles of Jesus in Christology : their history in early Christianity / by Ferdinand Hahn. [English translation by Harold Knight and George Ogg]</t>
        </is>
      </c>
      <c r="F774" t="inlineStr">
        <is>
          <t>No</t>
        </is>
      </c>
      <c r="G774" t="inlineStr">
        <is>
          <t>1</t>
        </is>
      </c>
      <c r="H774" t="inlineStr">
        <is>
          <t>No</t>
        </is>
      </c>
      <c r="I774" t="inlineStr">
        <is>
          <t>No</t>
        </is>
      </c>
      <c r="J774" t="inlineStr">
        <is>
          <t>0</t>
        </is>
      </c>
      <c r="K774" t="inlineStr">
        <is>
          <t>Hahn, Ferdinand, 1926-</t>
        </is>
      </c>
      <c r="L774" t="inlineStr">
        <is>
          <t>New York, World Pub. Co. [1969]</t>
        </is>
      </c>
      <c r="M774" t="inlineStr">
        <is>
          <t>1969</t>
        </is>
      </c>
      <c r="O774" t="inlineStr">
        <is>
          <t>eng</t>
        </is>
      </c>
      <c r="P774" t="inlineStr">
        <is>
          <t>nyu</t>
        </is>
      </c>
      <c r="Q774" t="inlineStr">
        <is>
          <t>Lutterworth library</t>
        </is>
      </c>
      <c r="R774" t="inlineStr">
        <is>
          <t xml:space="preserve">BT </t>
        </is>
      </c>
      <c r="S774" t="n">
        <v>4</v>
      </c>
      <c r="T774" t="n">
        <v>4</v>
      </c>
      <c r="U774" t="inlineStr">
        <is>
          <t>1996-09-22</t>
        </is>
      </c>
      <c r="V774" t="inlineStr">
        <is>
          <t>1996-09-22</t>
        </is>
      </c>
      <c r="W774" t="inlineStr">
        <is>
          <t>1991-08-29</t>
        </is>
      </c>
      <c r="X774" t="inlineStr">
        <is>
          <t>1991-08-29</t>
        </is>
      </c>
      <c r="Y774" t="n">
        <v>295</v>
      </c>
      <c r="Z774" t="n">
        <v>279</v>
      </c>
      <c r="AA774" t="n">
        <v>346</v>
      </c>
      <c r="AB774" t="n">
        <v>2</v>
      </c>
      <c r="AC774" t="n">
        <v>2</v>
      </c>
      <c r="AD774" t="n">
        <v>26</v>
      </c>
      <c r="AE774" t="n">
        <v>28</v>
      </c>
      <c r="AF774" t="n">
        <v>11</v>
      </c>
      <c r="AG774" t="n">
        <v>11</v>
      </c>
      <c r="AH774" t="n">
        <v>6</v>
      </c>
      <c r="AI774" t="n">
        <v>7</v>
      </c>
      <c r="AJ774" t="n">
        <v>13</v>
      </c>
      <c r="AK774" t="n">
        <v>15</v>
      </c>
      <c r="AL774" t="n">
        <v>1</v>
      </c>
      <c r="AM774" t="n">
        <v>1</v>
      </c>
      <c r="AN774" t="n">
        <v>0</v>
      </c>
      <c r="AO774" t="n">
        <v>0</v>
      </c>
      <c r="AP774" t="inlineStr">
        <is>
          <t>No</t>
        </is>
      </c>
      <c r="AQ774" t="inlineStr">
        <is>
          <t>Yes</t>
        </is>
      </c>
      <c r="AR774">
        <f>HYPERLINK("http://catalog.hathitrust.org/Record/001412366","HathiTrust Record")</f>
        <v/>
      </c>
      <c r="AS774">
        <f>HYPERLINK("https://creighton-primo.hosted.exlibrisgroup.com/primo-explore/search?tab=default_tab&amp;search_scope=EVERYTHING&amp;vid=01CRU&amp;lang=en_US&amp;offset=0&amp;query=any,contains,991000058759702656","Catalog Record")</f>
        <v/>
      </c>
      <c r="AT774">
        <f>HYPERLINK("http://www.worldcat.org/oclc/24150","WorldCat Record")</f>
        <v/>
      </c>
      <c r="AU774" t="inlineStr">
        <is>
          <t>3943681830:eng</t>
        </is>
      </c>
      <c r="AV774" t="inlineStr">
        <is>
          <t>24150</t>
        </is>
      </c>
      <c r="AW774" t="inlineStr">
        <is>
          <t>991000058759702656</t>
        </is>
      </c>
      <c r="AX774" t="inlineStr">
        <is>
          <t>991000058759702656</t>
        </is>
      </c>
      <c r="AY774" t="inlineStr">
        <is>
          <t>2266667080002656</t>
        </is>
      </c>
      <c r="AZ774" t="inlineStr">
        <is>
          <t>BOOK</t>
        </is>
      </c>
      <c r="BC774" t="inlineStr">
        <is>
          <t>32285000746528</t>
        </is>
      </c>
      <c r="BD774" t="inlineStr">
        <is>
          <t>893896578</t>
        </is>
      </c>
    </row>
    <row r="775">
      <c r="A775" t="inlineStr">
        <is>
          <t>No</t>
        </is>
      </c>
      <c r="B775" t="inlineStr">
        <is>
          <t>BT590.N2 H3813</t>
        </is>
      </c>
      <c r="C775" t="inlineStr">
        <is>
          <t>0                      BT 0590000N  2                  H  3813</t>
        </is>
      </c>
      <c r="D775" t="inlineStr">
        <is>
          <t>The name of Jesus / by Irénée Hausherr ; translated by Charles Cummings.</t>
        </is>
      </c>
      <c r="F775" t="inlineStr">
        <is>
          <t>No</t>
        </is>
      </c>
      <c r="G775" t="inlineStr">
        <is>
          <t>1</t>
        </is>
      </c>
      <c r="H775" t="inlineStr">
        <is>
          <t>No</t>
        </is>
      </c>
      <c r="I775" t="inlineStr">
        <is>
          <t>No</t>
        </is>
      </c>
      <c r="J775" t="inlineStr">
        <is>
          <t>0</t>
        </is>
      </c>
      <c r="K775" t="inlineStr">
        <is>
          <t>Hausherr, Irénée, 1891-1978.</t>
        </is>
      </c>
      <c r="L775" t="inlineStr">
        <is>
          <t>Kalamazoo, Mich. : Cistercian Publications, 1978.</t>
        </is>
      </c>
      <c r="M775" t="inlineStr">
        <is>
          <t>1978</t>
        </is>
      </c>
      <c r="O775" t="inlineStr">
        <is>
          <t>eng</t>
        </is>
      </c>
      <c r="P775" t="inlineStr">
        <is>
          <t>miu</t>
        </is>
      </c>
      <c r="Q775" t="inlineStr">
        <is>
          <t>Cistercian studies series ; no. 44</t>
        </is>
      </c>
      <c r="R775" t="inlineStr">
        <is>
          <t xml:space="preserve">BT </t>
        </is>
      </c>
      <c r="S775" t="n">
        <v>9</v>
      </c>
      <c r="T775" t="n">
        <v>9</v>
      </c>
      <c r="U775" t="inlineStr">
        <is>
          <t>2010-07-27</t>
        </is>
      </c>
      <c r="V775" t="inlineStr">
        <is>
          <t>2010-07-27</t>
        </is>
      </c>
      <c r="W775" t="inlineStr">
        <is>
          <t>1991-08-29</t>
        </is>
      </c>
      <c r="X775" t="inlineStr">
        <is>
          <t>1991-08-29</t>
        </is>
      </c>
      <c r="Y775" t="n">
        <v>309</v>
      </c>
      <c r="Z775" t="n">
        <v>257</v>
      </c>
      <c r="AA775" t="n">
        <v>264</v>
      </c>
      <c r="AB775" t="n">
        <v>2</v>
      </c>
      <c r="AC775" t="n">
        <v>2</v>
      </c>
      <c r="AD775" t="n">
        <v>28</v>
      </c>
      <c r="AE775" t="n">
        <v>28</v>
      </c>
      <c r="AF775" t="n">
        <v>10</v>
      </c>
      <c r="AG775" t="n">
        <v>10</v>
      </c>
      <c r="AH775" t="n">
        <v>8</v>
      </c>
      <c r="AI775" t="n">
        <v>8</v>
      </c>
      <c r="AJ775" t="n">
        <v>20</v>
      </c>
      <c r="AK775" t="n">
        <v>20</v>
      </c>
      <c r="AL775" t="n">
        <v>0</v>
      </c>
      <c r="AM775" t="n">
        <v>0</v>
      </c>
      <c r="AN775" t="n">
        <v>0</v>
      </c>
      <c r="AO775" t="n">
        <v>0</v>
      </c>
      <c r="AP775" t="inlineStr">
        <is>
          <t>No</t>
        </is>
      </c>
      <c r="AQ775" t="inlineStr">
        <is>
          <t>Yes</t>
        </is>
      </c>
      <c r="AR775">
        <f>HYPERLINK("http://catalog.hathitrust.org/Record/000294890","HathiTrust Record")</f>
        <v/>
      </c>
      <c r="AS775">
        <f>HYPERLINK("https://creighton-primo.hosted.exlibrisgroup.com/primo-explore/search?tab=default_tab&amp;search_scope=EVERYTHING&amp;vid=01CRU&amp;lang=en_US&amp;offset=0&amp;query=any,contains,991004375329702656","Catalog Record")</f>
        <v/>
      </c>
      <c r="AT775">
        <f>HYPERLINK("http://www.worldcat.org/oclc/3204541","WorldCat Record")</f>
        <v/>
      </c>
      <c r="AU775" t="inlineStr">
        <is>
          <t>60752434:eng</t>
        </is>
      </c>
      <c r="AV775" t="inlineStr">
        <is>
          <t>3204541</t>
        </is>
      </c>
      <c r="AW775" t="inlineStr">
        <is>
          <t>991004375329702656</t>
        </is>
      </c>
      <c r="AX775" t="inlineStr">
        <is>
          <t>991004375329702656</t>
        </is>
      </c>
      <c r="AY775" t="inlineStr">
        <is>
          <t>2269435260002656</t>
        </is>
      </c>
      <c r="AZ775" t="inlineStr">
        <is>
          <t>BOOK</t>
        </is>
      </c>
      <c r="BB775" t="inlineStr">
        <is>
          <t>9780879078447</t>
        </is>
      </c>
      <c r="BC775" t="inlineStr">
        <is>
          <t>32285000746536</t>
        </is>
      </c>
      <c r="BD775" t="inlineStr">
        <is>
          <t>893325311</t>
        </is>
      </c>
    </row>
    <row r="776">
      <c r="A776" t="inlineStr">
        <is>
          <t>No</t>
        </is>
      </c>
      <c r="B776" t="inlineStr">
        <is>
          <t>BT590.N2 S2</t>
        </is>
      </c>
      <c r="C776" t="inlineStr">
        <is>
          <t>0                      BT 0590000N  2                  S  2</t>
        </is>
      </c>
      <c r="D776" t="inlineStr">
        <is>
          <t>The names and titles of Jesus : themes of Biblical theology / by Leopold Sabourin. Translated by Maurice Carroll.</t>
        </is>
      </c>
      <c r="F776" t="inlineStr">
        <is>
          <t>No</t>
        </is>
      </c>
      <c r="G776" t="inlineStr">
        <is>
          <t>1</t>
        </is>
      </c>
      <c r="H776" t="inlineStr">
        <is>
          <t>No</t>
        </is>
      </c>
      <c r="I776" t="inlineStr">
        <is>
          <t>No</t>
        </is>
      </c>
      <c r="J776" t="inlineStr">
        <is>
          <t>0</t>
        </is>
      </c>
      <c r="K776" t="inlineStr">
        <is>
          <t>Sabourin, Leopold.</t>
        </is>
      </c>
      <c r="L776" t="inlineStr">
        <is>
          <t>New York, Macmillan [1967]</t>
        </is>
      </c>
      <c r="M776" t="inlineStr">
        <is>
          <t>1967</t>
        </is>
      </c>
      <c r="O776" t="inlineStr">
        <is>
          <t>eng</t>
        </is>
      </c>
      <c r="P776" t="inlineStr">
        <is>
          <t>nyu</t>
        </is>
      </c>
      <c r="R776" t="inlineStr">
        <is>
          <t xml:space="preserve">BT </t>
        </is>
      </c>
      <c r="S776" t="n">
        <v>2</v>
      </c>
      <c r="T776" t="n">
        <v>2</v>
      </c>
      <c r="U776" t="inlineStr">
        <is>
          <t>1995-10-09</t>
        </is>
      </c>
      <c r="V776" t="inlineStr">
        <is>
          <t>1995-10-09</t>
        </is>
      </c>
      <c r="W776" t="inlineStr">
        <is>
          <t>1991-08-29</t>
        </is>
      </c>
      <c r="X776" t="inlineStr">
        <is>
          <t>1991-08-29</t>
        </is>
      </c>
      <c r="Y776" t="n">
        <v>399</v>
      </c>
      <c r="Z776" t="n">
        <v>359</v>
      </c>
      <c r="AA776" t="n">
        <v>359</v>
      </c>
      <c r="AB776" t="n">
        <v>4</v>
      </c>
      <c r="AC776" t="n">
        <v>4</v>
      </c>
      <c r="AD776" t="n">
        <v>30</v>
      </c>
      <c r="AE776" t="n">
        <v>30</v>
      </c>
      <c r="AF776" t="n">
        <v>9</v>
      </c>
      <c r="AG776" t="n">
        <v>9</v>
      </c>
      <c r="AH776" t="n">
        <v>7</v>
      </c>
      <c r="AI776" t="n">
        <v>7</v>
      </c>
      <c r="AJ776" t="n">
        <v>19</v>
      </c>
      <c r="AK776" t="n">
        <v>19</v>
      </c>
      <c r="AL776" t="n">
        <v>2</v>
      </c>
      <c r="AM776" t="n">
        <v>2</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HYPERLINK("https://creighton-primo.hosted.exlibrisgroup.com/primo-explore/search?tab=default_tab&amp;search_scope=EVERYTHING&amp;vid=01CRU&amp;lang=en_US&amp;offset=0&amp;query=any,contains,991002641419702656","Catalog Record")</f>
        <v/>
      </c>
      <c r="AT776">
        <f>HYPERLINK("http://www.worldcat.org/oclc/384485","WorldCat Record")</f>
        <v/>
      </c>
      <c r="AU776" t="inlineStr">
        <is>
          <t>1504004:eng</t>
        </is>
      </c>
      <c r="AV776" t="inlineStr">
        <is>
          <t>384485</t>
        </is>
      </c>
      <c r="AW776" t="inlineStr">
        <is>
          <t>991002641419702656</t>
        </is>
      </c>
      <c r="AX776" t="inlineStr">
        <is>
          <t>991002641419702656</t>
        </is>
      </c>
      <c r="AY776" t="inlineStr">
        <is>
          <t>2256481410002656</t>
        </is>
      </c>
      <c r="AZ776" t="inlineStr">
        <is>
          <t>BOOK</t>
        </is>
      </c>
      <c r="BC776" t="inlineStr">
        <is>
          <t>32285000746585</t>
        </is>
      </c>
      <c r="BD776" t="inlineStr">
        <is>
          <t>893434104</t>
        </is>
      </c>
    </row>
    <row r="777">
      <c r="A777" t="inlineStr">
        <is>
          <t>No</t>
        </is>
      </c>
      <c r="B777" t="inlineStr">
        <is>
          <t>BT590.N2 T3</t>
        </is>
      </c>
      <c r="C777" t="inlineStr">
        <is>
          <t>0                      BT 0590000N  2                  T  3</t>
        </is>
      </c>
      <c r="D777" t="inlineStr">
        <is>
          <t>The names of Jesus / by Vincent Taylor.</t>
        </is>
      </c>
      <c r="F777" t="inlineStr">
        <is>
          <t>No</t>
        </is>
      </c>
      <c r="G777" t="inlineStr">
        <is>
          <t>1</t>
        </is>
      </c>
      <c r="H777" t="inlineStr">
        <is>
          <t>No</t>
        </is>
      </c>
      <c r="I777" t="inlineStr">
        <is>
          <t>No</t>
        </is>
      </c>
      <c r="J777" t="inlineStr">
        <is>
          <t>0</t>
        </is>
      </c>
      <c r="K777" t="inlineStr">
        <is>
          <t>Taylor, Vincent, 1887-1968.</t>
        </is>
      </c>
      <c r="L777" t="inlineStr">
        <is>
          <t>New York, St. Martin's Press, 1953.</t>
        </is>
      </c>
      <c r="M777" t="inlineStr">
        <is>
          <t>1953</t>
        </is>
      </c>
      <c r="O777" t="inlineStr">
        <is>
          <t>eng</t>
        </is>
      </c>
      <c r="P777" t="inlineStr">
        <is>
          <t xml:space="preserve">xx </t>
        </is>
      </c>
      <c r="R777" t="inlineStr">
        <is>
          <t xml:space="preserve">BT </t>
        </is>
      </c>
      <c r="S777" t="n">
        <v>3</v>
      </c>
      <c r="T777" t="n">
        <v>3</v>
      </c>
      <c r="U777" t="inlineStr">
        <is>
          <t>1994-11-27</t>
        </is>
      </c>
      <c r="V777" t="inlineStr">
        <is>
          <t>1994-11-27</t>
        </is>
      </c>
      <c r="W777" t="inlineStr">
        <is>
          <t>1991-08-29</t>
        </is>
      </c>
      <c r="X777" t="inlineStr">
        <is>
          <t>1991-08-29</t>
        </is>
      </c>
      <c r="Y777" t="n">
        <v>144</v>
      </c>
      <c r="Z777" t="n">
        <v>138</v>
      </c>
      <c r="AA777" t="n">
        <v>381</v>
      </c>
      <c r="AB777" t="n">
        <v>2</v>
      </c>
      <c r="AC777" t="n">
        <v>4</v>
      </c>
      <c r="AD777" t="n">
        <v>11</v>
      </c>
      <c r="AE777" t="n">
        <v>25</v>
      </c>
      <c r="AF777" t="n">
        <v>4</v>
      </c>
      <c r="AG777" t="n">
        <v>9</v>
      </c>
      <c r="AH777" t="n">
        <v>3</v>
      </c>
      <c r="AI777" t="n">
        <v>3</v>
      </c>
      <c r="AJ777" t="n">
        <v>6</v>
      </c>
      <c r="AK777" t="n">
        <v>14</v>
      </c>
      <c r="AL777" t="n">
        <v>0</v>
      </c>
      <c r="AM777" t="n">
        <v>2</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HYPERLINK("https://creighton-primo.hosted.exlibrisgroup.com/primo-explore/search?tab=default_tab&amp;search_scope=EVERYTHING&amp;vid=01CRU&amp;lang=en_US&amp;offset=0&amp;query=any,contains,991004318429702656","Catalog Record")</f>
        <v/>
      </c>
      <c r="AT777">
        <f>HYPERLINK("http://www.worldcat.org/oclc/3014906","WorldCat Record")</f>
        <v/>
      </c>
      <c r="AU777" t="inlineStr">
        <is>
          <t>1504174:eng</t>
        </is>
      </c>
      <c r="AV777" t="inlineStr">
        <is>
          <t>3014906</t>
        </is>
      </c>
      <c r="AW777" t="inlineStr">
        <is>
          <t>991004318429702656</t>
        </is>
      </c>
      <c r="AX777" t="inlineStr">
        <is>
          <t>991004318429702656</t>
        </is>
      </c>
      <c r="AY777" t="inlineStr">
        <is>
          <t>2270371200002656</t>
        </is>
      </c>
      <c r="AZ777" t="inlineStr">
        <is>
          <t>BOOK</t>
        </is>
      </c>
      <c r="BC777" t="inlineStr">
        <is>
          <t>32285000746593</t>
        </is>
      </c>
      <c r="BD777" t="inlineStr">
        <is>
          <t>893612206</t>
        </is>
      </c>
    </row>
    <row r="778">
      <c r="A778" t="inlineStr">
        <is>
          <t>No</t>
        </is>
      </c>
      <c r="B778" t="inlineStr">
        <is>
          <t>BT590.P75 K43 1987</t>
        </is>
      </c>
      <c r="C778" t="inlineStr">
        <is>
          <t>0                      BT 0590000P  75                 K  43          1987</t>
        </is>
      </c>
      <c r="D778" t="inlineStr">
        <is>
          <t>The Mystery of Christ : the liturgy as spiritual experience / Thomas Keating.</t>
        </is>
      </c>
      <c r="F778" t="inlineStr">
        <is>
          <t>No</t>
        </is>
      </c>
      <c r="G778" t="inlineStr">
        <is>
          <t>1</t>
        </is>
      </c>
      <c r="H778" t="inlineStr">
        <is>
          <t>No</t>
        </is>
      </c>
      <c r="I778" t="inlineStr">
        <is>
          <t>No</t>
        </is>
      </c>
      <c r="J778" t="inlineStr">
        <is>
          <t>0</t>
        </is>
      </c>
      <c r="K778" t="inlineStr">
        <is>
          <t>Keating, Thomas.</t>
        </is>
      </c>
      <c r="L778" t="inlineStr">
        <is>
          <t>Amity, N.Y. : Amity House, c1987.</t>
        </is>
      </c>
      <c r="M778" t="inlineStr">
        <is>
          <t>1987</t>
        </is>
      </c>
      <c r="O778" t="inlineStr">
        <is>
          <t>eng</t>
        </is>
      </c>
      <c r="P778" t="inlineStr">
        <is>
          <t>nyu</t>
        </is>
      </c>
      <c r="R778" t="inlineStr">
        <is>
          <t xml:space="preserve">BT </t>
        </is>
      </c>
      <c r="S778" t="n">
        <v>7</v>
      </c>
      <c r="T778" t="n">
        <v>7</v>
      </c>
      <c r="U778" t="inlineStr">
        <is>
          <t>2010-07-19</t>
        </is>
      </c>
      <c r="V778" t="inlineStr">
        <is>
          <t>2010-07-19</t>
        </is>
      </c>
      <c r="W778" t="inlineStr">
        <is>
          <t>1991-08-29</t>
        </is>
      </c>
      <c r="X778" t="inlineStr">
        <is>
          <t>1991-08-29</t>
        </is>
      </c>
      <c r="Y778" t="n">
        <v>78</v>
      </c>
      <c r="Z778" t="n">
        <v>72</v>
      </c>
      <c r="AA778" t="n">
        <v>598</v>
      </c>
      <c r="AB778" t="n">
        <v>2</v>
      </c>
      <c r="AC778" t="n">
        <v>7</v>
      </c>
      <c r="AD778" t="n">
        <v>11</v>
      </c>
      <c r="AE778" t="n">
        <v>28</v>
      </c>
      <c r="AF778" t="n">
        <v>3</v>
      </c>
      <c r="AG778" t="n">
        <v>13</v>
      </c>
      <c r="AH778" t="n">
        <v>5</v>
      </c>
      <c r="AI778" t="n">
        <v>7</v>
      </c>
      <c r="AJ778" t="n">
        <v>7</v>
      </c>
      <c r="AK778" t="n">
        <v>14</v>
      </c>
      <c r="AL778" t="n">
        <v>0</v>
      </c>
      <c r="AM778" t="n">
        <v>5</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HYPERLINK("https://creighton-primo.hosted.exlibrisgroup.com/primo-explore/search?tab=default_tab&amp;search_scope=EVERYTHING&amp;vid=01CRU&amp;lang=en_US&amp;offset=0&amp;query=any,contains,991001268299702656","Catalog Record")</f>
        <v/>
      </c>
      <c r="AT778">
        <f>HYPERLINK("http://www.worldcat.org/oclc/17835387","WorldCat Record")</f>
        <v/>
      </c>
      <c r="AU778" t="inlineStr">
        <is>
          <t>9079692:eng</t>
        </is>
      </c>
      <c r="AV778" t="inlineStr">
        <is>
          <t>17835387</t>
        </is>
      </c>
      <c r="AW778" t="inlineStr">
        <is>
          <t>991001268299702656</t>
        </is>
      </c>
      <c r="AX778" t="inlineStr">
        <is>
          <t>991001268299702656</t>
        </is>
      </c>
      <c r="AY778" t="inlineStr">
        <is>
          <t>2255512910002656</t>
        </is>
      </c>
      <c r="AZ778" t="inlineStr">
        <is>
          <t>BOOK</t>
        </is>
      </c>
      <c r="BB778" t="inlineStr">
        <is>
          <t>9780916349417</t>
        </is>
      </c>
      <c r="BC778" t="inlineStr">
        <is>
          <t>32285000746619</t>
        </is>
      </c>
      <c r="BD778" t="inlineStr">
        <is>
          <t>893872418</t>
        </is>
      </c>
    </row>
    <row r="779">
      <c r="A779" t="inlineStr">
        <is>
          <t>No</t>
        </is>
      </c>
      <c r="B779" t="inlineStr">
        <is>
          <t>BT590.S65 C48 1997</t>
        </is>
      </c>
      <c r="C779" t="inlineStr">
        <is>
          <t>0                      BT 0590000S  65                 C  48          1997</t>
        </is>
      </c>
      <c r="D779" t="inlineStr">
        <is>
          <t>Jesus' prayer and Jesus' Eucharist : his personal practice of spirituality / Bruce Chilton.</t>
        </is>
      </c>
      <c r="F779" t="inlineStr">
        <is>
          <t>No</t>
        </is>
      </c>
      <c r="G779" t="inlineStr">
        <is>
          <t>1</t>
        </is>
      </c>
      <c r="H779" t="inlineStr">
        <is>
          <t>No</t>
        </is>
      </c>
      <c r="I779" t="inlineStr">
        <is>
          <t>No</t>
        </is>
      </c>
      <c r="J779" t="inlineStr">
        <is>
          <t>0</t>
        </is>
      </c>
      <c r="K779" t="inlineStr">
        <is>
          <t>Chilton, Bruce.</t>
        </is>
      </c>
      <c r="L779" t="inlineStr">
        <is>
          <t>Valley Forge, Pa. : Trinity Press International, c1997.</t>
        </is>
      </c>
      <c r="M779" t="inlineStr">
        <is>
          <t>1997</t>
        </is>
      </c>
      <c r="O779" t="inlineStr">
        <is>
          <t>eng</t>
        </is>
      </c>
      <c r="P779" t="inlineStr">
        <is>
          <t>pau</t>
        </is>
      </c>
      <c r="R779" t="inlineStr">
        <is>
          <t xml:space="preserve">BT </t>
        </is>
      </c>
      <c r="S779" t="n">
        <v>9</v>
      </c>
      <c r="T779" t="n">
        <v>9</v>
      </c>
      <c r="U779" t="inlineStr">
        <is>
          <t>2005-04-20</t>
        </is>
      </c>
      <c r="V779" t="inlineStr">
        <is>
          <t>2005-04-20</t>
        </is>
      </c>
      <c r="W779" t="inlineStr">
        <is>
          <t>1997-10-20</t>
        </is>
      </c>
      <c r="X779" t="inlineStr">
        <is>
          <t>1997-10-20</t>
        </is>
      </c>
      <c r="Y779" t="n">
        <v>205</v>
      </c>
      <c r="Z779" t="n">
        <v>166</v>
      </c>
      <c r="AA779" t="n">
        <v>166</v>
      </c>
      <c r="AB779" t="n">
        <v>1</v>
      </c>
      <c r="AC779" t="n">
        <v>1</v>
      </c>
      <c r="AD779" t="n">
        <v>13</v>
      </c>
      <c r="AE779" t="n">
        <v>13</v>
      </c>
      <c r="AF779" t="n">
        <v>4</v>
      </c>
      <c r="AG779" t="n">
        <v>4</v>
      </c>
      <c r="AH779" t="n">
        <v>3</v>
      </c>
      <c r="AI779" t="n">
        <v>3</v>
      </c>
      <c r="AJ779" t="n">
        <v>9</v>
      </c>
      <c r="AK779" t="n">
        <v>9</v>
      </c>
      <c r="AL779" t="n">
        <v>0</v>
      </c>
      <c r="AM779" t="n">
        <v>0</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HYPERLINK("https://creighton-primo.hosted.exlibrisgroup.com/primo-explore/search?tab=default_tab&amp;search_scope=EVERYTHING&amp;vid=01CRU&amp;lang=en_US&amp;offset=0&amp;query=any,contains,991002791499702656","Catalog Record")</f>
        <v/>
      </c>
      <c r="AT779">
        <f>HYPERLINK("http://www.worldcat.org/oclc/36656516","WorldCat Record")</f>
        <v/>
      </c>
      <c r="AU779" t="inlineStr">
        <is>
          <t>674087:eng</t>
        </is>
      </c>
      <c r="AV779" t="inlineStr">
        <is>
          <t>36656516</t>
        </is>
      </c>
      <c r="AW779" t="inlineStr">
        <is>
          <t>991002791499702656</t>
        </is>
      </c>
      <c r="AX779" t="inlineStr">
        <is>
          <t>991002791499702656</t>
        </is>
      </c>
      <c r="AY779" t="inlineStr">
        <is>
          <t>2265532810002656</t>
        </is>
      </c>
      <c r="AZ779" t="inlineStr">
        <is>
          <t>BOOK</t>
        </is>
      </c>
      <c r="BB779" t="inlineStr">
        <is>
          <t>9781563382048</t>
        </is>
      </c>
      <c r="BC779" t="inlineStr">
        <is>
          <t>32285003256525</t>
        </is>
      </c>
      <c r="BD779" t="inlineStr">
        <is>
          <t>893809673</t>
        </is>
      </c>
    </row>
    <row r="780">
      <c r="A780" t="inlineStr">
        <is>
          <t>No</t>
        </is>
      </c>
      <c r="B780" t="inlineStr">
        <is>
          <t>BT590.S65 W35 1995</t>
        </is>
      </c>
      <c r="C780" t="inlineStr">
        <is>
          <t>0                      BT 0590000S  65                 W  35          1995</t>
        </is>
      </c>
      <c r="D780" t="inlineStr">
        <is>
          <t>The faith of Jesus Christ in early Christian traditions / Ian G. Wallis.</t>
        </is>
      </c>
      <c r="F780" t="inlineStr">
        <is>
          <t>No</t>
        </is>
      </c>
      <c r="G780" t="inlineStr">
        <is>
          <t>1</t>
        </is>
      </c>
      <c r="H780" t="inlineStr">
        <is>
          <t>No</t>
        </is>
      </c>
      <c r="I780" t="inlineStr">
        <is>
          <t>No</t>
        </is>
      </c>
      <c r="J780" t="inlineStr">
        <is>
          <t>0</t>
        </is>
      </c>
      <c r="K780" t="inlineStr">
        <is>
          <t>Wallis, Ian G.</t>
        </is>
      </c>
      <c r="L780" t="inlineStr">
        <is>
          <t>Cambridge ; New York, NY, USA : Cambridge University Press, 1995.</t>
        </is>
      </c>
      <c r="M780" t="inlineStr">
        <is>
          <t>1995</t>
        </is>
      </c>
      <c r="O780" t="inlineStr">
        <is>
          <t>eng</t>
        </is>
      </c>
      <c r="P780" t="inlineStr">
        <is>
          <t>enk</t>
        </is>
      </c>
      <c r="Q780" t="inlineStr">
        <is>
          <t>Monograph series (Society for New Testament Studies) ; 84</t>
        </is>
      </c>
      <c r="R780" t="inlineStr">
        <is>
          <t xml:space="preserve">BT </t>
        </is>
      </c>
      <c r="S780" t="n">
        <v>8</v>
      </c>
      <c r="T780" t="n">
        <v>8</v>
      </c>
      <c r="U780" t="inlineStr">
        <is>
          <t>2005-01-20</t>
        </is>
      </c>
      <c r="V780" t="inlineStr">
        <is>
          <t>2005-01-20</t>
        </is>
      </c>
      <c r="W780" t="inlineStr">
        <is>
          <t>1995-05-08</t>
        </is>
      </c>
      <c r="X780" t="inlineStr">
        <is>
          <t>1995-05-08</t>
        </is>
      </c>
      <c r="Y780" t="n">
        <v>363</v>
      </c>
      <c r="Z780" t="n">
        <v>275</v>
      </c>
      <c r="AA780" t="n">
        <v>292</v>
      </c>
      <c r="AB780" t="n">
        <v>2</v>
      </c>
      <c r="AC780" t="n">
        <v>2</v>
      </c>
      <c r="AD780" t="n">
        <v>23</v>
      </c>
      <c r="AE780" t="n">
        <v>24</v>
      </c>
      <c r="AF780" t="n">
        <v>10</v>
      </c>
      <c r="AG780" t="n">
        <v>10</v>
      </c>
      <c r="AH780" t="n">
        <v>5</v>
      </c>
      <c r="AI780" t="n">
        <v>6</v>
      </c>
      <c r="AJ780" t="n">
        <v>16</v>
      </c>
      <c r="AK780" t="n">
        <v>16</v>
      </c>
      <c r="AL780" t="n">
        <v>1</v>
      </c>
      <c r="AM780" t="n">
        <v>1</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HYPERLINK("https://creighton-primo.hosted.exlibrisgroup.com/primo-explore/search?tab=default_tab&amp;search_scope=EVERYTHING&amp;vid=01CRU&amp;lang=en_US&amp;offset=0&amp;query=any,contains,991002333489702656","Catalog Record")</f>
        <v/>
      </c>
      <c r="AT780">
        <f>HYPERLINK("http://www.worldcat.org/oclc/30360550","WorldCat Record")</f>
        <v/>
      </c>
      <c r="AU780" t="inlineStr">
        <is>
          <t>887819:eng</t>
        </is>
      </c>
      <c r="AV780" t="inlineStr">
        <is>
          <t>30360550</t>
        </is>
      </c>
      <c r="AW780" t="inlineStr">
        <is>
          <t>991002333489702656</t>
        </is>
      </c>
      <c r="AX780" t="inlineStr">
        <is>
          <t>991002333489702656</t>
        </is>
      </c>
      <c r="AY780" t="inlineStr">
        <is>
          <t>2255449960002656</t>
        </is>
      </c>
      <c r="AZ780" t="inlineStr">
        <is>
          <t>BOOK</t>
        </is>
      </c>
      <c r="BB780" t="inlineStr">
        <is>
          <t>9780521473521</t>
        </is>
      </c>
      <c r="BC780" t="inlineStr">
        <is>
          <t>32285002055423</t>
        </is>
      </c>
      <c r="BD780" t="inlineStr">
        <is>
          <t>893257164</t>
        </is>
      </c>
    </row>
    <row r="781">
      <c r="A781" t="inlineStr">
        <is>
          <t>No</t>
        </is>
      </c>
      <c r="B781" t="inlineStr">
        <is>
          <t>BT590.T5 B9 1994</t>
        </is>
      </c>
      <c r="C781" t="inlineStr">
        <is>
          <t>0                      BT 0590000T  5                  B  9           1994</t>
        </is>
      </c>
      <c r="D781" t="inlineStr">
        <is>
          <t>Jesus the only teacher : didactic authority and transmission in ancient Israel, ancient Judaism and the Matthean community / Samuel Byrskog.</t>
        </is>
      </c>
      <c r="F781" t="inlineStr">
        <is>
          <t>No</t>
        </is>
      </c>
      <c r="G781" t="inlineStr">
        <is>
          <t>1</t>
        </is>
      </c>
      <c r="H781" t="inlineStr">
        <is>
          <t>No</t>
        </is>
      </c>
      <c r="I781" t="inlineStr">
        <is>
          <t>No</t>
        </is>
      </c>
      <c r="J781" t="inlineStr">
        <is>
          <t>0</t>
        </is>
      </c>
      <c r="K781" t="inlineStr">
        <is>
          <t>Byrskog, Samuel.</t>
        </is>
      </c>
      <c r="L781" t="inlineStr">
        <is>
          <t>Stockholm : Almqvist &amp; Wiksell International, 1994.</t>
        </is>
      </c>
      <c r="M781" t="inlineStr">
        <is>
          <t>1994</t>
        </is>
      </c>
      <c r="O781" t="inlineStr">
        <is>
          <t>eng</t>
        </is>
      </c>
      <c r="P781" t="inlineStr">
        <is>
          <t xml:space="preserve">sw </t>
        </is>
      </c>
      <c r="Q781" t="inlineStr">
        <is>
          <t>Coniectanea biblica. New Testament series ; 24</t>
        </is>
      </c>
      <c r="R781" t="inlineStr">
        <is>
          <t xml:space="preserve">BT </t>
        </is>
      </c>
      <c r="S781" t="n">
        <v>5</v>
      </c>
      <c r="T781" t="n">
        <v>5</v>
      </c>
      <c r="U781" t="inlineStr">
        <is>
          <t>2002-11-20</t>
        </is>
      </c>
      <c r="V781" t="inlineStr">
        <is>
          <t>2002-11-20</t>
        </is>
      </c>
      <c r="W781" t="inlineStr">
        <is>
          <t>1995-01-30</t>
        </is>
      </c>
      <c r="X781" t="inlineStr">
        <is>
          <t>1995-01-30</t>
        </is>
      </c>
      <c r="Y781" t="n">
        <v>169</v>
      </c>
      <c r="Z781" t="n">
        <v>112</v>
      </c>
      <c r="AA781" t="n">
        <v>114</v>
      </c>
      <c r="AB781" t="n">
        <v>1</v>
      </c>
      <c r="AC781" t="n">
        <v>1</v>
      </c>
      <c r="AD781" t="n">
        <v>9</v>
      </c>
      <c r="AE781" t="n">
        <v>9</v>
      </c>
      <c r="AF781" t="n">
        <v>3</v>
      </c>
      <c r="AG781" t="n">
        <v>3</v>
      </c>
      <c r="AH781" t="n">
        <v>2</v>
      </c>
      <c r="AI781" t="n">
        <v>2</v>
      </c>
      <c r="AJ781" t="n">
        <v>5</v>
      </c>
      <c r="AK781" t="n">
        <v>5</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HYPERLINK("https://creighton-primo.hosted.exlibrisgroup.com/primo-explore/search?tab=default_tab&amp;search_scope=EVERYTHING&amp;vid=01CRU&amp;lang=en_US&amp;offset=0&amp;query=any,contains,991002320169702656","Catalog Record")</f>
        <v/>
      </c>
      <c r="AT781">
        <f>HYPERLINK("http://www.worldcat.org/oclc/30099744","WorldCat Record")</f>
        <v/>
      </c>
      <c r="AU781" t="inlineStr">
        <is>
          <t>889976293:eng</t>
        </is>
      </c>
      <c r="AV781" t="inlineStr">
        <is>
          <t>30099744</t>
        </is>
      </c>
      <c r="AW781" t="inlineStr">
        <is>
          <t>991002320169702656</t>
        </is>
      </c>
      <c r="AX781" t="inlineStr">
        <is>
          <t>991002320169702656</t>
        </is>
      </c>
      <c r="AY781" t="inlineStr">
        <is>
          <t>2255272330002656</t>
        </is>
      </c>
      <c r="AZ781" t="inlineStr">
        <is>
          <t>BOOK</t>
        </is>
      </c>
      <c r="BB781" t="inlineStr">
        <is>
          <t>9789122015901</t>
        </is>
      </c>
      <c r="BC781" t="inlineStr">
        <is>
          <t>32285001995603</t>
        </is>
      </c>
      <c r="BD781" t="inlineStr">
        <is>
          <t>893615979</t>
        </is>
      </c>
    </row>
    <row r="782">
      <c r="A782" t="inlineStr">
        <is>
          <t>No</t>
        </is>
      </c>
      <c r="B782" t="inlineStr">
        <is>
          <t>BT590.W6 W33 1986</t>
        </is>
      </c>
      <c r="C782" t="inlineStr">
        <is>
          <t>0                      BT 0590000W  6                  W  33          1986</t>
        </is>
      </c>
      <c r="D782" t="inlineStr">
        <is>
          <t>Jesus according to a woman / Rachel Conrad Wahlberg.</t>
        </is>
      </c>
      <c r="F782" t="inlineStr">
        <is>
          <t>No</t>
        </is>
      </c>
      <c r="G782" t="inlineStr">
        <is>
          <t>1</t>
        </is>
      </c>
      <c r="H782" t="inlineStr">
        <is>
          <t>No</t>
        </is>
      </c>
      <c r="I782" t="inlineStr">
        <is>
          <t>No</t>
        </is>
      </c>
      <c r="J782" t="inlineStr">
        <is>
          <t>0</t>
        </is>
      </c>
      <c r="K782" t="inlineStr">
        <is>
          <t>Wahlberg, Rachel Conrad.</t>
        </is>
      </c>
      <c r="L782" t="inlineStr">
        <is>
          <t>New York : Paulist Press, 1986.</t>
        </is>
      </c>
      <c r="M782" t="inlineStr">
        <is>
          <t>1986</t>
        </is>
      </c>
      <c r="N782" t="inlineStr">
        <is>
          <t>Rev. and enlarged ed.</t>
        </is>
      </c>
      <c r="O782" t="inlineStr">
        <is>
          <t>eng</t>
        </is>
      </c>
      <c r="P782" t="inlineStr">
        <is>
          <t>nyu</t>
        </is>
      </c>
      <c r="R782" t="inlineStr">
        <is>
          <t xml:space="preserve">BT </t>
        </is>
      </c>
      <c r="S782" t="n">
        <v>8</v>
      </c>
      <c r="T782" t="n">
        <v>8</v>
      </c>
      <c r="U782" t="inlineStr">
        <is>
          <t>1997-05-23</t>
        </is>
      </c>
      <c r="V782" t="inlineStr">
        <is>
          <t>1997-05-23</t>
        </is>
      </c>
      <c r="W782" t="inlineStr">
        <is>
          <t>1990-03-05</t>
        </is>
      </c>
      <c r="X782" t="inlineStr">
        <is>
          <t>1990-03-05</t>
        </is>
      </c>
      <c r="Y782" t="n">
        <v>89</v>
      </c>
      <c r="Z782" t="n">
        <v>73</v>
      </c>
      <c r="AA782" t="n">
        <v>371</v>
      </c>
      <c r="AB782" t="n">
        <v>1</v>
      </c>
      <c r="AC782" t="n">
        <v>4</v>
      </c>
      <c r="AD782" t="n">
        <v>8</v>
      </c>
      <c r="AE782" t="n">
        <v>30</v>
      </c>
      <c r="AF782" t="n">
        <v>5</v>
      </c>
      <c r="AG782" t="n">
        <v>11</v>
      </c>
      <c r="AH782" t="n">
        <v>1</v>
      </c>
      <c r="AI782" t="n">
        <v>7</v>
      </c>
      <c r="AJ782" t="n">
        <v>4</v>
      </c>
      <c r="AK782" t="n">
        <v>17</v>
      </c>
      <c r="AL782" t="n">
        <v>0</v>
      </c>
      <c r="AM782" t="n">
        <v>3</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HYPERLINK("https://creighton-primo.hosted.exlibrisgroup.com/primo-explore/search?tab=default_tab&amp;search_scope=EVERYTHING&amp;vid=01CRU&amp;lang=en_US&amp;offset=0&amp;query=any,contains,991000974179702656","Catalog Record")</f>
        <v/>
      </c>
      <c r="AT782">
        <f>HYPERLINK("http://www.worldcat.org/oclc/14986264","WorldCat Record")</f>
        <v/>
      </c>
      <c r="AU782" t="inlineStr">
        <is>
          <t>466099:eng</t>
        </is>
      </c>
      <c r="AV782" t="inlineStr">
        <is>
          <t>14986264</t>
        </is>
      </c>
      <c r="AW782" t="inlineStr">
        <is>
          <t>991000974179702656</t>
        </is>
      </c>
      <c r="AX782" t="inlineStr">
        <is>
          <t>991000974179702656</t>
        </is>
      </c>
      <c r="AY782" t="inlineStr">
        <is>
          <t>2268337280002656</t>
        </is>
      </c>
      <c r="AZ782" t="inlineStr">
        <is>
          <t>BOOK</t>
        </is>
      </c>
      <c r="BB782" t="inlineStr">
        <is>
          <t>9780809118618</t>
        </is>
      </c>
      <c r="BC782" t="inlineStr">
        <is>
          <t>32285000076413</t>
        </is>
      </c>
      <c r="BD782" t="inlineStr">
        <is>
          <t>893608433</t>
        </is>
      </c>
    </row>
    <row r="783">
      <c r="A783" t="inlineStr">
        <is>
          <t>No</t>
        </is>
      </c>
      <c r="B783" t="inlineStr">
        <is>
          <t>BT595 .M35</t>
        </is>
      </c>
      <c r="C783" t="inlineStr">
        <is>
          <t>0                      BT 0595000M  35</t>
        </is>
      </c>
      <c r="D783" t="inlineStr">
        <is>
          <t>Mary, the spirit and the church / edited by Vincent P. Branick ; [cover design &amp; photography, John Murello].</t>
        </is>
      </c>
      <c r="F783" t="inlineStr">
        <is>
          <t>No</t>
        </is>
      </c>
      <c r="G783" t="inlineStr">
        <is>
          <t>1</t>
        </is>
      </c>
      <c r="H783" t="inlineStr">
        <is>
          <t>No</t>
        </is>
      </c>
      <c r="I783" t="inlineStr">
        <is>
          <t>No</t>
        </is>
      </c>
      <c r="J783" t="inlineStr">
        <is>
          <t>0</t>
        </is>
      </c>
      <c r="L783" t="inlineStr">
        <is>
          <t>Ramsey, N.J. : Paulist Press, c1980.</t>
        </is>
      </c>
      <c r="M783" t="inlineStr">
        <is>
          <t>1980</t>
        </is>
      </c>
      <c r="O783" t="inlineStr">
        <is>
          <t>eng</t>
        </is>
      </c>
      <c r="P783" t="inlineStr">
        <is>
          <t>nju</t>
        </is>
      </c>
      <c r="R783" t="inlineStr">
        <is>
          <t xml:space="preserve">BT </t>
        </is>
      </c>
      <c r="S783" t="n">
        <v>6</v>
      </c>
      <c r="T783" t="n">
        <v>6</v>
      </c>
      <c r="U783" t="inlineStr">
        <is>
          <t>2009-04-17</t>
        </is>
      </c>
      <c r="V783" t="inlineStr">
        <is>
          <t>2009-04-17</t>
        </is>
      </c>
      <c r="W783" t="inlineStr">
        <is>
          <t>1991-08-29</t>
        </is>
      </c>
      <c r="X783" t="inlineStr">
        <is>
          <t>1991-08-29</t>
        </is>
      </c>
      <c r="Y783" t="n">
        <v>126</v>
      </c>
      <c r="Z783" t="n">
        <v>109</v>
      </c>
      <c r="AA783" t="n">
        <v>109</v>
      </c>
      <c r="AB783" t="n">
        <v>1</v>
      </c>
      <c r="AC783" t="n">
        <v>1</v>
      </c>
      <c r="AD783" t="n">
        <v>10</v>
      </c>
      <c r="AE783" t="n">
        <v>10</v>
      </c>
      <c r="AF783" t="n">
        <v>1</v>
      </c>
      <c r="AG783" t="n">
        <v>1</v>
      </c>
      <c r="AH783" t="n">
        <v>5</v>
      </c>
      <c r="AI783" t="n">
        <v>5</v>
      </c>
      <c r="AJ783" t="n">
        <v>7</v>
      </c>
      <c r="AK783" t="n">
        <v>7</v>
      </c>
      <c r="AL783" t="n">
        <v>0</v>
      </c>
      <c r="AM783" t="n">
        <v>0</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HYPERLINK("https://creighton-primo.hosted.exlibrisgroup.com/primo-explore/search?tab=default_tab&amp;search_scope=EVERYTHING&amp;vid=01CRU&amp;lang=en_US&amp;offset=0&amp;query=any,contains,991005134869702656","Catalog Record")</f>
        <v/>
      </c>
      <c r="AT783">
        <f>HYPERLINK("http://www.worldcat.org/oclc/7575915","WorldCat Record")</f>
        <v/>
      </c>
      <c r="AU783" t="inlineStr">
        <is>
          <t>28888635:eng</t>
        </is>
      </c>
      <c r="AV783" t="inlineStr">
        <is>
          <t>7575915</t>
        </is>
      </c>
      <c r="AW783" t="inlineStr">
        <is>
          <t>991005134869702656</t>
        </is>
      </c>
      <c r="AX783" t="inlineStr">
        <is>
          <t>991005134869702656</t>
        </is>
      </c>
      <c r="AY783" t="inlineStr">
        <is>
          <t>2265758820002656</t>
        </is>
      </c>
      <c r="AZ783" t="inlineStr">
        <is>
          <t>BOOK</t>
        </is>
      </c>
      <c r="BC783" t="inlineStr">
        <is>
          <t>32285000746650</t>
        </is>
      </c>
      <c r="BD783" t="inlineStr">
        <is>
          <t>893446591</t>
        </is>
      </c>
    </row>
    <row r="784">
      <c r="A784" t="inlineStr">
        <is>
          <t>No</t>
        </is>
      </c>
      <c r="B784" t="inlineStr">
        <is>
          <t>BT597 .C29 1961</t>
        </is>
      </c>
      <c r="C784" t="inlineStr">
        <is>
          <t>0                      BT 0597000C  29          1961</t>
        </is>
      </c>
      <c r="D784" t="inlineStr">
        <is>
          <t>Our Lady / selected and arr. by the Benedictine monks of Solesmes. Translated by the Daughters of St. Paul.</t>
        </is>
      </c>
      <c r="F784" t="inlineStr">
        <is>
          <t>No</t>
        </is>
      </c>
      <c r="G784" t="inlineStr">
        <is>
          <t>1</t>
        </is>
      </c>
      <c r="H784" t="inlineStr">
        <is>
          <t>No</t>
        </is>
      </c>
      <c r="I784" t="inlineStr">
        <is>
          <t>No</t>
        </is>
      </c>
      <c r="J784" t="inlineStr">
        <is>
          <t>0</t>
        </is>
      </c>
      <c r="K784" t="inlineStr">
        <is>
          <t>Catholic Church. Pope.</t>
        </is>
      </c>
      <c r="L784" t="inlineStr">
        <is>
          <t>[Boston] : St. Paul Editions, [1961]</t>
        </is>
      </c>
      <c r="M784" t="inlineStr">
        <is>
          <t>1961</t>
        </is>
      </c>
      <c r="O784" t="inlineStr">
        <is>
          <t>eng</t>
        </is>
      </c>
      <c r="P784" t="inlineStr">
        <is>
          <t>mau</t>
        </is>
      </c>
      <c r="Q784" t="inlineStr">
        <is>
          <t>Papal teachings</t>
        </is>
      </c>
      <c r="R784" t="inlineStr">
        <is>
          <t xml:space="preserve">BT </t>
        </is>
      </c>
      <c r="S784" t="n">
        <v>4</v>
      </c>
      <c r="T784" t="n">
        <v>4</v>
      </c>
      <c r="U784" t="inlineStr">
        <is>
          <t>1999-06-10</t>
        </is>
      </c>
      <c r="V784" t="inlineStr">
        <is>
          <t>1999-06-10</t>
        </is>
      </c>
      <c r="W784" t="inlineStr">
        <is>
          <t>1991-08-29</t>
        </is>
      </c>
      <c r="X784" t="inlineStr">
        <is>
          <t>1991-08-29</t>
        </is>
      </c>
      <c r="Y784" t="n">
        <v>190</v>
      </c>
      <c r="Z784" t="n">
        <v>158</v>
      </c>
      <c r="AA784" t="n">
        <v>161</v>
      </c>
      <c r="AB784" t="n">
        <v>2</v>
      </c>
      <c r="AC784" t="n">
        <v>2</v>
      </c>
      <c r="AD784" t="n">
        <v>26</v>
      </c>
      <c r="AE784" t="n">
        <v>26</v>
      </c>
      <c r="AF784" t="n">
        <v>9</v>
      </c>
      <c r="AG784" t="n">
        <v>9</v>
      </c>
      <c r="AH784" t="n">
        <v>5</v>
      </c>
      <c r="AI784" t="n">
        <v>5</v>
      </c>
      <c r="AJ784" t="n">
        <v>21</v>
      </c>
      <c r="AK784" t="n">
        <v>21</v>
      </c>
      <c r="AL784" t="n">
        <v>0</v>
      </c>
      <c r="AM784" t="n">
        <v>0</v>
      </c>
      <c r="AN784" t="n">
        <v>0</v>
      </c>
      <c r="AO784" t="n">
        <v>0</v>
      </c>
      <c r="AP784" t="inlineStr">
        <is>
          <t>No</t>
        </is>
      </c>
      <c r="AQ784" t="inlineStr">
        <is>
          <t>Yes</t>
        </is>
      </c>
      <c r="AR784">
        <f>HYPERLINK("http://catalog.hathitrust.org/Record/102650259","HathiTrust Record")</f>
        <v/>
      </c>
      <c r="AS784">
        <f>HYPERLINK("https://creighton-primo.hosted.exlibrisgroup.com/primo-explore/search?tab=default_tab&amp;search_scope=EVERYTHING&amp;vid=01CRU&amp;lang=en_US&amp;offset=0&amp;query=any,contains,991003478169702656","Catalog Record")</f>
        <v/>
      </c>
      <c r="AT784">
        <f>HYPERLINK("http://www.worldcat.org/oclc/4539222","WorldCat Record")</f>
        <v/>
      </c>
      <c r="AU784" t="inlineStr">
        <is>
          <t>14913570:eng</t>
        </is>
      </c>
      <c r="AV784" t="inlineStr">
        <is>
          <t>4539222</t>
        </is>
      </c>
      <c r="AW784" t="inlineStr">
        <is>
          <t>991003478169702656</t>
        </is>
      </c>
      <c r="AX784" t="inlineStr">
        <is>
          <t>991003478169702656</t>
        </is>
      </c>
      <c r="AY784" t="inlineStr">
        <is>
          <t>2272129980002656</t>
        </is>
      </c>
      <c r="AZ784" t="inlineStr">
        <is>
          <t>BOOK</t>
        </is>
      </c>
      <c r="BC784" t="inlineStr">
        <is>
          <t>32285000746718</t>
        </is>
      </c>
      <c r="BD784" t="inlineStr">
        <is>
          <t>893604830</t>
        </is>
      </c>
    </row>
    <row r="785">
      <c r="A785" t="inlineStr">
        <is>
          <t>No</t>
        </is>
      </c>
      <c r="B785" t="inlineStr">
        <is>
          <t>BT597 .T39 1974</t>
        </is>
      </c>
      <c r="C785" t="inlineStr">
        <is>
          <t>0                      BT 0597000T  39          1974</t>
        </is>
      </c>
      <c r="D785" t="inlineStr">
        <is>
          <t>Theological and pastoral orientations on the Catholic charismatic renewal.</t>
        </is>
      </c>
      <c r="F785" t="inlineStr">
        <is>
          <t>No</t>
        </is>
      </c>
      <c r="G785" t="inlineStr">
        <is>
          <t>1</t>
        </is>
      </c>
      <c r="H785" t="inlineStr">
        <is>
          <t>No</t>
        </is>
      </c>
      <c r="I785" t="inlineStr">
        <is>
          <t>No</t>
        </is>
      </c>
      <c r="J785" t="inlineStr">
        <is>
          <t>0</t>
        </is>
      </c>
      <c r="L785" t="inlineStr">
        <is>
          <t>Notre Dame, Ind. : The Communication Center, c1974.</t>
        </is>
      </c>
      <c r="M785" t="inlineStr">
        <is>
          <t>1974</t>
        </is>
      </c>
      <c r="O785" t="inlineStr">
        <is>
          <t>eng</t>
        </is>
      </c>
      <c r="P785" t="inlineStr">
        <is>
          <t xml:space="preserve">xx </t>
        </is>
      </c>
      <c r="R785" t="inlineStr">
        <is>
          <t xml:space="preserve">BT </t>
        </is>
      </c>
      <c r="S785" t="n">
        <v>2</v>
      </c>
      <c r="T785" t="n">
        <v>2</v>
      </c>
      <c r="U785" t="inlineStr">
        <is>
          <t>1992-09-24</t>
        </is>
      </c>
      <c r="V785" t="inlineStr">
        <is>
          <t>1992-09-24</t>
        </is>
      </c>
      <c r="W785" t="inlineStr">
        <is>
          <t>1991-08-29</t>
        </is>
      </c>
      <c r="X785" t="inlineStr">
        <is>
          <t>1991-08-29</t>
        </is>
      </c>
      <c r="Y785" t="n">
        <v>77</v>
      </c>
      <c r="Z785" t="n">
        <v>69</v>
      </c>
      <c r="AA785" t="n">
        <v>91</v>
      </c>
      <c r="AB785" t="n">
        <v>1</v>
      </c>
      <c r="AC785" t="n">
        <v>1</v>
      </c>
      <c r="AD785" t="n">
        <v>12</v>
      </c>
      <c r="AE785" t="n">
        <v>13</v>
      </c>
      <c r="AF785" t="n">
        <v>1</v>
      </c>
      <c r="AG785" t="n">
        <v>1</v>
      </c>
      <c r="AH785" t="n">
        <v>5</v>
      </c>
      <c r="AI785" t="n">
        <v>5</v>
      </c>
      <c r="AJ785" t="n">
        <v>9</v>
      </c>
      <c r="AK785" t="n">
        <v>10</v>
      </c>
      <c r="AL785" t="n">
        <v>0</v>
      </c>
      <c r="AM785" t="n">
        <v>0</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HYPERLINK("https://creighton-primo.hosted.exlibrisgroup.com/primo-explore/search?tab=default_tab&amp;search_scope=EVERYTHING&amp;vid=01CRU&amp;lang=en_US&amp;offset=0&amp;query=any,contains,991003912279702656","Catalog Record")</f>
        <v/>
      </c>
      <c r="AT785">
        <f>HYPERLINK("http://www.worldcat.org/oclc/1854163","WorldCat Record")</f>
        <v/>
      </c>
      <c r="AU785" t="inlineStr">
        <is>
          <t>2592891:eng</t>
        </is>
      </c>
      <c r="AV785" t="inlineStr">
        <is>
          <t>1854163</t>
        </is>
      </c>
      <c r="AW785" t="inlineStr">
        <is>
          <t>991003912279702656</t>
        </is>
      </c>
      <c r="AX785" t="inlineStr">
        <is>
          <t>991003912279702656</t>
        </is>
      </c>
      <c r="AY785" t="inlineStr">
        <is>
          <t>2264307550002656</t>
        </is>
      </c>
      <c r="AZ785" t="inlineStr">
        <is>
          <t>BOOK</t>
        </is>
      </c>
      <c r="BC785" t="inlineStr">
        <is>
          <t>32285000746742</t>
        </is>
      </c>
      <c r="BD785" t="inlineStr">
        <is>
          <t>893687123</t>
        </is>
      </c>
    </row>
    <row r="786">
      <c r="A786" t="inlineStr">
        <is>
          <t>No</t>
        </is>
      </c>
      <c r="B786" t="inlineStr">
        <is>
          <t>BT598 .C3 1959</t>
        </is>
      </c>
      <c r="C786" t="inlineStr">
        <is>
          <t>0                      BT 0598000C  3           1959</t>
        </is>
      </c>
      <c r="D786" t="inlineStr">
        <is>
          <t>Four Marian encyclicals and the apostolic constitution Munificentissimus Deus of Pope Pius XII : with discussion club outlines / by Gerald C. Treacy. Introd. by William F. Hogan. Edited by Edward R. Lawler.</t>
        </is>
      </c>
      <c r="F786" t="inlineStr">
        <is>
          <t>No</t>
        </is>
      </c>
      <c r="G786" t="inlineStr">
        <is>
          <t>1</t>
        </is>
      </c>
      <c r="H786" t="inlineStr">
        <is>
          <t>No</t>
        </is>
      </c>
      <c r="I786" t="inlineStr">
        <is>
          <t>No</t>
        </is>
      </c>
      <c r="J786" t="inlineStr">
        <is>
          <t>0</t>
        </is>
      </c>
      <c r="K786" t="inlineStr">
        <is>
          <t>Catholic Church. Pope (1939-1958 : Pius XII).</t>
        </is>
      </c>
      <c r="L786" t="inlineStr">
        <is>
          <t>New York : Paulist Press, [c1959]</t>
        </is>
      </c>
      <c r="M786" t="inlineStr">
        <is>
          <t>1959</t>
        </is>
      </c>
      <c r="O786" t="inlineStr">
        <is>
          <t>eng</t>
        </is>
      </c>
      <c r="P786" t="inlineStr">
        <is>
          <t xml:space="preserve">xx </t>
        </is>
      </c>
      <c r="R786" t="inlineStr">
        <is>
          <t xml:space="preserve">BT </t>
        </is>
      </c>
      <c r="S786" t="n">
        <v>4</v>
      </c>
      <c r="T786" t="n">
        <v>4</v>
      </c>
      <c r="U786" t="inlineStr">
        <is>
          <t>1997-03-20</t>
        </is>
      </c>
      <c r="V786" t="inlineStr">
        <is>
          <t>1997-03-20</t>
        </is>
      </c>
      <c r="W786" t="inlineStr">
        <is>
          <t>1991-08-29</t>
        </is>
      </c>
      <c r="X786" t="inlineStr">
        <is>
          <t>1991-08-29</t>
        </is>
      </c>
      <c r="Y786" t="n">
        <v>77</v>
      </c>
      <c r="Z786" t="n">
        <v>73</v>
      </c>
      <c r="AA786" t="n">
        <v>73</v>
      </c>
      <c r="AB786" t="n">
        <v>2</v>
      </c>
      <c r="AC786" t="n">
        <v>2</v>
      </c>
      <c r="AD786" t="n">
        <v>11</v>
      </c>
      <c r="AE786" t="n">
        <v>11</v>
      </c>
      <c r="AF786" t="n">
        <v>3</v>
      </c>
      <c r="AG786" t="n">
        <v>3</v>
      </c>
      <c r="AH786" t="n">
        <v>4</v>
      </c>
      <c r="AI786" t="n">
        <v>4</v>
      </c>
      <c r="AJ786" t="n">
        <v>6</v>
      </c>
      <c r="AK786" t="n">
        <v>6</v>
      </c>
      <c r="AL786" t="n">
        <v>0</v>
      </c>
      <c r="AM786" t="n">
        <v>0</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HYPERLINK("https://creighton-primo.hosted.exlibrisgroup.com/primo-explore/search?tab=default_tab&amp;search_scope=EVERYTHING&amp;vid=01CRU&amp;lang=en_US&amp;offset=0&amp;query=any,contains,991003541269702656","Catalog Record")</f>
        <v/>
      </c>
      <c r="AT786">
        <f>HYPERLINK("http://www.worldcat.org/oclc/1105662","WorldCat Record")</f>
        <v/>
      </c>
      <c r="AU786" t="inlineStr">
        <is>
          <t>1979440:eng</t>
        </is>
      </c>
      <c r="AV786" t="inlineStr">
        <is>
          <t>1105662</t>
        </is>
      </c>
      <c r="AW786" t="inlineStr">
        <is>
          <t>991003541269702656</t>
        </is>
      </c>
      <c r="AX786" t="inlineStr">
        <is>
          <t>991003541269702656</t>
        </is>
      </c>
      <c r="AY786" t="inlineStr">
        <is>
          <t>2258998890002656</t>
        </is>
      </c>
      <c r="AZ786" t="inlineStr">
        <is>
          <t>BOOK</t>
        </is>
      </c>
      <c r="BC786" t="inlineStr">
        <is>
          <t>32285000746759</t>
        </is>
      </c>
      <c r="BD786" t="inlineStr">
        <is>
          <t>893348785</t>
        </is>
      </c>
    </row>
    <row r="787">
      <c r="A787" t="inlineStr">
        <is>
          <t>No</t>
        </is>
      </c>
      <c r="B787" t="inlineStr">
        <is>
          <t>BT599 .A9 1956</t>
        </is>
      </c>
      <c r="C787" t="inlineStr">
        <is>
          <t>0                      BT 0599000A  9           1956</t>
        </is>
      </c>
      <c r="D787" t="inlineStr">
        <is>
          <t>A dictionary of Mary / compiled by Donald Attwater.</t>
        </is>
      </c>
      <c r="F787" t="inlineStr">
        <is>
          <t>No</t>
        </is>
      </c>
      <c r="G787" t="inlineStr">
        <is>
          <t>1</t>
        </is>
      </c>
      <c r="H787" t="inlineStr">
        <is>
          <t>No</t>
        </is>
      </c>
      <c r="I787" t="inlineStr">
        <is>
          <t>No</t>
        </is>
      </c>
      <c r="J787" t="inlineStr">
        <is>
          <t>0</t>
        </is>
      </c>
      <c r="K787" t="inlineStr">
        <is>
          <t>Attwater, Donald, 1892-1977.</t>
        </is>
      </c>
      <c r="L787" t="inlineStr">
        <is>
          <t>New York : Kenedy, [1956]</t>
        </is>
      </c>
      <c r="M787" t="inlineStr">
        <is>
          <t>1956</t>
        </is>
      </c>
      <c r="O787" t="inlineStr">
        <is>
          <t>eng</t>
        </is>
      </c>
      <c r="P787" t="inlineStr">
        <is>
          <t>___</t>
        </is>
      </c>
      <c r="R787" t="inlineStr">
        <is>
          <t xml:space="preserve">BT </t>
        </is>
      </c>
      <c r="S787" t="n">
        <v>4</v>
      </c>
      <c r="T787" t="n">
        <v>4</v>
      </c>
      <c r="U787" t="inlineStr">
        <is>
          <t>2010-07-19</t>
        </is>
      </c>
      <c r="V787" t="inlineStr">
        <is>
          <t>2010-07-19</t>
        </is>
      </c>
      <c r="W787" t="inlineStr">
        <is>
          <t>1991-08-29</t>
        </is>
      </c>
      <c r="X787" t="inlineStr">
        <is>
          <t>1991-08-29</t>
        </is>
      </c>
      <c r="Y787" t="n">
        <v>282</v>
      </c>
      <c r="Z787" t="n">
        <v>262</v>
      </c>
      <c r="AA787" t="n">
        <v>291</v>
      </c>
      <c r="AB787" t="n">
        <v>2</v>
      </c>
      <c r="AC787" t="n">
        <v>2</v>
      </c>
      <c r="AD787" t="n">
        <v>28</v>
      </c>
      <c r="AE787" t="n">
        <v>30</v>
      </c>
      <c r="AF787" t="n">
        <v>9</v>
      </c>
      <c r="AG787" t="n">
        <v>11</v>
      </c>
      <c r="AH787" t="n">
        <v>7</v>
      </c>
      <c r="AI787" t="n">
        <v>7</v>
      </c>
      <c r="AJ787" t="n">
        <v>22</v>
      </c>
      <c r="AK787" t="n">
        <v>24</v>
      </c>
      <c r="AL787" t="n">
        <v>0</v>
      </c>
      <c r="AM787" t="n">
        <v>0</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HYPERLINK("https://creighton-primo.hosted.exlibrisgroup.com/primo-explore/search?tab=default_tab&amp;search_scope=EVERYTHING&amp;vid=01CRU&amp;lang=en_US&amp;offset=0&amp;query=any,contains,991003406389702656","Catalog Record")</f>
        <v/>
      </c>
      <c r="AT787">
        <f>HYPERLINK("http://www.worldcat.org/oclc/946227","WorldCat Record")</f>
        <v/>
      </c>
      <c r="AU787" t="inlineStr">
        <is>
          <t>1907299:eng</t>
        </is>
      </c>
      <c r="AV787" t="inlineStr">
        <is>
          <t>946227</t>
        </is>
      </c>
      <c r="AW787" t="inlineStr">
        <is>
          <t>991003406389702656</t>
        </is>
      </c>
      <c r="AX787" t="inlineStr">
        <is>
          <t>991003406389702656</t>
        </is>
      </c>
      <c r="AY787" t="inlineStr">
        <is>
          <t>2268169260002656</t>
        </is>
      </c>
      <c r="AZ787" t="inlineStr">
        <is>
          <t>BOOK</t>
        </is>
      </c>
      <c r="BC787" t="inlineStr">
        <is>
          <t>32285000746767</t>
        </is>
      </c>
      <c r="BD787" t="inlineStr">
        <is>
          <t>893598555</t>
        </is>
      </c>
    </row>
    <row r="788">
      <c r="A788" t="inlineStr">
        <is>
          <t>No</t>
        </is>
      </c>
      <c r="B788" t="inlineStr">
        <is>
          <t>BT60 .D63 1982</t>
        </is>
      </c>
      <c r="C788" t="inlineStr">
        <is>
          <t>0                      BT 0060000D  63          1982</t>
        </is>
      </c>
      <c r="D788" t="inlineStr">
        <is>
          <t>Christianity rediscovered / Vincent J. Donovan.</t>
        </is>
      </c>
      <c r="F788" t="inlineStr">
        <is>
          <t>No</t>
        </is>
      </c>
      <c r="G788" t="inlineStr">
        <is>
          <t>1</t>
        </is>
      </c>
      <c r="H788" t="inlineStr">
        <is>
          <t>No</t>
        </is>
      </c>
      <c r="I788" t="inlineStr">
        <is>
          <t>No</t>
        </is>
      </c>
      <c r="J788" t="inlineStr">
        <is>
          <t>0</t>
        </is>
      </c>
      <c r="K788" t="inlineStr">
        <is>
          <t>Donovan, Vincent J., 1926-</t>
        </is>
      </c>
      <c r="L788" t="inlineStr">
        <is>
          <t>Maryknoll, N.Y. : Orbis Books, [1982], c1978.</t>
        </is>
      </c>
      <c r="M788" t="inlineStr">
        <is>
          <t>1982</t>
        </is>
      </c>
      <c r="N788" t="inlineStr">
        <is>
          <t>2nd ed.</t>
        </is>
      </c>
      <c r="O788" t="inlineStr">
        <is>
          <t>eng</t>
        </is>
      </c>
      <c r="P788" t="inlineStr">
        <is>
          <t>nyu</t>
        </is>
      </c>
      <c r="R788" t="inlineStr">
        <is>
          <t xml:space="preserve">BT </t>
        </is>
      </c>
      <c r="S788" t="n">
        <v>5</v>
      </c>
      <c r="T788" t="n">
        <v>5</v>
      </c>
      <c r="U788" t="inlineStr">
        <is>
          <t>2010-09-07</t>
        </is>
      </c>
      <c r="V788" t="inlineStr">
        <is>
          <t>2010-09-07</t>
        </is>
      </c>
      <c r="W788" t="inlineStr">
        <is>
          <t>1995-11-09</t>
        </is>
      </c>
      <c r="X788" t="inlineStr">
        <is>
          <t>1995-11-09</t>
        </is>
      </c>
      <c r="Y788" t="n">
        <v>271</v>
      </c>
      <c r="Z788" t="n">
        <v>240</v>
      </c>
      <c r="AA788" t="n">
        <v>437</v>
      </c>
      <c r="AB788" t="n">
        <v>2</v>
      </c>
      <c r="AC788" t="n">
        <v>2</v>
      </c>
      <c r="AD788" t="n">
        <v>21</v>
      </c>
      <c r="AE788" t="n">
        <v>31</v>
      </c>
      <c r="AF788" t="n">
        <v>8</v>
      </c>
      <c r="AG788" t="n">
        <v>13</v>
      </c>
      <c r="AH788" t="n">
        <v>5</v>
      </c>
      <c r="AI788" t="n">
        <v>7</v>
      </c>
      <c r="AJ788" t="n">
        <v>12</v>
      </c>
      <c r="AK788" t="n">
        <v>19</v>
      </c>
      <c r="AL788" t="n">
        <v>0</v>
      </c>
      <c r="AM788" t="n">
        <v>0</v>
      </c>
      <c r="AN788" t="n">
        <v>0</v>
      </c>
      <c r="AO788" t="n">
        <v>0</v>
      </c>
      <c r="AP788" t="inlineStr">
        <is>
          <t>No</t>
        </is>
      </c>
      <c r="AQ788" t="inlineStr">
        <is>
          <t>Yes</t>
        </is>
      </c>
      <c r="AR788">
        <f>HYPERLINK("http://catalog.hathitrust.org/Record/000307487","HathiTrust Record")</f>
        <v/>
      </c>
      <c r="AS788">
        <f>HYPERLINK("https://creighton-primo.hosted.exlibrisgroup.com/primo-explore/search?tab=default_tab&amp;search_scope=EVERYTHING&amp;vid=01CRU&amp;lang=en_US&amp;offset=0&amp;query=any,contains,991005193619702656","Catalog Record")</f>
        <v/>
      </c>
      <c r="AT788">
        <f>HYPERLINK("http://www.worldcat.org/oclc/8032610","WorldCat Record")</f>
        <v/>
      </c>
      <c r="AU788" t="inlineStr">
        <is>
          <t>836710859:eng</t>
        </is>
      </c>
      <c r="AV788" t="inlineStr">
        <is>
          <t>8032610</t>
        </is>
      </c>
      <c r="AW788" t="inlineStr">
        <is>
          <t>991005193619702656</t>
        </is>
      </c>
      <c r="AX788" t="inlineStr">
        <is>
          <t>991005193619702656</t>
        </is>
      </c>
      <c r="AY788" t="inlineStr">
        <is>
          <t>2269064690002656</t>
        </is>
      </c>
      <c r="AZ788" t="inlineStr">
        <is>
          <t>BOOK</t>
        </is>
      </c>
      <c r="BB788" t="inlineStr">
        <is>
          <t>9780883440964</t>
        </is>
      </c>
      <c r="BC788" t="inlineStr">
        <is>
          <t>32285002101813</t>
        </is>
      </c>
      <c r="BD788" t="inlineStr">
        <is>
          <t>893688752</t>
        </is>
      </c>
    </row>
    <row r="789">
      <c r="A789" t="inlineStr">
        <is>
          <t>No</t>
        </is>
      </c>
      <c r="B789" t="inlineStr">
        <is>
          <t>BT60 .M45 1994</t>
        </is>
      </c>
      <c r="C789" t="inlineStr">
        <is>
          <t>0                      BT 0060000M  45          1994</t>
        </is>
      </c>
      <c r="D789" t="inlineStr">
        <is>
          <t>Is Christianity true? / by Hugo A. Meynell.</t>
        </is>
      </c>
      <c r="F789" t="inlineStr">
        <is>
          <t>No</t>
        </is>
      </c>
      <c r="G789" t="inlineStr">
        <is>
          <t>1</t>
        </is>
      </c>
      <c r="H789" t="inlineStr">
        <is>
          <t>No</t>
        </is>
      </c>
      <c r="I789" t="inlineStr">
        <is>
          <t>No</t>
        </is>
      </c>
      <c r="J789" t="inlineStr">
        <is>
          <t>0</t>
        </is>
      </c>
      <c r="K789" t="inlineStr">
        <is>
          <t>Meynell, Hugo A. (Hugo Anthony), 1936-</t>
        </is>
      </c>
      <c r="L789" t="inlineStr">
        <is>
          <t>Washington, D.C. : The Catholic University of America Press, 1994.</t>
        </is>
      </c>
      <c r="M789" t="inlineStr">
        <is>
          <t>1994</t>
        </is>
      </c>
      <c r="O789" t="inlineStr">
        <is>
          <t>eng</t>
        </is>
      </c>
      <c r="P789" t="inlineStr">
        <is>
          <t>dcu</t>
        </is>
      </c>
      <c r="R789" t="inlineStr">
        <is>
          <t xml:space="preserve">BT </t>
        </is>
      </c>
      <c r="S789" t="n">
        <v>8</v>
      </c>
      <c r="T789" t="n">
        <v>8</v>
      </c>
      <c r="U789" t="inlineStr">
        <is>
          <t>1996-11-11</t>
        </is>
      </c>
      <c r="V789" t="inlineStr">
        <is>
          <t>1996-11-11</t>
        </is>
      </c>
      <c r="W789" t="inlineStr">
        <is>
          <t>1995-01-17</t>
        </is>
      </c>
      <c r="X789" t="inlineStr">
        <is>
          <t>1995-01-17</t>
        </is>
      </c>
      <c r="Y789" t="n">
        <v>250</v>
      </c>
      <c r="Z789" t="n">
        <v>213</v>
      </c>
      <c r="AA789" t="n">
        <v>228</v>
      </c>
      <c r="AB789" t="n">
        <v>4</v>
      </c>
      <c r="AC789" t="n">
        <v>4</v>
      </c>
      <c r="AD789" t="n">
        <v>19</v>
      </c>
      <c r="AE789" t="n">
        <v>21</v>
      </c>
      <c r="AF789" t="n">
        <v>8</v>
      </c>
      <c r="AG789" t="n">
        <v>9</v>
      </c>
      <c r="AH789" t="n">
        <v>3</v>
      </c>
      <c r="AI789" t="n">
        <v>4</v>
      </c>
      <c r="AJ789" t="n">
        <v>9</v>
      </c>
      <c r="AK789" t="n">
        <v>10</v>
      </c>
      <c r="AL789" t="n">
        <v>3</v>
      </c>
      <c r="AM789" t="n">
        <v>3</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HYPERLINK("https://creighton-primo.hosted.exlibrisgroup.com/primo-explore/search?tab=default_tab&amp;search_scope=EVERYTHING&amp;vid=01CRU&amp;lang=en_US&amp;offset=0&amp;query=any,contains,991002282499702656","Catalog Record")</f>
        <v/>
      </c>
      <c r="AT789">
        <f>HYPERLINK("http://www.worldcat.org/oclc/29595534","WorldCat Record")</f>
        <v/>
      </c>
      <c r="AU789" t="inlineStr">
        <is>
          <t>31909182:eng</t>
        </is>
      </c>
      <c r="AV789" t="inlineStr">
        <is>
          <t>29595534</t>
        </is>
      </c>
      <c r="AW789" t="inlineStr">
        <is>
          <t>991002282499702656</t>
        </is>
      </c>
      <c r="AX789" t="inlineStr">
        <is>
          <t>991002282499702656</t>
        </is>
      </c>
      <c r="AY789" t="inlineStr">
        <is>
          <t>2261067220002656</t>
        </is>
      </c>
      <c r="AZ789" t="inlineStr">
        <is>
          <t>BOOK</t>
        </is>
      </c>
      <c r="BB789" t="inlineStr">
        <is>
          <t>9780813208039</t>
        </is>
      </c>
      <c r="BC789" t="inlineStr">
        <is>
          <t>32285001993434</t>
        </is>
      </c>
      <c r="BD789" t="inlineStr">
        <is>
          <t>893615935</t>
        </is>
      </c>
    </row>
    <row r="790">
      <c r="A790" t="inlineStr">
        <is>
          <t>No</t>
        </is>
      </c>
      <c r="B790" t="inlineStr">
        <is>
          <t>BT60 .N3713</t>
        </is>
      </c>
      <c r="C790" t="inlineStr">
        <is>
          <t>0                      BT 0060000N  3713</t>
        </is>
      </c>
      <c r="D790" t="inlineStr">
        <is>
          <t>The meaning of Christianity / by Peter Nemeshegyi ; translated by Stephen Bekesi and Bernard Gilligan.</t>
        </is>
      </c>
      <c r="F790" t="inlineStr">
        <is>
          <t>No</t>
        </is>
      </c>
      <c r="G790" t="inlineStr">
        <is>
          <t>1</t>
        </is>
      </c>
      <c r="H790" t="inlineStr">
        <is>
          <t>No</t>
        </is>
      </c>
      <c r="I790" t="inlineStr">
        <is>
          <t>No</t>
        </is>
      </c>
      <c r="J790" t="inlineStr">
        <is>
          <t>0</t>
        </is>
      </c>
      <c r="K790" t="inlineStr">
        <is>
          <t>Nemeshegyi, Peter.</t>
        </is>
      </c>
      <c r="L790" t="inlineStr">
        <is>
          <t>New York : Paulist Press, c1982.</t>
        </is>
      </c>
      <c r="M790" t="inlineStr">
        <is>
          <t>1982</t>
        </is>
      </c>
      <c r="O790" t="inlineStr">
        <is>
          <t>eng</t>
        </is>
      </c>
      <c r="P790" t="inlineStr">
        <is>
          <t>nyu</t>
        </is>
      </c>
      <c r="R790" t="inlineStr">
        <is>
          <t xml:space="preserve">BT </t>
        </is>
      </c>
      <c r="S790" t="n">
        <v>2</v>
      </c>
      <c r="T790" t="n">
        <v>2</v>
      </c>
      <c r="U790" t="inlineStr">
        <is>
          <t>1995-06-22</t>
        </is>
      </c>
      <c r="V790" t="inlineStr">
        <is>
          <t>1995-06-22</t>
        </is>
      </c>
      <c r="W790" t="inlineStr">
        <is>
          <t>1991-06-21</t>
        </is>
      </c>
      <c r="X790" t="inlineStr">
        <is>
          <t>1991-06-21</t>
        </is>
      </c>
      <c r="Y790" t="n">
        <v>131</v>
      </c>
      <c r="Z790" t="n">
        <v>119</v>
      </c>
      <c r="AA790" t="n">
        <v>119</v>
      </c>
      <c r="AB790" t="n">
        <v>1</v>
      </c>
      <c r="AC790" t="n">
        <v>1</v>
      </c>
      <c r="AD790" t="n">
        <v>19</v>
      </c>
      <c r="AE790" t="n">
        <v>19</v>
      </c>
      <c r="AF790" t="n">
        <v>5</v>
      </c>
      <c r="AG790" t="n">
        <v>5</v>
      </c>
      <c r="AH790" t="n">
        <v>6</v>
      </c>
      <c r="AI790" t="n">
        <v>6</v>
      </c>
      <c r="AJ790" t="n">
        <v>13</v>
      </c>
      <c r="AK790" t="n">
        <v>13</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HYPERLINK("https://creighton-primo.hosted.exlibrisgroup.com/primo-explore/search?tab=default_tab&amp;search_scope=EVERYTHING&amp;vid=01CRU&amp;lang=en_US&amp;offset=0&amp;query=any,contains,991000116259702656","Catalog Record")</f>
        <v/>
      </c>
      <c r="AT790">
        <f>HYPERLINK("http://www.worldcat.org/oclc/9040813","WorldCat Record")</f>
        <v/>
      </c>
      <c r="AU790" t="inlineStr">
        <is>
          <t>466366:eng</t>
        </is>
      </c>
      <c r="AV790" t="inlineStr">
        <is>
          <t>9040813</t>
        </is>
      </c>
      <c r="AW790" t="inlineStr">
        <is>
          <t>991000116259702656</t>
        </is>
      </c>
      <c r="AX790" t="inlineStr">
        <is>
          <t>991000116259702656</t>
        </is>
      </c>
      <c r="AY790" t="inlineStr">
        <is>
          <t>2270600140002656</t>
        </is>
      </c>
      <c r="AZ790" t="inlineStr">
        <is>
          <t>BOOK</t>
        </is>
      </c>
      <c r="BB790" t="inlineStr">
        <is>
          <t>9780809124640</t>
        </is>
      </c>
      <c r="BC790" t="inlineStr">
        <is>
          <t>32285000687433</t>
        </is>
      </c>
      <c r="BD790" t="inlineStr">
        <is>
          <t>893314694</t>
        </is>
      </c>
    </row>
    <row r="791">
      <c r="A791" t="inlineStr">
        <is>
          <t>No</t>
        </is>
      </c>
      <c r="B791" t="inlineStr">
        <is>
          <t>BT60 .S313</t>
        </is>
      </c>
      <c r="C791" t="inlineStr">
        <is>
          <t>0                      BT 0060000S  313</t>
        </is>
      </c>
      <c r="D791" t="inlineStr">
        <is>
          <t>God and man / by E. Schillebeeckx. Translated by Edward Fitzgerald and Peter Tomlinson.</t>
        </is>
      </c>
      <c r="F791" t="inlineStr">
        <is>
          <t>No</t>
        </is>
      </c>
      <c r="G791" t="inlineStr">
        <is>
          <t>1</t>
        </is>
      </c>
      <c r="H791" t="inlineStr">
        <is>
          <t>No</t>
        </is>
      </c>
      <c r="I791" t="inlineStr">
        <is>
          <t>No</t>
        </is>
      </c>
      <c r="J791" t="inlineStr">
        <is>
          <t>0</t>
        </is>
      </c>
      <c r="K791" t="inlineStr">
        <is>
          <t>Schillebeeckx, Edward, 1914-2009.</t>
        </is>
      </c>
      <c r="L791" t="inlineStr">
        <is>
          <t>New York, Sheed and Ward [1969]</t>
        </is>
      </c>
      <c r="M791" t="inlineStr">
        <is>
          <t>1969</t>
        </is>
      </c>
      <c r="O791" t="inlineStr">
        <is>
          <t>eng</t>
        </is>
      </c>
      <c r="P791" t="inlineStr">
        <is>
          <t>nyu</t>
        </is>
      </c>
      <c r="Q791" t="inlineStr">
        <is>
          <t>His Theological soundings, 3</t>
        </is>
      </c>
      <c r="R791" t="inlineStr">
        <is>
          <t xml:space="preserve">BT </t>
        </is>
      </c>
      <c r="S791" t="n">
        <v>1</v>
      </c>
      <c r="T791" t="n">
        <v>1</v>
      </c>
      <c r="U791" t="inlineStr">
        <is>
          <t>1994-08-31</t>
        </is>
      </c>
      <c r="V791" t="inlineStr">
        <is>
          <t>1994-08-31</t>
        </is>
      </c>
      <c r="W791" t="inlineStr">
        <is>
          <t>1991-06-21</t>
        </is>
      </c>
      <c r="X791" t="inlineStr">
        <is>
          <t>1991-06-21</t>
        </is>
      </c>
      <c r="Y791" t="n">
        <v>465</v>
      </c>
      <c r="Z791" t="n">
        <v>405</v>
      </c>
      <c r="AA791" t="n">
        <v>420</v>
      </c>
      <c r="AB791" t="n">
        <v>4</v>
      </c>
      <c r="AC791" t="n">
        <v>4</v>
      </c>
      <c r="AD791" t="n">
        <v>31</v>
      </c>
      <c r="AE791" t="n">
        <v>31</v>
      </c>
      <c r="AF791" t="n">
        <v>10</v>
      </c>
      <c r="AG791" t="n">
        <v>10</v>
      </c>
      <c r="AH791" t="n">
        <v>9</v>
      </c>
      <c r="AI791" t="n">
        <v>9</v>
      </c>
      <c r="AJ791" t="n">
        <v>21</v>
      </c>
      <c r="AK791" t="n">
        <v>21</v>
      </c>
      <c r="AL791" t="n">
        <v>2</v>
      </c>
      <c r="AM791" t="n">
        <v>2</v>
      </c>
      <c r="AN791" t="n">
        <v>0</v>
      </c>
      <c r="AO791" t="n">
        <v>0</v>
      </c>
      <c r="AP791" t="inlineStr">
        <is>
          <t>No</t>
        </is>
      </c>
      <c r="AQ791" t="inlineStr">
        <is>
          <t>Yes</t>
        </is>
      </c>
      <c r="AR791">
        <f>HYPERLINK("http://catalog.hathitrust.org/Record/001411637","HathiTrust Record")</f>
        <v/>
      </c>
      <c r="AS791">
        <f>HYPERLINK("https://creighton-primo.hosted.exlibrisgroup.com/primo-explore/search?tab=default_tab&amp;search_scope=EVERYTHING&amp;vid=01CRU&amp;lang=en_US&amp;offset=0&amp;query=any,contains,991000054499702656","Catalog Record")</f>
        <v/>
      </c>
      <c r="AT791">
        <f>HYPERLINK("http://www.worldcat.org/oclc/23289","WorldCat Record")</f>
        <v/>
      </c>
      <c r="AU791" t="inlineStr">
        <is>
          <t>376195663:eng</t>
        </is>
      </c>
      <c r="AV791" t="inlineStr">
        <is>
          <t>23289</t>
        </is>
      </c>
      <c r="AW791" t="inlineStr">
        <is>
          <t>991000054499702656</t>
        </is>
      </c>
      <c r="AX791" t="inlineStr">
        <is>
          <t>991000054499702656</t>
        </is>
      </c>
      <c r="AY791" t="inlineStr">
        <is>
          <t>2267665150002656</t>
        </is>
      </c>
      <c r="AZ791" t="inlineStr">
        <is>
          <t>BOOK</t>
        </is>
      </c>
      <c r="BC791" t="inlineStr">
        <is>
          <t>32285000687466</t>
        </is>
      </c>
      <c r="BD791" t="inlineStr">
        <is>
          <t>893437959</t>
        </is>
      </c>
    </row>
    <row r="792">
      <c r="A792" t="inlineStr">
        <is>
          <t>No</t>
        </is>
      </c>
      <c r="B792" t="inlineStr">
        <is>
          <t>BT60 .T4413 1999</t>
        </is>
      </c>
      <c r="C792" t="inlineStr">
        <is>
          <t>0                      BT 0060000T  4413        1999</t>
        </is>
      </c>
      <c r="D792" t="inlineStr">
        <is>
          <t>The religion of the earliest churches : creating a symbolic world / Gerd Theissen ; translated by John Bowden.</t>
        </is>
      </c>
      <c r="F792" t="inlineStr">
        <is>
          <t>No</t>
        </is>
      </c>
      <c r="G792" t="inlineStr">
        <is>
          <t>1</t>
        </is>
      </c>
      <c r="H792" t="inlineStr">
        <is>
          <t>No</t>
        </is>
      </c>
      <c r="I792" t="inlineStr">
        <is>
          <t>No</t>
        </is>
      </c>
      <c r="J792" t="inlineStr">
        <is>
          <t>0</t>
        </is>
      </c>
      <c r="K792" t="inlineStr">
        <is>
          <t>Theissen, Gerd.</t>
        </is>
      </c>
      <c r="L792" t="inlineStr">
        <is>
          <t>Minneapolis, MN : Fortress Press, c1999.</t>
        </is>
      </c>
      <c r="M792" t="inlineStr">
        <is>
          <t>1999</t>
        </is>
      </c>
      <c r="O792" t="inlineStr">
        <is>
          <t>eng</t>
        </is>
      </c>
      <c r="P792" t="inlineStr">
        <is>
          <t>mnu</t>
        </is>
      </c>
      <c r="R792" t="inlineStr">
        <is>
          <t xml:space="preserve">BT </t>
        </is>
      </c>
      <c r="S792" t="n">
        <v>4</v>
      </c>
      <c r="T792" t="n">
        <v>4</v>
      </c>
      <c r="U792" t="inlineStr">
        <is>
          <t>2002-03-19</t>
        </is>
      </c>
      <c r="V792" t="inlineStr">
        <is>
          <t>2002-03-19</t>
        </is>
      </c>
      <c r="W792" t="inlineStr">
        <is>
          <t>2000-09-13</t>
        </is>
      </c>
      <c r="X792" t="inlineStr">
        <is>
          <t>2000-09-13</t>
        </is>
      </c>
      <c r="Y792" t="n">
        <v>328</v>
      </c>
      <c r="Z792" t="n">
        <v>272</v>
      </c>
      <c r="AA792" t="n">
        <v>283</v>
      </c>
      <c r="AB792" t="n">
        <v>2</v>
      </c>
      <c r="AC792" t="n">
        <v>2</v>
      </c>
      <c r="AD792" t="n">
        <v>26</v>
      </c>
      <c r="AE792" t="n">
        <v>27</v>
      </c>
      <c r="AF792" t="n">
        <v>9</v>
      </c>
      <c r="AG792" t="n">
        <v>9</v>
      </c>
      <c r="AH792" t="n">
        <v>6</v>
      </c>
      <c r="AI792" t="n">
        <v>7</v>
      </c>
      <c r="AJ792" t="n">
        <v>14</v>
      </c>
      <c r="AK792" t="n">
        <v>15</v>
      </c>
      <c r="AL792" t="n">
        <v>1</v>
      </c>
      <c r="AM792" t="n">
        <v>1</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HYPERLINK("https://creighton-primo.hosted.exlibrisgroup.com/primo-explore/search?tab=default_tab&amp;search_scope=EVERYTHING&amp;vid=01CRU&amp;lang=en_US&amp;offset=0&amp;query=any,contains,991003242159702656","Catalog Record")</f>
        <v/>
      </c>
      <c r="AT792">
        <f>HYPERLINK("http://www.worldcat.org/oclc/42597699","WorldCat Record")</f>
        <v/>
      </c>
      <c r="AU792" t="inlineStr">
        <is>
          <t>3901574752:eng</t>
        </is>
      </c>
      <c r="AV792" t="inlineStr">
        <is>
          <t>42597699</t>
        </is>
      </c>
      <c r="AW792" t="inlineStr">
        <is>
          <t>991003242159702656</t>
        </is>
      </c>
      <c r="AX792" t="inlineStr">
        <is>
          <t>991003242159702656</t>
        </is>
      </c>
      <c r="AY792" t="inlineStr">
        <is>
          <t>2257274320002656</t>
        </is>
      </c>
      <c r="AZ792" t="inlineStr">
        <is>
          <t>BOOK</t>
        </is>
      </c>
      <c r="BB792" t="inlineStr">
        <is>
          <t>9780800631796</t>
        </is>
      </c>
      <c r="BC792" t="inlineStr">
        <is>
          <t>32285003761953</t>
        </is>
      </c>
      <c r="BD792" t="inlineStr">
        <is>
          <t>893893517</t>
        </is>
      </c>
    </row>
    <row r="793">
      <c r="A793" t="inlineStr">
        <is>
          <t>No</t>
        </is>
      </c>
      <c r="B793" t="inlineStr">
        <is>
          <t>BT60 .T7613 1971</t>
        </is>
      </c>
      <c r="C793" t="inlineStr">
        <is>
          <t>0                      BT 0060000T  7613        1971</t>
        </is>
      </c>
      <c r="D793" t="inlineStr">
        <is>
          <t>The absoluteness of Christianity and the history of religions / by Ernst Troeltsch. Introd. by James Luther Adams. Translated by David Reid.</t>
        </is>
      </c>
      <c r="F793" t="inlineStr">
        <is>
          <t>No</t>
        </is>
      </c>
      <c r="G793" t="inlineStr">
        <is>
          <t>1</t>
        </is>
      </c>
      <c r="H793" t="inlineStr">
        <is>
          <t>No</t>
        </is>
      </c>
      <c r="I793" t="inlineStr">
        <is>
          <t>No</t>
        </is>
      </c>
      <c r="J793" t="inlineStr">
        <is>
          <t>0</t>
        </is>
      </c>
      <c r="K793" t="inlineStr">
        <is>
          <t>Troeltsch, Ernst, 1865-1923.</t>
        </is>
      </c>
      <c r="L793" t="inlineStr">
        <is>
          <t>Richmond, John Knox Press [1971]</t>
        </is>
      </c>
      <c r="M793" t="inlineStr">
        <is>
          <t>1971</t>
        </is>
      </c>
      <c r="O793" t="inlineStr">
        <is>
          <t>eng</t>
        </is>
      </c>
      <c r="P793" t="inlineStr">
        <is>
          <t>vau</t>
        </is>
      </c>
      <c r="Q793" t="inlineStr">
        <is>
          <t>Research in theology</t>
        </is>
      </c>
      <c r="R793" t="inlineStr">
        <is>
          <t xml:space="preserve">BT </t>
        </is>
      </c>
      <c r="S793" t="n">
        <v>7</v>
      </c>
      <c r="T793" t="n">
        <v>7</v>
      </c>
      <c r="U793" t="inlineStr">
        <is>
          <t>2008-09-23</t>
        </is>
      </c>
      <c r="V793" t="inlineStr">
        <is>
          <t>2008-09-23</t>
        </is>
      </c>
      <c r="W793" t="inlineStr">
        <is>
          <t>1991-06-21</t>
        </is>
      </c>
      <c r="X793" t="inlineStr">
        <is>
          <t>1991-06-21</t>
        </is>
      </c>
      <c r="Y793" t="n">
        <v>556</v>
      </c>
      <c r="Z793" t="n">
        <v>498</v>
      </c>
      <c r="AA793" t="n">
        <v>563</v>
      </c>
      <c r="AB793" t="n">
        <v>2</v>
      </c>
      <c r="AC793" t="n">
        <v>2</v>
      </c>
      <c r="AD793" t="n">
        <v>38</v>
      </c>
      <c r="AE793" t="n">
        <v>39</v>
      </c>
      <c r="AF793" t="n">
        <v>15</v>
      </c>
      <c r="AG793" t="n">
        <v>15</v>
      </c>
      <c r="AH793" t="n">
        <v>9</v>
      </c>
      <c r="AI793" t="n">
        <v>9</v>
      </c>
      <c r="AJ793" t="n">
        <v>23</v>
      </c>
      <c r="AK793" t="n">
        <v>24</v>
      </c>
      <c r="AL793" t="n">
        <v>1</v>
      </c>
      <c r="AM793" t="n">
        <v>1</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HYPERLINK("https://creighton-primo.hosted.exlibrisgroup.com/primo-explore/search?tab=default_tab&amp;search_scope=EVERYTHING&amp;vid=01CRU&amp;lang=en_US&amp;offset=0&amp;query=any,contains,991000926209702656","Catalog Record")</f>
        <v/>
      </c>
      <c r="AT793">
        <f>HYPERLINK("http://www.worldcat.org/oclc/163461","WorldCat Record")</f>
        <v/>
      </c>
      <c r="AU793" t="inlineStr">
        <is>
          <t>10567138212:eng</t>
        </is>
      </c>
      <c r="AV793" t="inlineStr">
        <is>
          <t>163461</t>
        </is>
      </c>
      <c r="AW793" t="inlineStr">
        <is>
          <t>991000926209702656</t>
        </is>
      </c>
      <c r="AX793" t="inlineStr">
        <is>
          <t>991000926209702656</t>
        </is>
      </c>
      <c r="AY793" t="inlineStr">
        <is>
          <t>2272107130002656</t>
        </is>
      </c>
      <c r="AZ793" t="inlineStr">
        <is>
          <t>BOOK</t>
        </is>
      </c>
      <c r="BB793" t="inlineStr">
        <is>
          <t>9780804204620</t>
        </is>
      </c>
      <c r="BC793" t="inlineStr">
        <is>
          <t>32285000687474</t>
        </is>
      </c>
      <c r="BD793" t="inlineStr">
        <is>
          <t>893515749</t>
        </is>
      </c>
    </row>
    <row r="794">
      <c r="A794" t="inlineStr">
        <is>
          <t>No</t>
        </is>
      </c>
      <c r="B794" t="inlineStr">
        <is>
          <t>BT601 .B67 1937</t>
        </is>
      </c>
      <c r="C794" t="inlineStr">
        <is>
          <t>0                      BT 0601000B  67          1937</t>
        </is>
      </c>
      <c r="D794" t="inlineStr">
        <is>
          <t>Mary, a study of the mother of God / by Father Canice.</t>
        </is>
      </c>
      <c r="F794" t="inlineStr">
        <is>
          <t>No</t>
        </is>
      </c>
      <c r="G794" t="inlineStr">
        <is>
          <t>1</t>
        </is>
      </c>
      <c r="H794" t="inlineStr">
        <is>
          <t>No</t>
        </is>
      </c>
      <c r="I794" t="inlineStr">
        <is>
          <t>No</t>
        </is>
      </c>
      <c r="J794" t="inlineStr">
        <is>
          <t>0</t>
        </is>
      </c>
      <c r="K794" t="inlineStr">
        <is>
          <t>Canice, Father, O.F.M. Cap., 1890-</t>
        </is>
      </c>
      <c r="L794" t="inlineStr">
        <is>
          <t>Dublin : Gill, 1937.</t>
        </is>
      </c>
      <c r="M794" t="inlineStr">
        <is>
          <t>1937</t>
        </is>
      </c>
      <c r="O794" t="inlineStr">
        <is>
          <t>eng</t>
        </is>
      </c>
      <c r="P794" t="inlineStr">
        <is>
          <t>iek</t>
        </is>
      </c>
      <c r="R794" t="inlineStr">
        <is>
          <t xml:space="preserve">BT </t>
        </is>
      </c>
      <c r="S794" t="n">
        <v>3</v>
      </c>
      <c r="T794" t="n">
        <v>3</v>
      </c>
      <c r="U794" t="inlineStr">
        <is>
          <t>1997-04-26</t>
        </is>
      </c>
      <c r="V794" t="inlineStr">
        <is>
          <t>1997-04-26</t>
        </is>
      </c>
      <c r="W794" t="inlineStr">
        <is>
          <t>1991-08-29</t>
        </is>
      </c>
      <c r="X794" t="inlineStr">
        <is>
          <t>1991-08-29</t>
        </is>
      </c>
      <c r="Y794" t="n">
        <v>29</v>
      </c>
      <c r="Z794" t="n">
        <v>21</v>
      </c>
      <c r="AA794" t="n">
        <v>44</v>
      </c>
      <c r="AB794" t="n">
        <v>1</v>
      </c>
      <c r="AC794" t="n">
        <v>2</v>
      </c>
      <c r="AD794" t="n">
        <v>8</v>
      </c>
      <c r="AE794" t="n">
        <v>11</v>
      </c>
      <c r="AF794" t="n">
        <v>1</v>
      </c>
      <c r="AG794" t="n">
        <v>1</v>
      </c>
      <c r="AH794" t="n">
        <v>2</v>
      </c>
      <c r="AI794" t="n">
        <v>4</v>
      </c>
      <c r="AJ794" t="n">
        <v>6</v>
      </c>
      <c r="AK794" t="n">
        <v>9</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HYPERLINK("https://creighton-primo.hosted.exlibrisgroup.com/primo-explore/search?tab=default_tab&amp;search_scope=EVERYTHING&amp;vid=01CRU&amp;lang=en_US&amp;offset=0&amp;query=any,contains,991003986849702656","Catalog Record")</f>
        <v/>
      </c>
      <c r="AT794">
        <f>HYPERLINK("http://www.worldcat.org/oclc/2034466","WorldCat Record")</f>
        <v/>
      </c>
      <c r="AU794" t="inlineStr">
        <is>
          <t>45764325:eng</t>
        </is>
      </c>
      <c r="AV794" t="inlineStr">
        <is>
          <t>2034466</t>
        </is>
      </c>
      <c r="AW794" t="inlineStr">
        <is>
          <t>991003986849702656</t>
        </is>
      </c>
      <c r="AX794" t="inlineStr">
        <is>
          <t>991003986849702656</t>
        </is>
      </c>
      <c r="AY794" t="inlineStr">
        <is>
          <t>2267546350002656</t>
        </is>
      </c>
      <c r="AZ794" t="inlineStr">
        <is>
          <t>BOOK</t>
        </is>
      </c>
      <c r="BC794" t="inlineStr">
        <is>
          <t>32285000746817</t>
        </is>
      </c>
      <c r="BD794" t="inlineStr">
        <is>
          <t>893894441</t>
        </is>
      </c>
    </row>
    <row r="795">
      <c r="A795" t="inlineStr">
        <is>
          <t>No</t>
        </is>
      </c>
      <c r="B795" t="inlineStr">
        <is>
          <t>BT601 .D253 1960</t>
        </is>
      </c>
      <c r="C795" t="inlineStr">
        <is>
          <t>0                      BT 0601000D  253         1960</t>
        </is>
      </c>
      <c r="D795" t="inlineStr">
        <is>
          <t>The book of Mary / by Henri Daniel-Rops. Translated from the French by Alastair Guinan.</t>
        </is>
      </c>
      <c r="F795" t="inlineStr">
        <is>
          <t>No</t>
        </is>
      </c>
      <c r="G795" t="inlineStr">
        <is>
          <t>1</t>
        </is>
      </c>
      <c r="H795" t="inlineStr">
        <is>
          <t>No</t>
        </is>
      </c>
      <c r="I795" t="inlineStr">
        <is>
          <t>No</t>
        </is>
      </c>
      <c r="J795" t="inlineStr">
        <is>
          <t>0</t>
        </is>
      </c>
      <c r="K795" t="inlineStr">
        <is>
          <t>Daniel-Rops, Henri, 1901-1965.</t>
        </is>
      </c>
      <c r="L795" t="inlineStr">
        <is>
          <t>New York : Hawthorn Books, [1960]</t>
        </is>
      </c>
      <c r="M795" t="inlineStr">
        <is>
          <t>1960</t>
        </is>
      </c>
      <c r="N795" t="inlineStr">
        <is>
          <t>[1st ed.]</t>
        </is>
      </c>
      <c r="O795" t="inlineStr">
        <is>
          <t>eng</t>
        </is>
      </c>
      <c r="P795" t="inlineStr">
        <is>
          <t>___</t>
        </is>
      </c>
      <c r="R795" t="inlineStr">
        <is>
          <t xml:space="preserve">BT </t>
        </is>
      </c>
      <c r="S795" t="n">
        <v>1</v>
      </c>
      <c r="T795" t="n">
        <v>1</v>
      </c>
      <c r="U795" t="inlineStr">
        <is>
          <t>1999-02-04</t>
        </is>
      </c>
      <c r="V795" t="inlineStr">
        <is>
          <t>1999-02-04</t>
        </is>
      </c>
      <c r="W795" t="inlineStr">
        <is>
          <t>1991-09-09</t>
        </is>
      </c>
      <c r="X795" t="inlineStr">
        <is>
          <t>1991-09-09</t>
        </is>
      </c>
      <c r="Y795" t="n">
        <v>451</v>
      </c>
      <c r="Z795" t="n">
        <v>413</v>
      </c>
      <c r="AA795" t="n">
        <v>433</v>
      </c>
      <c r="AB795" t="n">
        <v>4</v>
      </c>
      <c r="AC795" t="n">
        <v>5</v>
      </c>
      <c r="AD795" t="n">
        <v>32</v>
      </c>
      <c r="AE795" t="n">
        <v>33</v>
      </c>
      <c r="AF795" t="n">
        <v>12</v>
      </c>
      <c r="AG795" t="n">
        <v>12</v>
      </c>
      <c r="AH795" t="n">
        <v>7</v>
      </c>
      <c r="AI795" t="n">
        <v>7</v>
      </c>
      <c r="AJ795" t="n">
        <v>25</v>
      </c>
      <c r="AK795" t="n">
        <v>25</v>
      </c>
      <c r="AL795" t="n">
        <v>0</v>
      </c>
      <c r="AM795" t="n">
        <v>1</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HYPERLINK("https://creighton-primo.hosted.exlibrisgroup.com/primo-explore/search?tab=default_tab&amp;search_scope=EVERYTHING&amp;vid=01CRU&amp;lang=en_US&amp;offset=0&amp;query=any,contains,991003750329702656","Catalog Record")</f>
        <v/>
      </c>
      <c r="AT795">
        <f>HYPERLINK("http://www.worldcat.org/oclc/1425587","WorldCat Record")</f>
        <v/>
      </c>
      <c r="AU795" t="inlineStr">
        <is>
          <t>352092997:eng</t>
        </is>
      </c>
      <c r="AV795" t="inlineStr">
        <is>
          <t>1425587</t>
        </is>
      </c>
      <c r="AW795" t="inlineStr">
        <is>
          <t>991003750329702656</t>
        </is>
      </c>
      <c r="AX795" t="inlineStr">
        <is>
          <t>991003750329702656</t>
        </is>
      </c>
      <c r="AY795" t="inlineStr">
        <is>
          <t>2272668270002656</t>
        </is>
      </c>
      <c r="AZ795" t="inlineStr">
        <is>
          <t>BOOK</t>
        </is>
      </c>
      <c r="BC795" t="inlineStr">
        <is>
          <t>32285000746874</t>
        </is>
      </c>
      <c r="BD795" t="inlineStr">
        <is>
          <t>893894076</t>
        </is>
      </c>
    </row>
    <row r="796">
      <c r="A796" t="inlineStr">
        <is>
          <t>No</t>
        </is>
      </c>
      <c r="B796" t="inlineStr">
        <is>
          <t>BT601 .D373 1958</t>
        </is>
      </c>
      <c r="C796" t="inlineStr">
        <is>
          <t>0                      BT 0601000D  373         1958</t>
        </is>
      </c>
      <c r="D796" t="inlineStr">
        <is>
          <t>Eve and Mary / by Peter Thomas Dehau. Translated by the Dominican Nuns of the Perpetual Rosary, La Crosse, Wis.</t>
        </is>
      </c>
      <c r="F796" t="inlineStr">
        <is>
          <t>No</t>
        </is>
      </c>
      <c r="G796" t="inlineStr">
        <is>
          <t>1</t>
        </is>
      </c>
      <c r="H796" t="inlineStr">
        <is>
          <t>No</t>
        </is>
      </c>
      <c r="I796" t="inlineStr">
        <is>
          <t>No</t>
        </is>
      </c>
      <c r="J796" t="inlineStr">
        <is>
          <t>0</t>
        </is>
      </c>
      <c r="K796" t="inlineStr">
        <is>
          <t>Dehau, Pierre-Thomas, 1870-</t>
        </is>
      </c>
      <c r="L796" t="inlineStr">
        <is>
          <t>St. Louis : Herder, [1958]</t>
        </is>
      </c>
      <c r="M796" t="inlineStr">
        <is>
          <t>1958</t>
        </is>
      </c>
      <c r="O796" t="inlineStr">
        <is>
          <t>eng</t>
        </is>
      </c>
      <c r="P796" t="inlineStr">
        <is>
          <t>mou</t>
        </is>
      </c>
      <c r="R796" t="inlineStr">
        <is>
          <t xml:space="preserve">BT </t>
        </is>
      </c>
      <c r="S796" t="n">
        <v>7</v>
      </c>
      <c r="T796" t="n">
        <v>7</v>
      </c>
      <c r="U796" t="inlineStr">
        <is>
          <t>1997-04-26</t>
        </is>
      </c>
      <c r="V796" t="inlineStr">
        <is>
          <t>1997-04-26</t>
        </is>
      </c>
      <c r="W796" t="inlineStr">
        <is>
          <t>1991-09-09</t>
        </is>
      </c>
      <c r="X796" t="inlineStr">
        <is>
          <t>1991-09-09</t>
        </is>
      </c>
      <c r="Y796" t="n">
        <v>97</v>
      </c>
      <c r="Z796" t="n">
        <v>91</v>
      </c>
      <c r="AA796" t="n">
        <v>96</v>
      </c>
      <c r="AB796" t="n">
        <v>2</v>
      </c>
      <c r="AC796" t="n">
        <v>2</v>
      </c>
      <c r="AD796" t="n">
        <v>11</v>
      </c>
      <c r="AE796" t="n">
        <v>11</v>
      </c>
      <c r="AF796" t="n">
        <v>4</v>
      </c>
      <c r="AG796" t="n">
        <v>4</v>
      </c>
      <c r="AH796" t="n">
        <v>4</v>
      </c>
      <c r="AI796" t="n">
        <v>4</v>
      </c>
      <c r="AJ796" t="n">
        <v>7</v>
      </c>
      <c r="AK796" t="n">
        <v>7</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HYPERLINK("https://creighton-primo.hosted.exlibrisgroup.com/primo-explore/search?tab=default_tab&amp;search_scope=EVERYTHING&amp;vid=01CRU&amp;lang=en_US&amp;offset=0&amp;query=any,contains,991004426649702656","Catalog Record")</f>
        <v/>
      </c>
      <c r="AT796">
        <f>HYPERLINK("http://www.worldcat.org/oclc/3401782","WorldCat Record")</f>
        <v/>
      </c>
      <c r="AU796" t="inlineStr">
        <is>
          <t>10198033261:eng</t>
        </is>
      </c>
      <c r="AV796" t="inlineStr">
        <is>
          <t>3401782</t>
        </is>
      </c>
      <c r="AW796" t="inlineStr">
        <is>
          <t>991004426649702656</t>
        </is>
      </c>
      <c r="AX796" t="inlineStr">
        <is>
          <t>991004426649702656</t>
        </is>
      </c>
      <c r="AY796" t="inlineStr">
        <is>
          <t>2256366510002656</t>
        </is>
      </c>
      <c r="AZ796" t="inlineStr">
        <is>
          <t>BOOK</t>
        </is>
      </c>
      <c r="BC796" t="inlineStr">
        <is>
          <t>32285000746882</t>
        </is>
      </c>
      <c r="BD796" t="inlineStr">
        <is>
          <t>893788687</t>
        </is>
      </c>
    </row>
    <row r="797">
      <c r="A797" t="inlineStr">
        <is>
          <t>No</t>
        </is>
      </c>
      <c r="B797" t="inlineStr">
        <is>
          <t>BT601 .G3 1919</t>
        </is>
      </c>
      <c r="C797" t="inlineStr">
        <is>
          <t>0                      BT 0601000G  3           1919</t>
        </is>
      </c>
      <c r="D797" t="inlineStr">
        <is>
          <t>The most beloved woman : the prerogatives and glories of the Blessed Mother of God / by Edward F. Garesche.</t>
        </is>
      </c>
      <c r="F797" t="inlineStr">
        <is>
          <t>No</t>
        </is>
      </c>
      <c r="G797" t="inlineStr">
        <is>
          <t>1</t>
        </is>
      </c>
      <c r="H797" t="inlineStr">
        <is>
          <t>No</t>
        </is>
      </c>
      <c r="I797" t="inlineStr">
        <is>
          <t>No</t>
        </is>
      </c>
      <c r="J797" t="inlineStr">
        <is>
          <t>0</t>
        </is>
      </c>
      <c r="K797" t="inlineStr">
        <is>
          <t>Garesché, Edward F. (Edward Francis), 1876-1960.</t>
        </is>
      </c>
      <c r="L797" t="inlineStr">
        <is>
          <t>New York : Benziger, 1919</t>
        </is>
      </c>
      <c r="M797" t="inlineStr">
        <is>
          <t>1919</t>
        </is>
      </c>
      <c r="O797" t="inlineStr">
        <is>
          <t>eng</t>
        </is>
      </c>
      <c r="P797" t="inlineStr">
        <is>
          <t>___</t>
        </is>
      </c>
      <c r="R797" t="inlineStr">
        <is>
          <t xml:space="preserve">BT </t>
        </is>
      </c>
      <c r="S797" t="n">
        <v>1</v>
      </c>
      <c r="T797" t="n">
        <v>1</v>
      </c>
      <c r="U797" t="inlineStr">
        <is>
          <t>1996-11-23</t>
        </is>
      </c>
      <c r="V797" t="inlineStr">
        <is>
          <t>1996-11-23</t>
        </is>
      </c>
      <c r="W797" t="inlineStr">
        <is>
          <t>1991-09-09</t>
        </is>
      </c>
      <c r="X797" t="inlineStr">
        <is>
          <t>1991-09-09</t>
        </is>
      </c>
      <c r="Y797" t="n">
        <v>37</v>
      </c>
      <c r="Z797" t="n">
        <v>36</v>
      </c>
      <c r="AA797" t="n">
        <v>44</v>
      </c>
      <c r="AB797" t="n">
        <v>1</v>
      </c>
      <c r="AC797" t="n">
        <v>1</v>
      </c>
      <c r="AD797" t="n">
        <v>9</v>
      </c>
      <c r="AE797" t="n">
        <v>9</v>
      </c>
      <c r="AF797" t="n">
        <v>0</v>
      </c>
      <c r="AG797" t="n">
        <v>0</v>
      </c>
      <c r="AH797" t="n">
        <v>2</v>
      </c>
      <c r="AI797" t="n">
        <v>2</v>
      </c>
      <c r="AJ797" t="n">
        <v>7</v>
      </c>
      <c r="AK797" t="n">
        <v>7</v>
      </c>
      <c r="AL797" t="n">
        <v>0</v>
      </c>
      <c r="AM797" t="n">
        <v>0</v>
      </c>
      <c r="AN797" t="n">
        <v>0</v>
      </c>
      <c r="AO797" t="n">
        <v>0</v>
      </c>
      <c r="AP797" t="inlineStr">
        <is>
          <t>Yes</t>
        </is>
      </c>
      <c r="AQ797" t="inlineStr">
        <is>
          <t>No</t>
        </is>
      </c>
      <c r="AR797">
        <f>HYPERLINK("http://catalog.hathitrust.org/Record/008625690","HathiTrust Record")</f>
        <v/>
      </c>
      <c r="AS797">
        <f>HYPERLINK("https://creighton-primo.hosted.exlibrisgroup.com/primo-explore/search?tab=default_tab&amp;search_scope=EVERYTHING&amp;vid=01CRU&amp;lang=en_US&amp;offset=0&amp;query=any,contains,991003486769702656","Catalog Record")</f>
        <v/>
      </c>
      <c r="AT797">
        <f>HYPERLINK("http://www.worldcat.org/oclc/1033979","WorldCat Record")</f>
        <v/>
      </c>
      <c r="AU797" t="inlineStr">
        <is>
          <t>2288300761:eng</t>
        </is>
      </c>
      <c r="AV797" t="inlineStr">
        <is>
          <t>1033979</t>
        </is>
      </c>
      <c r="AW797" t="inlineStr">
        <is>
          <t>991003486769702656</t>
        </is>
      </c>
      <c r="AX797" t="inlineStr">
        <is>
          <t>991003486769702656</t>
        </is>
      </c>
      <c r="AY797" t="inlineStr">
        <is>
          <t>2268562710002656</t>
        </is>
      </c>
      <c r="AZ797" t="inlineStr">
        <is>
          <t>BOOK</t>
        </is>
      </c>
      <c r="BC797" t="inlineStr">
        <is>
          <t>32285000746890</t>
        </is>
      </c>
      <c r="BD797" t="inlineStr">
        <is>
          <t>893441332</t>
        </is>
      </c>
    </row>
    <row r="798">
      <c r="A798" t="inlineStr">
        <is>
          <t>No</t>
        </is>
      </c>
      <c r="B798" t="inlineStr">
        <is>
          <t>BT601 .G3 1957</t>
        </is>
      </c>
      <c r="C798" t="inlineStr">
        <is>
          <t>0                      BT 0601000G  3           1957</t>
        </is>
      </c>
      <c r="D798" t="inlineStr">
        <is>
          <t>The Mother of the Saviour and our interior life / by Reginald Garrigou-Lagrange. Translated by Bernard J. Kelly.</t>
        </is>
      </c>
      <c r="F798" t="inlineStr">
        <is>
          <t>No</t>
        </is>
      </c>
      <c r="G798" t="inlineStr">
        <is>
          <t>1</t>
        </is>
      </c>
      <c r="H798" t="inlineStr">
        <is>
          <t>No</t>
        </is>
      </c>
      <c r="I798" t="inlineStr">
        <is>
          <t>No</t>
        </is>
      </c>
      <c r="J798" t="inlineStr">
        <is>
          <t>0</t>
        </is>
      </c>
      <c r="K798" t="inlineStr">
        <is>
          <t>Garrigou-Lagrange, Réginald, 1877-1964.</t>
        </is>
      </c>
      <c r="L798" t="inlineStr">
        <is>
          <t>St. Louis, Mo. : B. Herder, [1957, c1949]</t>
        </is>
      </c>
      <c r="M798" t="inlineStr">
        <is>
          <t>1953</t>
        </is>
      </c>
      <c r="O798" t="inlineStr">
        <is>
          <t>eng</t>
        </is>
      </c>
      <c r="P798" t="inlineStr">
        <is>
          <t>mou</t>
        </is>
      </c>
      <c r="R798" t="inlineStr">
        <is>
          <t xml:space="preserve">BT </t>
        </is>
      </c>
      <c r="S798" t="n">
        <v>1</v>
      </c>
      <c r="T798" t="n">
        <v>1</v>
      </c>
      <c r="U798" t="inlineStr">
        <is>
          <t>2005-07-18</t>
        </is>
      </c>
      <c r="V798" t="inlineStr">
        <is>
          <t>2005-07-18</t>
        </is>
      </c>
      <c r="W798" t="inlineStr">
        <is>
          <t>1991-09-09</t>
        </is>
      </c>
      <c r="X798" t="inlineStr">
        <is>
          <t>1991-09-09</t>
        </is>
      </c>
      <c r="Y798" t="n">
        <v>38</v>
      </c>
      <c r="Z798" t="n">
        <v>33</v>
      </c>
      <c r="AA798" t="n">
        <v>202</v>
      </c>
      <c r="AB798" t="n">
        <v>1</v>
      </c>
      <c r="AC798" t="n">
        <v>2</v>
      </c>
      <c r="AD798" t="n">
        <v>10</v>
      </c>
      <c r="AE798" t="n">
        <v>31</v>
      </c>
      <c r="AF798" t="n">
        <v>2</v>
      </c>
      <c r="AG798" t="n">
        <v>12</v>
      </c>
      <c r="AH798" t="n">
        <v>1</v>
      </c>
      <c r="AI798" t="n">
        <v>9</v>
      </c>
      <c r="AJ798" t="n">
        <v>8</v>
      </c>
      <c r="AK798" t="n">
        <v>22</v>
      </c>
      <c r="AL798" t="n">
        <v>0</v>
      </c>
      <c r="AM798" t="n">
        <v>0</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HYPERLINK("https://creighton-primo.hosted.exlibrisgroup.com/primo-explore/search?tab=default_tab&amp;search_scope=EVERYTHING&amp;vid=01CRU&amp;lang=en_US&amp;offset=0&amp;query=any,contains,991003882649702656","Catalog Record")</f>
        <v/>
      </c>
      <c r="AT798">
        <f>HYPERLINK("http://www.worldcat.org/oclc/1732101","WorldCat Record")</f>
        <v/>
      </c>
      <c r="AU798" t="inlineStr">
        <is>
          <t>9465635:eng</t>
        </is>
      </c>
      <c r="AV798" t="inlineStr">
        <is>
          <t>1732101</t>
        </is>
      </c>
      <c r="AW798" t="inlineStr">
        <is>
          <t>991003882649702656</t>
        </is>
      </c>
      <c r="AX798" t="inlineStr">
        <is>
          <t>991003882649702656</t>
        </is>
      </c>
      <c r="AY798" t="inlineStr">
        <is>
          <t>2255366330002656</t>
        </is>
      </c>
      <c r="AZ798" t="inlineStr">
        <is>
          <t>BOOK</t>
        </is>
      </c>
      <c r="BC798" t="inlineStr">
        <is>
          <t>32285000746916</t>
        </is>
      </c>
      <c r="BD798" t="inlineStr">
        <is>
          <t>893718172</t>
        </is>
      </c>
    </row>
    <row r="799">
      <c r="A799" t="inlineStr">
        <is>
          <t>No</t>
        </is>
      </c>
      <c r="B799" t="inlineStr">
        <is>
          <t>BT601 .G813 1952a</t>
        </is>
      </c>
      <c r="C799" t="inlineStr">
        <is>
          <t>0                      BT 0601000G  813         1952a</t>
        </is>
      </c>
      <c r="D799" t="inlineStr">
        <is>
          <t>The Virgin Mary / by Jean Guitton. Translated by A. Gordon Smith</t>
        </is>
      </c>
      <c r="F799" t="inlineStr">
        <is>
          <t>No</t>
        </is>
      </c>
      <c r="G799" t="inlineStr">
        <is>
          <t>1</t>
        </is>
      </c>
      <c r="H799" t="inlineStr">
        <is>
          <t>No</t>
        </is>
      </c>
      <c r="I799" t="inlineStr">
        <is>
          <t>No</t>
        </is>
      </c>
      <c r="J799" t="inlineStr">
        <is>
          <t>0</t>
        </is>
      </c>
      <c r="K799" t="inlineStr">
        <is>
          <t>Guitton, Jean Marie Pierre, 1901-</t>
        </is>
      </c>
      <c r="L799" t="inlineStr">
        <is>
          <t>New York : Kenedy, [1952]</t>
        </is>
      </c>
      <c r="M799" t="inlineStr">
        <is>
          <t>1952</t>
        </is>
      </c>
      <c r="N799" t="inlineStr">
        <is>
          <t>London ed. (Burns, Oates) has title : The Blessed Virgin</t>
        </is>
      </c>
      <c r="O799" t="inlineStr">
        <is>
          <t>eng</t>
        </is>
      </c>
      <c r="P799" t="inlineStr">
        <is>
          <t>___</t>
        </is>
      </c>
      <c r="R799" t="inlineStr">
        <is>
          <t xml:space="preserve">BT </t>
        </is>
      </c>
      <c r="S799" t="n">
        <v>4</v>
      </c>
      <c r="T799" t="n">
        <v>4</v>
      </c>
      <c r="U799" t="inlineStr">
        <is>
          <t>1998-10-05</t>
        </is>
      </c>
      <c r="V799" t="inlineStr">
        <is>
          <t>1998-10-05</t>
        </is>
      </c>
      <c r="W799" t="inlineStr">
        <is>
          <t>1991-09-09</t>
        </is>
      </c>
      <c r="X799" t="inlineStr">
        <is>
          <t>1991-09-09</t>
        </is>
      </c>
      <c r="Y799" t="n">
        <v>174</v>
      </c>
      <c r="Z799" t="n">
        <v>164</v>
      </c>
      <c r="AA799" t="n">
        <v>164</v>
      </c>
      <c r="AB799" t="n">
        <v>2</v>
      </c>
      <c r="AC799" t="n">
        <v>2</v>
      </c>
      <c r="AD799" t="n">
        <v>27</v>
      </c>
      <c r="AE799" t="n">
        <v>27</v>
      </c>
      <c r="AF799" t="n">
        <v>9</v>
      </c>
      <c r="AG799" t="n">
        <v>9</v>
      </c>
      <c r="AH799" t="n">
        <v>6</v>
      </c>
      <c r="AI799" t="n">
        <v>6</v>
      </c>
      <c r="AJ799" t="n">
        <v>20</v>
      </c>
      <c r="AK799" t="n">
        <v>20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HYPERLINK("https://creighton-primo.hosted.exlibrisgroup.com/primo-explore/search?tab=default_tab&amp;search_scope=EVERYTHING&amp;vid=01CRU&amp;lang=en_US&amp;offset=0&amp;query=any,contains,991003486119702656","Catalog Record")</f>
        <v/>
      </c>
      <c r="AT799">
        <f>HYPERLINK("http://www.worldcat.org/oclc/1033394","WorldCat Record")</f>
        <v/>
      </c>
      <c r="AU799" t="inlineStr">
        <is>
          <t>8806961:eng</t>
        </is>
      </c>
      <c r="AV799" t="inlineStr">
        <is>
          <t>1033394</t>
        </is>
      </c>
      <c r="AW799" t="inlineStr">
        <is>
          <t>991003486119702656</t>
        </is>
      </c>
      <c r="AX799" t="inlineStr">
        <is>
          <t>991003486119702656</t>
        </is>
      </c>
      <c r="AY799" t="inlineStr">
        <is>
          <t>2268652200002656</t>
        </is>
      </c>
      <c r="AZ799" t="inlineStr">
        <is>
          <t>BOOK</t>
        </is>
      </c>
      <c r="BC799" t="inlineStr">
        <is>
          <t>32285000746932</t>
        </is>
      </c>
      <c r="BD799" t="inlineStr">
        <is>
          <t>893705267</t>
        </is>
      </c>
    </row>
    <row r="800">
      <c r="A800" t="inlineStr">
        <is>
          <t>No</t>
        </is>
      </c>
      <c r="B800" t="inlineStr">
        <is>
          <t>BT601 .M37 1958</t>
        </is>
      </c>
      <c r="C800" t="inlineStr">
        <is>
          <t>0                      BT 0601000M  37          1958</t>
        </is>
      </c>
      <c r="D800" t="inlineStr">
        <is>
          <t>Mary and Christian life / by Frank J. Melvin.</t>
        </is>
      </c>
      <c r="F800" t="inlineStr">
        <is>
          <t>No</t>
        </is>
      </c>
      <c r="G800" t="inlineStr">
        <is>
          <t>1</t>
        </is>
      </c>
      <c r="H800" t="inlineStr">
        <is>
          <t>No</t>
        </is>
      </c>
      <c r="I800" t="inlineStr">
        <is>
          <t>No</t>
        </is>
      </c>
      <c r="J800" t="inlineStr">
        <is>
          <t>0</t>
        </is>
      </c>
      <c r="K800" t="inlineStr">
        <is>
          <t>Melvin, Frank J.</t>
        </is>
      </c>
      <c r="L800" t="inlineStr">
        <is>
          <t>New York : Macmillan, 1958.</t>
        </is>
      </c>
      <c r="M800" t="inlineStr">
        <is>
          <t>1958</t>
        </is>
      </c>
      <c r="O800" t="inlineStr">
        <is>
          <t>eng</t>
        </is>
      </c>
      <c r="P800" t="inlineStr">
        <is>
          <t>nyu</t>
        </is>
      </c>
      <c r="R800" t="inlineStr">
        <is>
          <t xml:space="preserve">BT </t>
        </is>
      </c>
      <c r="S800" t="n">
        <v>5</v>
      </c>
      <c r="T800" t="n">
        <v>5</v>
      </c>
      <c r="U800" t="inlineStr">
        <is>
          <t>1996-04-24</t>
        </is>
      </c>
      <c r="V800" t="inlineStr">
        <is>
          <t>1996-04-24</t>
        </is>
      </c>
      <c r="W800" t="inlineStr">
        <is>
          <t>1991-09-09</t>
        </is>
      </c>
      <c r="X800" t="inlineStr">
        <is>
          <t>1991-09-09</t>
        </is>
      </c>
      <c r="Y800" t="n">
        <v>85</v>
      </c>
      <c r="Z800" t="n">
        <v>73</v>
      </c>
      <c r="AA800" t="n">
        <v>73</v>
      </c>
      <c r="AB800" t="n">
        <v>1</v>
      </c>
      <c r="AC800" t="n">
        <v>1</v>
      </c>
      <c r="AD800" t="n">
        <v>9</v>
      </c>
      <c r="AE800" t="n">
        <v>9</v>
      </c>
      <c r="AF800" t="n">
        <v>2</v>
      </c>
      <c r="AG800" t="n">
        <v>2</v>
      </c>
      <c r="AH800" t="n">
        <v>3</v>
      </c>
      <c r="AI800" t="n">
        <v>3</v>
      </c>
      <c r="AJ800" t="n">
        <v>6</v>
      </c>
      <c r="AK800" t="n">
        <v>6</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HYPERLINK("https://creighton-primo.hosted.exlibrisgroup.com/primo-explore/search?tab=default_tab&amp;search_scope=EVERYTHING&amp;vid=01CRU&amp;lang=en_US&amp;offset=0&amp;query=any,contains,991004199819702656","Catalog Record")</f>
        <v/>
      </c>
      <c r="AT800">
        <f>HYPERLINK("http://www.worldcat.org/oclc/2648850","WorldCat Record")</f>
        <v/>
      </c>
      <c r="AU800" t="inlineStr">
        <is>
          <t>5933217:eng</t>
        </is>
      </c>
      <c r="AV800" t="inlineStr">
        <is>
          <t>2648850</t>
        </is>
      </c>
      <c r="AW800" t="inlineStr">
        <is>
          <t>991004199819702656</t>
        </is>
      </c>
      <c r="AX800" t="inlineStr">
        <is>
          <t>991004199819702656</t>
        </is>
      </c>
      <c r="AY800" t="inlineStr">
        <is>
          <t>2271173870002656</t>
        </is>
      </c>
      <c r="AZ800" t="inlineStr">
        <is>
          <t>BOOK</t>
        </is>
      </c>
      <c r="BC800" t="inlineStr">
        <is>
          <t>32285000746981</t>
        </is>
      </c>
      <c r="BD800" t="inlineStr">
        <is>
          <t>893318919</t>
        </is>
      </c>
    </row>
    <row r="801">
      <c r="A801" t="inlineStr">
        <is>
          <t>No</t>
        </is>
      </c>
      <c r="B801" t="inlineStr">
        <is>
          <t>BT601 .O53 1948</t>
        </is>
      </c>
      <c r="C801" t="inlineStr">
        <is>
          <t>0                      BT 0601000O  53          1948</t>
        </is>
      </c>
      <c r="D801" t="inlineStr">
        <is>
          <t>Discourses on our Lady : for the month of May, Our Lady's feasts, and similar occasions / by Nicholas O'Rafferty.</t>
        </is>
      </c>
      <c r="F801" t="inlineStr">
        <is>
          <t>No</t>
        </is>
      </c>
      <c r="G801" t="inlineStr">
        <is>
          <t>1</t>
        </is>
      </c>
      <c r="H801" t="inlineStr">
        <is>
          <t>No</t>
        </is>
      </c>
      <c r="I801" t="inlineStr">
        <is>
          <t>No</t>
        </is>
      </c>
      <c r="J801" t="inlineStr">
        <is>
          <t>0</t>
        </is>
      </c>
      <c r="K801" t="inlineStr">
        <is>
          <t>O'Rafferty, Nicholas, 1881-</t>
        </is>
      </c>
      <c r="L801" t="inlineStr">
        <is>
          <t>Milwaukee : Bruce Pub. Co., [1948]</t>
        </is>
      </c>
      <c r="M801" t="inlineStr">
        <is>
          <t>1948</t>
        </is>
      </c>
      <c r="O801" t="inlineStr">
        <is>
          <t>eng</t>
        </is>
      </c>
      <c r="P801" t="inlineStr">
        <is>
          <t>wiu</t>
        </is>
      </c>
      <c r="R801" t="inlineStr">
        <is>
          <t xml:space="preserve">BT </t>
        </is>
      </c>
      <c r="S801" t="n">
        <v>2</v>
      </c>
      <c r="T801" t="n">
        <v>2</v>
      </c>
      <c r="U801" t="inlineStr">
        <is>
          <t>1999-11-07</t>
        </is>
      </c>
      <c r="V801" t="inlineStr">
        <is>
          <t>1999-11-07</t>
        </is>
      </c>
      <c r="W801" t="inlineStr">
        <is>
          <t>1991-09-09</t>
        </is>
      </c>
      <c r="X801" t="inlineStr">
        <is>
          <t>1991-09-09</t>
        </is>
      </c>
      <c r="Y801" t="n">
        <v>71</v>
      </c>
      <c r="Z801" t="n">
        <v>62</v>
      </c>
      <c r="AA801" t="n">
        <v>62</v>
      </c>
      <c r="AB801" t="n">
        <v>2</v>
      </c>
      <c r="AC801" t="n">
        <v>2</v>
      </c>
      <c r="AD801" t="n">
        <v>9</v>
      </c>
      <c r="AE801" t="n">
        <v>9</v>
      </c>
      <c r="AF801" t="n">
        <v>0</v>
      </c>
      <c r="AG801" t="n">
        <v>0</v>
      </c>
      <c r="AH801" t="n">
        <v>2</v>
      </c>
      <c r="AI801" t="n">
        <v>2</v>
      </c>
      <c r="AJ801" t="n">
        <v>8</v>
      </c>
      <c r="AK801" t="n">
        <v>8</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HYPERLINK("https://creighton-primo.hosted.exlibrisgroup.com/primo-explore/search?tab=default_tab&amp;search_scope=EVERYTHING&amp;vid=01CRU&amp;lang=en_US&amp;offset=0&amp;query=any,contains,991004983319702656","Catalog Record")</f>
        <v/>
      </c>
      <c r="AT801">
        <f>HYPERLINK("http://www.worldcat.org/oclc/6440530","WorldCat Record")</f>
        <v/>
      </c>
      <c r="AU801" t="inlineStr">
        <is>
          <t>1407256485:eng</t>
        </is>
      </c>
      <c r="AV801" t="inlineStr">
        <is>
          <t>6440530</t>
        </is>
      </c>
      <c r="AW801" t="inlineStr">
        <is>
          <t>991004983319702656</t>
        </is>
      </c>
      <c r="AX801" t="inlineStr">
        <is>
          <t>991004983319702656</t>
        </is>
      </c>
      <c r="AY801" t="inlineStr">
        <is>
          <t>2259133450002656</t>
        </is>
      </c>
      <c r="AZ801" t="inlineStr">
        <is>
          <t>BOOK</t>
        </is>
      </c>
      <c r="BC801" t="inlineStr">
        <is>
          <t>32285000746999</t>
        </is>
      </c>
      <c r="BD801" t="inlineStr">
        <is>
          <t>893688439</t>
        </is>
      </c>
    </row>
    <row r="802">
      <c r="A802" t="inlineStr">
        <is>
          <t>No</t>
        </is>
      </c>
      <c r="B802" t="inlineStr">
        <is>
          <t>BT601 .S252</t>
        </is>
      </c>
      <c r="C802" t="inlineStr">
        <is>
          <t>0                      BT 0601000S  252</t>
        </is>
      </c>
      <c r="D802" t="inlineStr">
        <is>
          <t>Mariology / by M.J. Scheeben. Translated by T. L. M. J. Geukers.</t>
        </is>
      </c>
      <c r="E802" t="inlineStr">
        <is>
          <t>V.2</t>
        </is>
      </c>
      <c r="F802" t="inlineStr">
        <is>
          <t>Yes</t>
        </is>
      </c>
      <c r="G802" t="inlineStr">
        <is>
          <t>1</t>
        </is>
      </c>
      <c r="H802" t="inlineStr">
        <is>
          <t>No</t>
        </is>
      </c>
      <c r="I802" t="inlineStr">
        <is>
          <t>No</t>
        </is>
      </c>
      <c r="J802" t="inlineStr">
        <is>
          <t>0</t>
        </is>
      </c>
      <c r="K802" t="inlineStr">
        <is>
          <t>Scheeben, Matthias Joseph, 1835-1888.</t>
        </is>
      </c>
      <c r="L802" t="inlineStr">
        <is>
          <t>St. Louis : Herder, 1946-47.</t>
        </is>
      </c>
      <c r="M802" t="inlineStr">
        <is>
          <t>1946</t>
        </is>
      </c>
      <c r="O802" t="inlineStr">
        <is>
          <t>eng</t>
        </is>
      </c>
      <c r="P802" t="inlineStr">
        <is>
          <t>___</t>
        </is>
      </c>
      <c r="R802" t="inlineStr">
        <is>
          <t xml:space="preserve">BT </t>
        </is>
      </c>
      <c r="S802" t="n">
        <v>3</v>
      </c>
      <c r="T802" t="n">
        <v>7</v>
      </c>
      <c r="U802" t="inlineStr">
        <is>
          <t>1994-03-28</t>
        </is>
      </c>
      <c r="V802" t="inlineStr">
        <is>
          <t>1994-03-28</t>
        </is>
      </c>
      <c r="W802" t="inlineStr">
        <is>
          <t>1991-09-09</t>
        </is>
      </c>
      <c r="X802" t="inlineStr">
        <is>
          <t>1991-09-09</t>
        </is>
      </c>
      <c r="Y802" t="n">
        <v>222</v>
      </c>
      <c r="Z802" t="n">
        <v>195</v>
      </c>
      <c r="AA802" t="n">
        <v>197</v>
      </c>
      <c r="AB802" t="n">
        <v>2</v>
      </c>
      <c r="AC802" t="n">
        <v>2</v>
      </c>
      <c r="AD802" t="n">
        <v>31</v>
      </c>
      <c r="AE802" t="n">
        <v>31</v>
      </c>
      <c r="AF802" t="n">
        <v>10</v>
      </c>
      <c r="AG802" t="n">
        <v>10</v>
      </c>
      <c r="AH802" t="n">
        <v>8</v>
      </c>
      <c r="AI802" t="n">
        <v>8</v>
      </c>
      <c r="AJ802" t="n">
        <v>25</v>
      </c>
      <c r="AK802" t="n">
        <v>25</v>
      </c>
      <c r="AL802" t="n">
        <v>0</v>
      </c>
      <c r="AM802" t="n">
        <v>0</v>
      </c>
      <c r="AN802" t="n">
        <v>0</v>
      </c>
      <c r="AO802" t="n">
        <v>0</v>
      </c>
      <c r="AP802" t="inlineStr">
        <is>
          <t>No</t>
        </is>
      </c>
      <c r="AQ802" t="inlineStr">
        <is>
          <t>Yes</t>
        </is>
      </c>
      <c r="AR802">
        <f>HYPERLINK("http://catalog.hathitrust.org/Record/102580608","HathiTrust Record")</f>
        <v/>
      </c>
      <c r="AS802">
        <f>HYPERLINK("https://creighton-primo.hosted.exlibrisgroup.com/primo-explore/search?tab=default_tab&amp;search_scope=EVERYTHING&amp;vid=01CRU&amp;lang=en_US&amp;offset=0&amp;query=any,contains,991003398039702656","Catalog Record")</f>
        <v/>
      </c>
      <c r="AT802">
        <f>HYPERLINK("http://www.worldcat.org/oclc/937076","WorldCat Record")</f>
        <v/>
      </c>
      <c r="AU802" t="inlineStr">
        <is>
          <t>9088906010:eng</t>
        </is>
      </c>
      <c r="AV802" t="inlineStr">
        <is>
          <t>937076</t>
        </is>
      </c>
      <c r="AW802" t="inlineStr">
        <is>
          <t>991003398039702656</t>
        </is>
      </c>
      <c r="AX802" t="inlineStr">
        <is>
          <t>991003398039702656</t>
        </is>
      </c>
      <c r="AY802" t="inlineStr">
        <is>
          <t>2265935380002656</t>
        </is>
      </c>
      <c r="AZ802" t="inlineStr">
        <is>
          <t>BOOK</t>
        </is>
      </c>
      <c r="BC802" t="inlineStr">
        <is>
          <t>32285000747021</t>
        </is>
      </c>
      <c r="BD802" t="inlineStr">
        <is>
          <t>893711341</t>
        </is>
      </c>
    </row>
    <row r="803">
      <c r="A803" t="inlineStr">
        <is>
          <t>No</t>
        </is>
      </c>
      <c r="B803" t="inlineStr">
        <is>
          <t>BT601 .S252</t>
        </is>
      </c>
      <c r="C803" t="inlineStr">
        <is>
          <t>0                      BT 0601000S  252</t>
        </is>
      </c>
      <c r="D803" t="inlineStr">
        <is>
          <t>Mariology / by M.J. Scheeben. Translated by T. L. M. J. Geukers.</t>
        </is>
      </c>
      <c r="E803" t="inlineStr">
        <is>
          <t>V.1</t>
        </is>
      </c>
      <c r="F803" t="inlineStr">
        <is>
          <t>Yes</t>
        </is>
      </c>
      <c r="G803" t="inlineStr">
        <is>
          <t>1</t>
        </is>
      </c>
      <c r="H803" t="inlineStr">
        <is>
          <t>No</t>
        </is>
      </c>
      <c r="I803" t="inlineStr">
        <is>
          <t>No</t>
        </is>
      </c>
      <c r="J803" t="inlineStr">
        <is>
          <t>0</t>
        </is>
      </c>
      <c r="K803" t="inlineStr">
        <is>
          <t>Scheeben, Matthias Joseph, 1835-1888.</t>
        </is>
      </c>
      <c r="L803" t="inlineStr">
        <is>
          <t>St. Louis : Herder, 1946-47.</t>
        </is>
      </c>
      <c r="M803" t="inlineStr">
        <is>
          <t>1946</t>
        </is>
      </c>
      <c r="O803" t="inlineStr">
        <is>
          <t>eng</t>
        </is>
      </c>
      <c r="P803" t="inlineStr">
        <is>
          <t>___</t>
        </is>
      </c>
      <c r="R803" t="inlineStr">
        <is>
          <t xml:space="preserve">BT </t>
        </is>
      </c>
      <c r="S803" t="n">
        <v>4</v>
      </c>
      <c r="T803" t="n">
        <v>7</v>
      </c>
      <c r="V803" t="inlineStr">
        <is>
          <t>1994-03-28</t>
        </is>
      </c>
      <c r="W803" t="inlineStr">
        <is>
          <t>1991-09-09</t>
        </is>
      </c>
      <c r="X803" t="inlineStr">
        <is>
          <t>1991-09-09</t>
        </is>
      </c>
      <c r="Y803" t="n">
        <v>222</v>
      </c>
      <c r="Z803" t="n">
        <v>195</v>
      </c>
      <c r="AA803" t="n">
        <v>197</v>
      </c>
      <c r="AB803" t="n">
        <v>2</v>
      </c>
      <c r="AC803" t="n">
        <v>2</v>
      </c>
      <c r="AD803" t="n">
        <v>31</v>
      </c>
      <c r="AE803" t="n">
        <v>31</v>
      </c>
      <c r="AF803" t="n">
        <v>10</v>
      </c>
      <c r="AG803" t="n">
        <v>10</v>
      </c>
      <c r="AH803" t="n">
        <v>8</v>
      </c>
      <c r="AI803" t="n">
        <v>8</v>
      </c>
      <c r="AJ803" t="n">
        <v>25</v>
      </c>
      <c r="AK803" t="n">
        <v>25</v>
      </c>
      <c r="AL803" t="n">
        <v>0</v>
      </c>
      <c r="AM803" t="n">
        <v>0</v>
      </c>
      <c r="AN803" t="n">
        <v>0</v>
      </c>
      <c r="AO803" t="n">
        <v>0</v>
      </c>
      <c r="AP803" t="inlineStr">
        <is>
          <t>No</t>
        </is>
      </c>
      <c r="AQ803" t="inlineStr">
        <is>
          <t>Yes</t>
        </is>
      </c>
      <c r="AR803">
        <f>HYPERLINK("http://catalog.hathitrust.org/Record/102580608","HathiTrust Record")</f>
        <v/>
      </c>
      <c r="AS803">
        <f>HYPERLINK("https://creighton-primo.hosted.exlibrisgroup.com/primo-explore/search?tab=default_tab&amp;search_scope=EVERYTHING&amp;vid=01CRU&amp;lang=en_US&amp;offset=0&amp;query=any,contains,991003398039702656","Catalog Record")</f>
        <v/>
      </c>
      <c r="AT803">
        <f>HYPERLINK("http://www.worldcat.org/oclc/937076","WorldCat Record")</f>
        <v/>
      </c>
      <c r="AU803" t="inlineStr">
        <is>
          <t>9088906010:eng</t>
        </is>
      </c>
      <c r="AV803" t="inlineStr">
        <is>
          <t>937076</t>
        </is>
      </c>
      <c r="AW803" t="inlineStr">
        <is>
          <t>991003398039702656</t>
        </is>
      </c>
      <c r="AX803" t="inlineStr">
        <is>
          <t>991003398039702656</t>
        </is>
      </c>
      <c r="AY803" t="inlineStr">
        <is>
          <t>2265935380002656</t>
        </is>
      </c>
      <c r="AZ803" t="inlineStr">
        <is>
          <t>BOOK</t>
        </is>
      </c>
      <c r="BC803" t="inlineStr">
        <is>
          <t>32285000747013</t>
        </is>
      </c>
      <c r="BD803" t="inlineStr">
        <is>
          <t>893705187</t>
        </is>
      </c>
    </row>
    <row r="804">
      <c r="A804" t="inlineStr">
        <is>
          <t>No</t>
        </is>
      </c>
      <c r="B804" t="inlineStr">
        <is>
          <t>BT601 .S5 1951</t>
        </is>
      </c>
      <c r="C804" t="inlineStr">
        <is>
          <t>0                      BT 0601000S  5           1951</t>
        </is>
      </c>
      <c r="D804" t="inlineStr">
        <is>
          <t>The Mary book / assembled by F.J. Sheed.</t>
        </is>
      </c>
      <c r="F804" t="inlineStr">
        <is>
          <t>No</t>
        </is>
      </c>
      <c r="G804" t="inlineStr">
        <is>
          <t>1</t>
        </is>
      </c>
      <c r="H804" t="inlineStr">
        <is>
          <t>No</t>
        </is>
      </c>
      <c r="I804" t="inlineStr">
        <is>
          <t>No</t>
        </is>
      </c>
      <c r="J804" t="inlineStr">
        <is>
          <t>0</t>
        </is>
      </c>
      <c r="K804" t="inlineStr">
        <is>
          <t>Sheed, F. J. (Francis Joseph), 1897-1981, compiler.</t>
        </is>
      </c>
      <c r="L804" t="inlineStr">
        <is>
          <t>New York : Sheed &amp; Ward, 1951, c1950.</t>
        </is>
      </c>
      <c r="M804" t="inlineStr">
        <is>
          <t>1950</t>
        </is>
      </c>
      <c r="O804" t="inlineStr">
        <is>
          <t>eng</t>
        </is>
      </c>
      <c r="P804" t="inlineStr">
        <is>
          <t>___</t>
        </is>
      </c>
      <c r="R804" t="inlineStr">
        <is>
          <t xml:space="preserve">BT </t>
        </is>
      </c>
      <c r="S804" t="n">
        <v>5</v>
      </c>
      <c r="T804" t="n">
        <v>5</v>
      </c>
      <c r="U804" t="inlineStr">
        <is>
          <t>2005-11-09</t>
        </is>
      </c>
      <c r="V804" t="inlineStr">
        <is>
          <t>2005-11-09</t>
        </is>
      </c>
      <c r="W804" t="inlineStr">
        <is>
          <t>1991-09-09</t>
        </is>
      </c>
      <c r="X804" t="inlineStr">
        <is>
          <t>1991-09-09</t>
        </is>
      </c>
      <c r="Y804" t="n">
        <v>280</v>
      </c>
      <c r="Z804" t="n">
        <v>255</v>
      </c>
      <c r="AA804" t="n">
        <v>281</v>
      </c>
      <c r="AB804" t="n">
        <v>2</v>
      </c>
      <c r="AC804" t="n">
        <v>2</v>
      </c>
      <c r="AD804" t="n">
        <v>28</v>
      </c>
      <c r="AE804" t="n">
        <v>30</v>
      </c>
      <c r="AF804" t="n">
        <v>8</v>
      </c>
      <c r="AG804" t="n">
        <v>10</v>
      </c>
      <c r="AH804" t="n">
        <v>8</v>
      </c>
      <c r="AI804" t="n">
        <v>8</v>
      </c>
      <c r="AJ804" t="n">
        <v>22</v>
      </c>
      <c r="AK804" t="n">
        <v>24</v>
      </c>
      <c r="AL804" t="n">
        <v>0</v>
      </c>
      <c r="AM804" t="n">
        <v>0</v>
      </c>
      <c r="AN804" t="n">
        <v>0</v>
      </c>
      <c r="AO804" t="n">
        <v>0</v>
      </c>
      <c r="AP804" t="inlineStr">
        <is>
          <t>No</t>
        </is>
      </c>
      <c r="AQ804" t="inlineStr">
        <is>
          <t>No</t>
        </is>
      </c>
      <c r="AR804">
        <f>HYPERLINK("http://catalog.hathitrust.org/Record/101872034","HathiTrust Record")</f>
        <v/>
      </c>
      <c r="AS804">
        <f>HYPERLINK("https://creighton-primo.hosted.exlibrisgroup.com/primo-explore/search?tab=default_tab&amp;search_scope=EVERYTHING&amp;vid=01CRU&amp;lang=en_US&amp;offset=0&amp;query=any,contains,991003436769702656","Catalog Record")</f>
        <v/>
      </c>
      <c r="AT804">
        <f>HYPERLINK("http://www.worldcat.org/oclc/972270","WorldCat Record")</f>
        <v/>
      </c>
      <c r="AU804" t="inlineStr">
        <is>
          <t>136212889:eng</t>
        </is>
      </c>
      <c r="AV804" t="inlineStr">
        <is>
          <t>972270</t>
        </is>
      </c>
      <c r="AW804" t="inlineStr">
        <is>
          <t>991003436769702656</t>
        </is>
      </c>
      <c r="AX804" t="inlineStr">
        <is>
          <t>991003436769702656</t>
        </is>
      </c>
      <c r="AY804" t="inlineStr">
        <is>
          <t>2258895310002656</t>
        </is>
      </c>
      <c r="AZ804" t="inlineStr">
        <is>
          <t>BOOK</t>
        </is>
      </c>
      <c r="BC804" t="inlineStr">
        <is>
          <t>32285000747047</t>
        </is>
      </c>
      <c r="BD804" t="inlineStr">
        <is>
          <t>893317976</t>
        </is>
      </c>
    </row>
    <row r="805">
      <c r="A805" t="inlineStr">
        <is>
          <t>No</t>
        </is>
      </c>
      <c r="B805" t="inlineStr">
        <is>
          <t>BT601 .V32 1920</t>
        </is>
      </c>
      <c r="C805" t="inlineStr">
        <is>
          <t>0                      BT 0601000V  32          1920</t>
        </is>
      </c>
      <c r="D805" t="inlineStr">
        <is>
          <t>The mother of Christ; or, The Blessed Virgin Mary in Catholic tradition, theology and devotion / by O. R. Vassall-Phillips.</t>
        </is>
      </c>
      <c r="F805" t="inlineStr">
        <is>
          <t>No</t>
        </is>
      </c>
      <c r="G805" t="inlineStr">
        <is>
          <t>1</t>
        </is>
      </c>
      <c r="H805" t="inlineStr">
        <is>
          <t>No</t>
        </is>
      </c>
      <c r="I805" t="inlineStr">
        <is>
          <t>No</t>
        </is>
      </c>
      <c r="J805" t="inlineStr">
        <is>
          <t>0</t>
        </is>
      </c>
      <c r="K805" t="inlineStr">
        <is>
          <t>Vassall-Phillips, O. R. (Oliver Rodie), 1857-1932.</t>
        </is>
      </c>
      <c r="L805" t="inlineStr">
        <is>
          <t>New York : Benziger, 1920.</t>
        </is>
      </c>
      <c r="M805" t="inlineStr">
        <is>
          <t>1920</t>
        </is>
      </c>
      <c r="O805" t="inlineStr">
        <is>
          <t>eng</t>
        </is>
      </c>
      <c r="P805" t="inlineStr">
        <is>
          <t>nyu</t>
        </is>
      </c>
      <c r="R805" t="inlineStr">
        <is>
          <t xml:space="preserve">BT </t>
        </is>
      </c>
      <c r="S805" t="n">
        <v>2</v>
      </c>
      <c r="T805" t="n">
        <v>2</v>
      </c>
      <c r="U805" t="inlineStr">
        <is>
          <t>1996-08-14</t>
        </is>
      </c>
      <c r="V805" t="inlineStr">
        <is>
          <t>1996-08-14</t>
        </is>
      </c>
      <c r="W805" t="inlineStr">
        <is>
          <t>1991-09-09</t>
        </is>
      </c>
      <c r="X805" t="inlineStr">
        <is>
          <t>1991-09-09</t>
        </is>
      </c>
      <c r="Y805" t="n">
        <v>16</v>
      </c>
      <c r="Z805" t="n">
        <v>16</v>
      </c>
      <c r="AA805" t="n">
        <v>73</v>
      </c>
      <c r="AB805" t="n">
        <v>1</v>
      </c>
      <c r="AC805" t="n">
        <v>2</v>
      </c>
      <c r="AD805" t="n">
        <v>4</v>
      </c>
      <c r="AE805" t="n">
        <v>13</v>
      </c>
      <c r="AF805" t="n">
        <v>1</v>
      </c>
      <c r="AG805" t="n">
        <v>4</v>
      </c>
      <c r="AH805" t="n">
        <v>2</v>
      </c>
      <c r="AI805" t="n">
        <v>3</v>
      </c>
      <c r="AJ805" t="n">
        <v>2</v>
      </c>
      <c r="AK805" t="n">
        <v>8</v>
      </c>
      <c r="AL805" t="n">
        <v>0</v>
      </c>
      <c r="AM805" t="n">
        <v>0</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HYPERLINK("https://creighton-primo.hosted.exlibrisgroup.com/primo-explore/search?tab=default_tab&amp;search_scope=EVERYTHING&amp;vid=01CRU&amp;lang=en_US&amp;offset=0&amp;query=any,contains,991005062169702656","Catalog Record")</f>
        <v/>
      </c>
      <c r="AT805">
        <f>HYPERLINK("http://www.worldcat.org/oclc/6929164","WorldCat Record")</f>
        <v/>
      </c>
      <c r="AU805" t="inlineStr">
        <is>
          <t>348466141:eng</t>
        </is>
      </c>
      <c r="AV805" t="inlineStr">
        <is>
          <t>6929164</t>
        </is>
      </c>
      <c r="AW805" t="inlineStr">
        <is>
          <t>991005062169702656</t>
        </is>
      </c>
      <c r="AX805" t="inlineStr">
        <is>
          <t>991005062169702656</t>
        </is>
      </c>
      <c r="AY805" t="inlineStr">
        <is>
          <t>2264814460002656</t>
        </is>
      </c>
      <c r="AZ805" t="inlineStr">
        <is>
          <t>BOOK</t>
        </is>
      </c>
      <c r="BC805" t="inlineStr">
        <is>
          <t>32285000747070</t>
        </is>
      </c>
      <c r="BD805" t="inlineStr">
        <is>
          <t>893876862</t>
        </is>
      </c>
    </row>
    <row r="806">
      <c r="A806" t="inlineStr">
        <is>
          <t>No</t>
        </is>
      </c>
      <c r="B806" t="inlineStr">
        <is>
          <t>BT602 .A413 1978</t>
        </is>
      </c>
      <c r="C806" t="inlineStr">
        <is>
          <t>0                      BT 0602000A  413         1978</t>
        </is>
      </c>
      <c r="D806" t="inlineStr">
        <is>
          <t>Glories and virtues of Mary / by J. Alberione ; translation by Hilda Calabro.</t>
        </is>
      </c>
      <c r="F806" t="inlineStr">
        <is>
          <t>No</t>
        </is>
      </c>
      <c r="G806" t="inlineStr">
        <is>
          <t>1</t>
        </is>
      </c>
      <c r="H806" t="inlineStr">
        <is>
          <t>No</t>
        </is>
      </c>
      <c r="I806" t="inlineStr">
        <is>
          <t>No</t>
        </is>
      </c>
      <c r="J806" t="inlineStr">
        <is>
          <t>0</t>
        </is>
      </c>
      <c r="K806" t="inlineStr">
        <is>
          <t>Alberione, James, 1884-1971.</t>
        </is>
      </c>
      <c r="L806" t="inlineStr">
        <is>
          <t>Boston : St. Paul Editions, 1978, c1962.</t>
        </is>
      </c>
      <c r="M806" t="inlineStr">
        <is>
          <t>1978</t>
        </is>
      </c>
      <c r="O806" t="inlineStr">
        <is>
          <t>eng</t>
        </is>
      </c>
      <c r="P806" t="inlineStr">
        <is>
          <t>mau</t>
        </is>
      </c>
      <c r="R806" t="inlineStr">
        <is>
          <t xml:space="preserve">BT </t>
        </is>
      </c>
      <c r="S806" t="n">
        <v>4</v>
      </c>
      <c r="T806" t="n">
        <v>4</v>
      </c>
      <c r="U806" t="inlineStr">
        <is>
          <t>2000-11-29</t>
        </is>
      </c>
      <c r="V806" t="inlineStr">
        <is>
          <t>2000-11-29</t>
        </is>
      </c>
      <c r="W806" t="inlineStr">
        <is>
          <t>1990-05-01</t>
        </is>
      </c>
      <c r="X806" t="inlineStr">
        <is>
          <t>1990-05-01</t>
        </is>
      </c>
      <c r="Y806" t="n">
        <v>28</v>
      </c>
      <c r="Z806" t="n">
        <v>25</v>
      </c>
      <c r="AA806" t="n">
        <v>58</v>
      </c>
      <c r="AB806" t="n">
        <v>2</v>
      </c>
      <c r="AC806" t="n">
        <v>3</v>
      </c>
      <c r="AD806" t="n">
        <v>2</v>
      </c>
      <c r="AE806" t="n">
        <v>6</v>
      </c>
      <c r="AF806" t="n">
        <v>1</v>
      </c>
      <c r="AG806" t="n">
        <v>2</v>
      </c>
      <c r="AH806" t="n">
        <v>1</v>
      </c>
      <c r="AI806" t="n">
        <v>3</v>
      </c>
      <c r="AJ806" t="n">
        <v>0</v>
      </c>
      <c r="AK806" t="n">
        <v>2</v>
      </c>
      <c r="AL806" t="n">
        <v>0</v>
      </c>
      <c r="AM806" t="n">
        <v>0</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HYPERLINK("https://creighton-primo.hosted.exlibrisgroup.com/primo-explore/search?tab=default_tab&amp;search_scope=EVERYTHING&amp;vid=01CRU&amp;lang=en_US&amp;offset=0&amp;query=any,contains,991000950349702656","Catalog Record")</f>
        <v/>
      </c>
      <c r="AT806">
        <f>HYPERLINK("http://www.worldcat.org/oclc/14641950","WorldCat Record")</f>
        <v/>
      </c>
      <c r="AU806" t="inlineStr">
        <is>
          <t>9098260:eng</t>
        </is>
      </c>
      <c r="AV806" t="inlineStr">
        <is>
          <t>14641950</t>
        </is>
      </c>
      <c r="AW806" t="inlineStr">
        <is>
          <t>991000950349702656</t>
        </is>
      </c>
      <c r="AX806" t="inlineStr">
        <is>
          <t>991000950349702656</t>
        </is>
      </c>
      <c r="AY806" t="inlineStr">
        <is>
          <t>2272292770002656</t>
        </is>
      </c>
      <c r="AZ806" t="inlineStr">
        <is>
          <t>BOOK</t>
        </is>
      </c>
      <c r="BC806" t="inlineStr">
        <is>
          <t>32285000145606</t>
        </is>
      </c>
      <c r="BD806" t="inlineStr">
        <is>
          <t>893231568</t>
        </is>
      </c>
    </row>
    <row r="807">
      <c r="A807" t="inlineStr">
        <is>
          <t>No</t>
        </is>
      </c>
      <c r="B807" t="inlineStr">
        <is>
          <t>BT602 .B79 1994</t>
        </is>
      </c>
      <c r="C807" t="inlineStr">
        <is>
          <t>0                      BT 0602000B  79          1994</t>
        </is>
      </c>
      <c r="D807" t="inlineStr">
        <is>
          <t>Mary of Galilee / Bertrand Buby.</t>
        </is>
      </c>
      <c r="E807" t="inlineStr">
        <is>
          <t>V.1</t>
        </is>
      </c>
      <c r="F807" t="inlineStr">
        <is>
          <t>Yes</t>
        </is>
      </c>
      <c r="G807" t="inlineStr">
        <is>
          <t>1</t>
        </is>
      </c>
      <c r="H807" t="inlineStr">
        <is>
          <t>No</t>
        </is>
      </c>
      <c r="I807" t="inlineStr">
        <is>
          <t>No</t>
        </is>
      </c>
      <c r="J807" t="inlineStr">
        <is>
          <t>0</t>
        </is>
      </c>
      <c r="K807" t="inlineStr">
        <is>
          <t>Buby, Bertrand.</t>
        </is>
      </c>
      <c r="L807" t="inlineStr">
        <is>
          <t>New York : Alba House, 1994-</t>
        </is>
      </c>
      <c r="M807" t="inlineStr">
        <is>
          <t>1994</t>
        </is>
      </c>
      <c r="O807" t="inlineStr">
        <is>
          <t>eng</t>
        </is>
      </c>
      <c r="P807" t="inlineStr">
        <is>
          <t>nyu</t>
        </is>
      </c>
      <c r="R807" t="inlineStr">
        <is>
          <t xml:space="preserve">BT </t>
        </is>
      </c>
      <c r="S807" t="n">
        <v>5</v>
      </c>
      <c r="T807" t="n">
        <v>11</v>
      </c>
      <c r="U807" t="inlineStr">
        <is>
          <t>2009-07-30</t>
        </is>
      </c>
      <c r="V807" t="inlineStr">
        <is>
          <t>2009-07-30</t>
        </is>
      </c>
      <c r="W807" t="inlineStr">
        <is>
          <t>1994-12-22</t>
        </is>
      </c>
      <c r="X807" t="inlineStr">
        <is>
          <t>1997-12-01</t>
        </is>
      </c>
      <c r="Y807" t="n">
        <v>129</v>
      </c>
      <c r="Z807" t="n">
        <v>108</v>
      </c>
      <c r="AA807" t="n">
        <v>108</v>
      </c>
      <c r="AB807" t="n">
        <v>1</v>
      </c>
      <c r="AC807" t="n">
        <v>1</v>
      </c>
      <c r="AD807" t="n">
        <v>14</v>
      </c>
      <c r="AE807" t="n">
        <v>14</v>
      </c>
      <c r="AF807" t="n">
        <v>6</v>
      </c>
      <c r="AG807" t="n">
        <v>6</v>
      </c>
      <c r="AH807" t="n">
        <v>3</v>
      </c>
      <c r="AI807" t="n">
        <v>3</v>
      </c>
      <c r="AJ807" t="n">
        <v>9</v>
      </c>
      <c r="AK807" t="n">
        <v>9</v>
      </c>
      <c r="AL807" t="n">
        <v>0</v>
      </c>
      <c r="AM807" t="n">
        <v>0</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HYPERLINK("https://creighton-primo.hosted.exlibrisgroup.com/primo-explore/search?tab=default_tab&amp;search_scope=EVERYTHING&amp;vid=01CRU&amp;lang=en_US&amp;offset=0&amp;query=any,contains,991002318079702656","Catalog Record")</f>
        <v/>
      </c>
      <c r="AT807">
        <f>HYPERLINK("http://www.worldcat.org/oclc/30073694","WorldCat Record")</f>
        <v/>
      </c>
      <c r="AU807" t="inlineStr">
        <is>
          <t>4081695489:eng</t>
        </is>
      </c>
      <c r="AV807" t="inlineStr">
        <is>
          <t>30073694</t>
        </is>
      </c>
      <c r="AW807" t="inlineStr">
        <is>
          <t>991002318079702656</t>
        </is>
      </c>
      <c r="AX807" t="inlineStr">
        <is>
          <t>991002318079702656</t>
        </is>
      </c>
      <c r="AY807" t="inlineStr">
        <is>
          <t>2260210220002656</t>
        </is>
      </c>
      <c r="AZ807" t="inlineStr">
        <is>
          <t>BOOK</t>
        </is>
      </c>
      <c r="BB807" t="inlineStr">
        <is>
          <t>9780818906923</t>
        </is>
      </c>
      <c r="BC807" t="inlineStr">
        <is>
          <t>32285005135784</t>
        </is>
      </c>
      <c r="BD807" t="inlineStr">
        <is>
          <t>893328930</t>
        </is>
      </c>
    </row>
    <row r="808">
      <c r="A808" t="inlineStr">
        <is>
          <t>No</t>
        </is>
      </c>
      <c r="B808" t="inlineStr">
        <is>
          <t>BT602 .B79 1994</t>
        </is>
      </c>
      <c r="C808" t="inlineStr">
        <is>
          <t>0                      BT 0602000B  79          1994</t>
        </is>
      </c>
      <c r="D808" t="inlineStr">
        <is>
          <t>Mary of Galilee / Bertrand Buby.</t>
        </is>
      </c>
      <c r="E808" t="inlineStr">
        <is>
          <t>V.3</t>
        </is>
      </c>
      <c r="F808" t="inlineStr">
        <is>
          <t>Yes</t>
        </is>
      </c>
      <c r="G808" t="inlineStr">
        <is>
          <t>1</t>
        </is>
      </c>
      <c r="H808" t="inlineStr">
        <is>
          <t>No</t>
        </is>
      </c>
      <c r="I808" t="inlineStr">
        <is>
          <t>No</t>
        </is>
      </c>
      <c r="J808" t="inlineStr">
        <is>
          <t>0</t>
        </is>
      </c>
      <c r="K808" t="inlineStr">
        <is>
          <t>Buby, Bertrand.</t>
        </is>
      </c>
      <c r="L808" t="inlineStr">
        <is>
          <t>New York : Alba House, 1994-</t>
        </is>
      </c>
      <c r="M808" t="inlineStr">
        <is>
          <t>1994</t>
        </is>
      </c>
      <c r="O808" t="inlineStr">
        <is>
          <t>eng</t>
        </is>
      </c>
      <c r="P808" t="inlineStr">
        <is>
          <t>nyu</t>
        </is>
      </c>
      <c r="R808" t="inlineStr">
        <is>
          <t xml:space="preserve">BT </t>
        </is>
      </c>
      <c r="S808" t="n">
        <v>3</v>
      </c>
      <c r="T808" t="n">
        <v>11</v>
      </c>
      <c r="U808" t="inlineStr">
        <is>
          <t>2009-07-30</t>
        </is>
      </c>
      <c r="V808" t="inlineStr">
        <is>
          <t>2009-07-30</t>
        </is>
      </c>
      <c r="W808" t="inlineStr">
        <is>
          <t>1997-12-01</t>
        </is>
      </c>
      <c r="X808" t="inlineStr">
        <is>
          <t>1997-12-01</t>
        </is>
      </c>
      <c r="Y808" t="n">
        <v>129</v>
      </c>
      <c r="Z808" t="n">
        <v>108</v>
      </c>
      <c r="AA808" t="n">
        <v>108</v>
      </c>
      <c r="AB808" t="n">
        <v>1</v>
      </c>
      <c r="AC808" t="n">
        <v>1</v>
      </c>
      <c r="AD808" t="n">
        <v>14</v>
      </c>
      <c r="AE808" t="n">
        <v>14</v>
      </c>
      <c r="AF808" t="n">
        <v>6</v>
      </c>
      <c r="AG808" t="n">
        <v>6</v>
      </c>
      <c r="AH808" t="n">
        <v>3</v>
      </c>
      <c r="AI808" t="n">
        <v>3</v>
      </c>
      <c r="AJ808" t="n">
        <v>9</v>
      </c>
      <c r="AK808" t="n">
        <v>9</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HYPERLINK("https://creighton-primo.hosted.exlibrisgroup.com/primo-explore/search?tab=default_tab&amp;search_scope=EVERYTHING&amp;vid=01CRU&amp;lang=en_US&amp;offset=0&amp;query=any,contains,991002318079702656","Catalog Record")</f>
        <v/>
      </c>
      <c r="AT808">
        <f>HYPERLINK("http://www.worldcat.org/oclc/30073694","WorldCat Record")</f>
        <v/>
      </c>
      <c r="AU808" t="inlineStr">
        <is>
          <t>4081695489:eng</t>
        </is>
      </c>
      <c r="AV808" t="inlineStr">
        <is>
          <t>30073694</t>
        </is>
      </c>
      <c r="AW808" t="inlineStr">
        <is>
          <t>991002318079702656</t>
        </is>
      </c>
      <c r="AX808" t="inlineStr">
        <is>
          <t>991002318079702656</t>
        </is>
      </c>
      <c r="AY808" t="inlineStr">
        <is>
          <t>2260210220002656</t>
        </is>
      </c>
      <c r="AZ808" t="inlineStr">
        <is>
          <t>BOOK</t>
        </is>
      </c>
      <c r="BB808" t="inlineStr">
        <is>
          <t>9780818906923</t>
        </is>
      </c>
      <c r="BC808" t="inlineStr">
        <is>
          <t>32285003280442</t>
        </is>
      </c>
      <c r="BD808" t="inlineStr">
        <is>
          <t>893347368</t>
        </is>
      </c>
    </row>
    <row r="809">
      <c r="A809" t="inlineStr">
        <is>
          <t>No</t>
        </is>
      </c>
      <c r="B809" t="inlineStr">
        <is>
          <t>BT602 .B79 1994</t>
        </is>
      </c>
      <c r="C809" t="inlineStr">
        <is>
          <t>0                      BT 0602000B  79          1994</t>
        </is>
      </c>
      <c r="D809" t="inlineStr">
        <is>
          <t>Mary of Galilee / Bertrand Buby.</t>
        </is>
      </c>
      <c r="E809" t="inlineStr">
        <is>
          <t>V.2</t>
        </is>
      </c>
      <c r="F809" t="inlineStr">
        <is>
          <t>Yes</t>
        </is>
      </c>
      <c r="G809" t="inlineStr">
        <is>
          <t>1</t>
        </is>
      </c>
      <c r="H809" t="inlineStr">
        <is>
          <t>No</t>
        </is>
      </c>
      <c r="I809" t="inlineStr">
        <is>
          <t>No</t>
        </is>
      </c>
      <c r="J809" t="inlineStr">
        <is>
          <t>0</t>
        </is>
      </c>
      <c r="K809" t="inlineStr">
        <is>
          <t>Buby, Bertrand.</t>
        </is>
      </c>
      <c r="L809" t="inlineStr">
        <is>
          <t>New York : Alba House, 1994-</t>
        </is>
      </c>
      <c r="M809" t="inlineStr">
        <is>
          <t>1994</t>
        </is>
      </c>
      <c r="O809" t="inlineStr">
        <is>
          <t>eng</t>
        </is>
      </c>
      <c r="P809" t="inlineStr">
        <is>
          <t>nyu</t>
        </is>
      </c>
      <c r="R809" t="inlineStr">
        <is>
          <t xml:space="preserve">BT </t>
        </is>
      </c>
      <c r="S809" t="n">
        <v>3</v>
      </c>
      <c r="T809" t="n">
        <v>11</v>
      </c>
      <c r="U809" t="inlineStr">
        <is>
          <t>2009-07-30</t>
        </is>
      </c>
      <c r="V809" t="inlineStr">
        <is>
          <t>2009-07-30</t>
        </is>
      </c>
      <c r="W809" t="inlineStr">
        <is>
          <t>1997-12-01</t>
        </is>
      </c>
      <c r="X809" t="inlineStr">
        <is>
          <t>1997-12-01</t>
        </is>
      </c>
      <c r="Y809" t="n">
        <v>129</v>
      </c>
      <c r="Z809" t="n">
        <v>108</v>
      </c>
      <c r="AA809" t="n">
        <v>108</v>
      </c>
      <c r="AB809" t="n">
        <v>1</v>
      </c>
      <c r="AC809" t="n">
        <v>1</v>
      </c>
      <c r="AD809" t="n">
        <v>14</v>
      </c>
      <c r="AE809" t="n">
        <v>14</v>
      </c>
      <c r="AF809" t="n">
        <v>6</v>
      </c>
      <c r="AG809" t="n">
        <v>6</v>
      </c>
      <c r="AH809" t="n">
        <v>3</v>
      </c>
      <c r="AI809" t="n">
        <v>3</v>
      </c>
      <c r="AJ809" t="n">
        <v>9</v>
      </c>
      <c r="AK809" t="n">
        <v>9</v>
      </c>
      <c r="AL809" t="n">
        <v>0</v>
      </c>
      <c r="AM809" t="n">
        <v>0</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HYPERLINK("https://creighton-primo.hosted.exlibrisgroup.com/primo-explore/search?tab=default_tab&amp;search_scope=EVERYTHING&amp;vid=01CRU&amp;lang=en_US&amp;offset=0&amp;query=any,contains,991002318079702656","Catalog Record")</f>
        <v/>
      </c>
      <c r="AT809">
        <f>HYPERLINK("http://www.worldcat.org/oclc/30073694","WorldCat Record")</f>
        <v/>
      </c>
      <c r="AU809" t="inlineStr">
        <is>
          <t>4081695489:eng</t>
        </is>
      </c>
      <c r="AV809" t="inlineStr">
        <is>
          <t>30073694</t>
        </is>
      </c>
      <c r="AW809" t="inlineStr">
        <is>
          <t>991002318079702656</t>
        </is>
      </c>
      <c r="AX809" t="inlineStr">
        <is>
          <t>991002318079702656</t>
        </is>
      </c>
      <c r="AY809" t="inlineStr">
        <is>
          <t>2260210220002656</t>
        </is>
      </c>
      <c r="AZ809" t="inlineStr">
        <is>
          <t>BOOK</t>
        </is>
      </c>
      <c r="BB809" t="inlineStr">
        <is>
          <t>9780818906923</t>
        </is>
      </c>
      <c r="BC809" t="inlineStr">
        <is>
          <t>32285003280434</t>
        </is>
      </c>
      <c r="BD809" t="inlineStr">
        <is>
          <t>893335163</t>
        </is>
      </c>
    </row>
    <row r="810">
      <c r="A810" t="inlineStr">
        <is>
          <t>No</t>
        </is>
      </c>
      <c r="B810" t="inlineStr">
        <is>
          <t>BT602 .C39 1973</t>
        </is>
      </c>
      <c r="C810" t="inlineStr">
        <is>
          <t>0                      BT 0602000C  39          1973</t>
        </is>
      </c>
      <c r="D810" t="inlineStr">
        <is>
          <t>Behold your mother, woman of faith : a pastoral letter on the Blessed Virgin Mary, November 21, 1973.</t>
        </is>
      </c>
      <c r="F810" t="inlineStr">
        <is>
          <t>No</t>
        </is>
      </c>
      <c r="G810" t="inlineStr">
        <is>
          <t>1</t>
        </is>
      </c>
      <c r="H810" t="inlineStr">
        <is>
          <t>No</t>
        </is>
      </c>
      <c r="I810" t="inlineStr">
        <is>
          <t>No</t>
        </is>
      </c>
      <c r="J810" t="inlineStr">
        <is>
          <t>0</t>
        </is>
      </c>
      <c r="K810" t="inlineStr">
        <is>
          <t>Catholic Church. National Conference of Catholic Bishops.</t>
        </is>
      </c>
      <c r="L810" t="inlineStr">
        <is>
          <t>Washington (D.C.) : Publications Office, United States Catholic Conference, 1973.</t>
        </is>
      </c>
      <c r="M810" t="inlineStr">
        <is>
          <t>1973</t>
        </is>
      </c>
      <c r="O810" t="inlineStr">
        <is>
          <t>eng</t>
        </is>
      </c>
      <c r="P810" t="inlineStr">
        <is>
          <t xml:space="preserve">xx </t>
        </is>
      </c>
      <c r="R810" t="inlineStr">
        <is>
          <t xml:space="preserve">BT </t>
        </is>
      </c>
      <c r="S810" t="n">
        <v>5</v>
      </c>
      <c r="T810" t="n">
        <v>5</v>
      </c>
      <c r="U810" t="inlineStr">
        <is>
          <t>1994-07-22</t>
        </is>
      </c>
      <c r="V810" t="inlineStr">
        <is>
          <t>1994-07-22</t>
        </is>
      </c>
      <c r="W810" t="inlineStr">
        <is>
          <t>1991-09-09</t>
        </is>
      </c>
      <c r="X810" t="inlineStr">
        <is>
          <t>1991-09-09</t>
        </is>
      </c>
      <c r="Y810" t="n">
        <v>156</v>
      </c>
      <c r="Z810" t="n">
        <v>137</v>
      </c>
      <c r="AA810" t="n">
        <v>165</v>
      </c>
      <c r="AB810" t="n">
        <v>4</v>
      </c>
      <c r="AC810" t="n">
        <v>4</v>
      </c>
      <c r="AD810" t="n">
        <v>21</v>
      </c>
      <c r="AE810" t="n">
        <v>22</v>
      </c>
      <c r="AF810" t="n">
        <v>4</v>
      </c>
      <c r="AG810" t="n">
        <v>4</v>
      </c>
      <c r="AH810" t="n">
        <v>7</v>
      </c>
      <c r="AI810" t="n">
        <v>7</v>
      </c>
      <c r="AJ810" t="n">
        <v>16</v>
      </c>
      <c r="AK810" t="n">
        <v>17</v>
      </c>
      <c r="AL810" t="n">
        <v>1</v>
      </c>
      <c r="AM810" t="n">
        <v>1</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HYPERLINK("https://creighton-primo.hosted.exlibrisgroup.com/primo-explore/search?tab=default_tab&amp;search_scope=EVERYTHING&amp;vid=01CRU&amp;lang=en_US&amp;offset=0&amp;query=any,contains,991004372599702656","Catalog Record")</f>
        <v/>
      </c>
      <c r="AT810">
        <f>HYPERLINK("http://www.worldcat.org/oclc/797451","WorldCat Record")</f>
        <v/>
      </c>
      <c r="AU810" t="inlineStr">
        <is>
          <t>1769358:eng</t>
        </is>
      </c>
      <c r="AV810" t="inlineStr">
        <is>
          <t>797451</t>
        </is>
      </c>
      <c r="AW810" t="inlineStr">
        <is>
          <t>991004372599702656</t>
        </is>
      </c>
      <c r="AX810" t="inlineStr">
        <is>
          <t>991004372599702656</t>
        </is>
      </c>
      <c r="AY810" t="inlineStr">
        <is>
          <t>2256401650002656</t>
        </is>
      </c>
      <c r="AZ810" t="inlineStr">
        <is>
          <t>BOOK</t>
        </is>
      </c>
      <c r="BC810" t="inlineStr">
        <is>
          <t>32285000747096</t>
        </is>
      </c>
      <c r="BD810" t="inlineStr">
        <is>
          <t>893722396</t>
        </is>
      </c>
    </row>
    <row r="811">
      <c r="A811" t="inlineStr">
        <is>
          <t>No</t>
        </is>
      </c>
      <c r="B811" t="inlineStr">
        <is>
          <t>BT602 .D47 1976</t>
        </is>
      </c>
      <c r="C811" t="inlineStr">
        <is>
          <t>0                      BT 0602000D  47          1976</t>
        </is>
      </c>
      <c r="D811" t="inlineStr">
        <is>
          <t>Down to Earth : the new Protestant vision of the Virgin Mary / John de Satgé.</t>
        </is>
      </c>
      <c r="F811" t="inlineStr">
        <is>
          <t>No</t>
        </is>
      </c>
      <c r="G811" t="inlineStr">
        <is>
          <t>1</t>
        </is>
      </c>
      <c r="H811" t="inlineStr">
        <is>
          <t>No</t>
        </is>
      </c>
      <c r="I811" t="inlineStr">
        <is>
          <t>No</t>
        </is>
      </c>
      <c r="J811" t="inlineStr">
        <is>
          <t>0</t>
        </is>
      </c>
      <c r="K811" t="inlineStr">
        <is>
          <t>De Satgé, John.</t>
        </is>
      </c>
      <c r="L811" t="inlineStr">
        <is>
          <t>[Wilmington, N.C.] : Consortium Books, 1976.</t>
        </is>
      </c>
      <c r="M811" t="inlineStr">
        <is>
          <t>1976</t>
        </is>
      </c>
      <c r="N811" t="inlineStr">
        <is>
          <t>1st American ed.</t>
        </is>
      </c>
      <c r="O811" t="inlineStr">
        <is>
          <t>eng</t>
        </is>
      </c>
      <c r="P811" t="inlineStr">
        <is>
          <t>ncu</t>
        </is>
      </c>
      <c r="R811" t="inlineStr">
        <is>
          <t xml:space="preserve">BT </t>
        </is>
      </c>
      <c r="S811" t="n">
        <v>1</v>
      </c>
      <c r="T811" t="n">
        <v>1</v>
      </c>
      <c r="U811" t="inlineStr">
        <is>
          <t>2010-11-17</t>
        </is>
      </c>
      <c r="V811" t="inlineStr">
        <is>
          <t>2010-11-17</t>
        </is>
      </c>
      <c r="W811" t="inlineStr">
        <is>
          <t>1990-05-03</t>
        </is>
      </c>
      <c r="X811" t="inlineStr">
        <is>
          <t>1990-05-03</t>
        </is>
      </c>
      <c r="Y811" t="n">
        <v>296</v>
      </c>
      <c r="Z811" t="n">
        <v>262</v>
      </c>
      <c r="AA811" t="n">
        <v>267</v>
      </c>
      <c r="AB811" t="n">
        <v>4</v>
      </c>
      <c r="AC811" t="n">
        <v>4</v>
      </c>
      <c r="AD811" t="n">
        <v>20</v>
      </c>
      <c r="AE811" t="n">
        <v>20</v>
      </c>
      <c r="AF811" t="n">
        <v>7</v>
      </c>
      <c r="AG811" t="n">
        <v>7</v>
      </c>
      <c r="AH811" t="n">
        <v>2</v>
      </c>
      <c r="AI811" t="n">
        <v>2</v>
      </c>
      <c r="AJ811" t="n">
        <v>12</v>
      </c>
      <c r="AK811" t="n">
        <v>12</v>
      </c>
      <c r="AL811" t="n">
        <v>2</v>
      </c>
      <c r="AM811" t="n">
        <v>2</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HYPERLINK("https://creighton-primo.hosted.exlibrisgroup.com/primo-explore/search?tab=default_tab&amp;search_scope=EVERYTHING&amp;vid=01CRU&amp;lang=en_US&amp;offset=0&amp;query=any,contains,991004280699702656","Catalog Record")</f>
        <v/>
      </c>
      <c r="AT811">
        <f>HYPERLINK("http://www.worldcat.org/oclc/2909919","WorldCat Record")</f>
        <v/>
      </c>
      <c r="AU811" t="inlineStr">
        <is>
          <t>891636190:eng</t>
        </is>
      </c>
      <c r="AV811" t="inlineStr">
        <is>
          <t>2909919</t>
        </is>
      </c>
      <c r="AW811" t="inlineStr">
        <is>
          <t>991004280699702656</t>
        </is>
      </c>
      <c r="AX811" t="inlineStr">
        <is>
          <t>991004280699702656</t>
        </is>
      </c>
      <c r="AY811" t="inlineStr">
        <is>
          <t>2267657020002656</t>
        </is>
      </c>
      <c r="AZ811" t="inlineStr">
        <is>
          <t>BOOK</t>
        </is>
      </c>
      <c r="BB811" t="inlineStr">
        <is>
          <t>9780843406078</t>
        </is>
      </c>
      <c r="BC811" t="inlineStr">
        <is>
          <t>32285000147420</t>
        </is>
      </c>
      <c r="BD811" t="inlineStr">
        <is>
          <t>893229152</t>
        </is>
      </c>
    </row>
    <row r="812">
      <c r="A812" t="inlineStr">
        <is>
          <t>No</t>
        </is>
      </c>
      <c r="B812" t="inlineStr">
        <is>
          <t>BT602 .F69 1976</t>
        </is>
      </c>
      <c r="C812" t="inlineStr">
        <is>
          <t>0                      BT 0602000F  69          1976</t>
        </is>
      </c>
      <c r="D812" t="inlineStr">
        <is>
          <t>The Marian catechism / Robert J. Fox.</t>
        </is>
      </c>
      <c r="F812" t="inlineStr">
        <is>
          <t>No</t>
        </is>
      </c>
      <c r="G812" t="inlineStr">
        <is>
          <t>1</t>
        </is>
      </c>
      <c r="H812" t="inlineStr">
        <is>
          <t>No</t>
        </is>
      </c>
      <c r="I812" t="inlineStr">
        <is>
          <t>No</t>
        </is>
      </c>
      <c r="J812" t="inlineStr">
        <is>
          <t>0</t>
        </is>
      </c>
      <c r="K812" t="inlineStr">
        <is>
          <t>Fox, Robert J. (Robert Joseph), 1928-2009.</t>
        </is>
      </c>
      <c r="L812" t="inlineStr">
        <is>
          <t>Huntington, Ind. : Our Sunday Visitor, inc., c1976.</t>
        </is>
      </c>
      <c r="M812" t="inlineStr">
        <is>
          <t>1976</t>
        </is>
      </c>
      <c r="O812" t="inlineStr">
        <is>
          <t>eng</t>
        </is>
      </c>
      <c r="P812" t="inlineStr">
        <is>
          <t>inu</t>
        </is>
      </c>
      <c r="R812" t="inlineStr">
        <is>
          <t xml:space="preserve">BT </t>
        </is>
      </c>
      <c r="S812" t="n">
        <v>4</v>
      </c>
      <c r="T812" t="n">
        <v>4</v>
      </c>
      <c r="U812" t="inlineStr">
        <is>
          <t>1995-10-09</t>
        </is>
      </c>
      <c r="V812" t="inlineStr">
        <is>
          <t>1995-10-09</t>
        </is>
      </c>
      <c r="W812" t="inlineStr">
        <is>
          <t>1991-09-09</t>
        </is>
      </c>
      <c r="X812" t="inlineStr">
        <is>
          <t>1991-09-09</t>
        </is>
      </c>
      <c r="Y812" t="n">
        <v>62</v>
      </c>
      <c r="Z812" t="n">
        <v>53</v>
      </c>
      <c r="AA812" t="n">
        <v>53</v>
      </c>
      <c r="AB812" t="n">
        <v>2</v>
      </c>
      <c r="AC812" t="n">
        <v>2</v>
      </c>
      <c r="AD812" t="n">
        <v>7</v>
      </c>
      <c r="AE812" t="n">
        <v>7</v>
      </c>
      <c r="AF812" t="n">
        <v>2</v>
      </c>
      <c r="AG812" t="n">
        <v>2</v>
      </c>
      <c r="AH812" t="n">
        <v>2</v>
      </c>
      <c r="AI812" t="n">
        <v>2</v>
      </c>
      <c r="AJ812" t="n">
        <v>4</v>
      </c>
      <c r="AK812" t="n">
        <v>4</v>
      </c>
      <c r="AL812" t="n">
        <v>0</v>
      </c>
      <c r="AM812" t="n">
        <v>0</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HYPERLINK("https://creighton-primo.hosted.exlibrisgroup.com/primo-explore/search?tab=default_tab&amp;search_scope=EVERYTHING&amp;vid=01CRU&amp;lang=en_US&amp;offset=0&amp;query=any,contains,991004041349702656","Catalog Record")</f>
        <v/>
      </c>
      <c r="AT812">
        <f>HYPERLINK("http://www.worldcat.org/oclc/2188563","WorldCat Record")</f>
        <v/>
      </c>
      <c r="AU812" t="inlineStr">
        <is>
          <t>140205083:eng</t>
        </is>
      </c>
      <c r="AV812" t="inlineStr">
        <is>
          <t>2188563</t>
        </is>
      </c>
      <c r="AW812" t="inlineStr">
        <is>
          <t>991004041349702656</t>
        </is>
      </c>
      <c r="AX812" t="inlineStr">
        <is>
          <t>991004041349702656</t>
        </is>
      </c>
      <c r="AY812" t="inlineStr">
        <is>
          <t>2266643790002656</t>
        </is>
      </c>
      <c r="AZ812" t="inlineStr">
        <is>
          <t>BOOK</t>
        </is>
      </c>
      <c r="BB812" t="inlineStr">
        <is>
          <t>9780879737665</t>
        </is>
      </c>
      <c r="BC812" t="inlineStr">
        <is>
          <t>32285000747104</t>
        </is>
      </c>
      <c r="BD812" t="inlineStr">
        <is>
          <t>893699769</t>
        </is>
      </c>
    </row>
    <row r="813">
      <c r="A813" t="inlineStr">
        <is>
          <t>No</t>
        </is>
      </c>
      <c r="B813" t="inlineStr">
        <is>
          <t>BT602 .G72 1988</t>
        </is>
      </c>
      <c r="C813" t="inlineStr">
        <is>
          <t>0                      BT 0602000G  72          1988</t>
        </is>
      </c>
      <c r="D813" t="inlineStr">
        <is>
          <t>Mary, mother and disciple : from the scriptures to the Council of Ephesus / Joseph A. Grassi with A woman's response and poems by Carolyn Grassi.</t>
        </is>
      </c>
      <c r="F813" t="inlineStr">
        <is>
          <t>No</t>
        </is>
      </c>
      <c r="G813" t="inlineStr">
        <is>
          <t>1</t>
        </is>
      </c>
      <c r="H813" t="inlineStr">
        <is>
          <t>No</t>
        </is>
      </c>
      <c r="I813" t="inlineStr">
        <is>
          <t>No</t>
        </is>
      </c>
      <c r="J813" t="inlineStr">
        <is>
          <t>0</t>
        </is>
      </c>
      <c r="K813" t="inlineStr">
        <is>
          <t>Grassi, Joseph A.</t>
        </is>
      </c>
      <c r="L813" t="inlineStr">
        <is>
          <t>Wilmington, DE. : Michael Glazier, 1988.</t>
        </is>
      </c>
      <c r="M813" t="inlineStr">
        <is>
          <t>1988</t>
        </is>
      </c>
      <c r="O813" t="inlineStr">
        <is>
          <t>eng</t>
        </is>
      </c>
      <c r="P813" t="inlineStr">
        <is>
          <t>deu</t>
        </is>
      </c>
      <c r="R813" t="inlineStr">
        <is>
          <t xml:space="preserve">BT </t>
        </is>
      </c>
      <c r="S813" t="n">
        <v>8</v>
      </c>
      <c r="T813" t="n">
        <v>8</v>
      </c>
      <c r="U813" t="inlineStr">
        <is>
          <t>1995-10-10</t>
        </is>
      </c>
      <c r="V813" t="inlineStr">
        <is>
          <t>1995-10-10</t>
        </is>
      </c>
      <c r="W813" t="inlineStr">
        <is>
          <t>1990-03-05</t>
        </is>
      </c>
      <c r="X813" t="inlineStr">
        <is>
          <t>1990-03-05</t>
        </is>
      </c>
      <c r="Y813" t="n">
        <v>139</v>
      </c>
      <c r="Z813" t="n">
        <v>120</v>
      </c>
      <c r="AA813" t="n">
        <v>126</v>
      </c>
      <c r="AB813" t="n">
        <v>1</v>
      </c>
      <c r="AC813" t="n">
        <v>1</v>
      </c>
      <c r="AD813" t="n">
        <v>14</v>
      </c>
      <c r="AE813" t="n">
        <v>14</v>
      </c>
      <c r="AF813" t="n">
        <v>4</v>
      </c>
      <c r="AG813" t="n">
        <v>4</v>
      </c>
      <c r="AH813" t="n">
        <v>4</v>
      </c>
      <c r="AI813" t="n">
        <v>4</v>
      </c>
      <c r="AJ813" t="n">
        <v>8</v>
      </c>
      <c r="AK813" t="n">
        <v>8</v>
      </c>
      <c r="AL813" t="n">
        <v>0</v>
      </c>
      <c r="AM813" t="n">
        <v>0</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HYPERLINK("https://creighton-primo.hosted.exlibrisgroup.com/primo-explore/search?tab=default_tab&amp;search_scope=EVERYTHING&amp;vid=01CRU&amp;lang=en_US&amp;offset=0&amp;query=any,contains,991001303559702656","Catalog Record")</f>
        <v/>
      </c>
      <c r="AT813">
        <f>HYPERLINK("http://www.worldcat.org/oclc/18075746","WorldCat Record")</f>
        <v/>
      </c>
      <c r="AU813" t="inlineStr">
        <is>
          <t>905478527:eng</t>
        </is>
      </c>
      <c r="AV813" t="inlineStr">
        <is>
          <t>18075746</t>
        </is>
      </c>
      <c r="AW813" t="inlineStr">
        <is>
          <t>991001303559702656</t>
        </is>
      </c>
      <c r="AX813" t="inlineStr">
        <is>
          <t>991001303559702656</t>
        </is>
      </c>
      <c r="AY813" t="inlineStr">
        <is>
          <t>2271862820002656</t>
        </is>
      </c>
      <c r="AZ813" t="inlineStr">
        <is>
          <t>BOOK</t>
        </is>
      </c>
      <c r="BB813" t="inlineStr">
        <is>
          <t>9780894536403</t>
        </is>
      </c>
      <c r="BC813" t="inlineStr">
        <is>
          <t>32285000076447</t>
        </is>
      </c>
      <c r="BD813" t="inlineStr">
        <is>
          <t>893872454</t>
        </is>
      </c>
    </row>
    <row r="814">
      <c r="A814" t="inlineStr">
        <is>
          <t>No</t>
        </is>
      </c>
      <c r="B814" t="inlineStr">
        <is>
          <t>BT602 .H316 1952</t>
        </is>
      </c>
      <c r="C814" t="inlineStr">
        <is>
          <t>0                      BT 0602000H  316         1952</t>
        </is>
      </c>
      <c r="D814" t="inlineStr">
        <is>
          <t>Mary : the blessed, the beloved / by Rev. Timothy Harris.</t>
        </is>
      </c>
      <c r="F814" t="inlineStr">
        <is>
          <t>No</t>
        </is>
      </c>
      <c r="G814" t="inlineStr">
        <is>
          <t>1</t>
        </is>
      </c>
      <c r="H814" t="inlineStr">
        <is>
          <t>No</t>
        </is>
      </c>
      <c r="I814" t="inlineStr">
        <is>
          <t>No</t>
        </is>
      </c>
      <c r="J814" t="inlineStr">
        <is>
          <t>0</t>
        </is>
      </c>
      <c r="K814" t="inlineStr">
        <is>
          <t>Harris, Timothy.</t>
        </is>
      </c>
      <c r="L814" t="inlineStr">
        <is>
          <t>Dublin : Clonmore &amp; Reynolds, 1952, c1951.</t>
        </is>
      </c>
      <c r="M814" t="inlineStr">
        <is>
          <t>1952</t>
        </is>
      </c>
      <c r="O814" t="inlineStr">
        <is>
          <t>eng</t>
        </is>
      </c>
      <c r="P814" t="inlineStr">
        <is>
          <t xml:space="preserve">xx </t>
        </is>
      </c>
      <c r="R814" t="inlineStr">
        <is>
          <t xml:space="preserve">BT </t>
        </is>
      </c>
      <c r="S814" t="n">
        <v>2</v>
      </c>
      <c r="T814" t="n">
        <v>2</v>
      </c>
      <c r="U814" t="inlineStr">
        <is>
          <t>1994-04-21</t>
        </is>
      </c>
      <c r="V814" t="inlineStr">
        <is>
          <t>1994-04-21</t>
        </is>
      </c>
      <c r="W814" t="inlineStr">
        <is>
          <t>1991-09-09</t>
        </is>
      </c>
      <c r="X814" t="inlineStr">
        <is>
          <t>1991-09-09</t>
        </is>
      </c>
      <c r="Y814" t="n">
        <v>39</v>
      </c>
      <c r="Z814" t="n">
        <v>36</v>
      </c>
      <c r="AA814" t="n">
        <v>57</v>
      </c>
      <c r="AB814" t="n">
        <v>2</v>
      </c>
      <c r="AC814" t="n">
        <v>3</v>
      </c>
      <c r="AD814" t="n">
        <v>6</v>
      </c>
      <c r="AE814" t="n">
        <v>9</v>
      </c>
      <c r="AF814" t="n">
        <v>0</v>
      </c>
      <c r="AG814" t="n">
        <v>1</v>
      </c>
      <c r="AH814" t="n">
        <v>3</v>
      </c>
      <c r="AI814" t="n">
        <v>4</v>
      </c>
      <c r="AJ814" t="n">
        <v>4</v>
      </c>
      <c r="AK814" t="n">
        <v>6</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HYPERLINK("https://creighton-primo.hosted.exlibrisgroup.com/primo-explore/search?tab=default_tab&amp;search_scope=EVERYTHING&amp;vid=01CRU&amp;lang=en_US&amp;offset=0&amp;query=any,contains,991004519339702656","Catalog Record")</f>
        <v/>
      </c>
      <c r="AT814">
        <f>HYPERLINK("http://www.worldcat.org/oclc/3805577","WorldCat Record")</f>
        <v/>
      </c>
      <c r="AU814" t="inlineStr">
        <is>
          <t>234783211:eng</t>
        </is>
      </c>
      <c r="AV814" t="inlineStr">
        <is>
          <t>3805577</t>
        </is>
      </c>
      <c r="AW814" t="inlineStr">
        <is>
          <t>991004519339702656</t>
        </is>
      </c>
      <c r="AX814" t="inlineStr">
        <is>
          <t>991004519339702656</t>
        </is>
      </c>
      <c r="AY814" t="inlineStr">
        <is>
          <t>2261026150002656</t>
        </is>
      </c>
      <c r="AZ814" t="inlineStr">
        <is>
          <t>BOOK</t>
        </is>
      </c>
      <c r="BC814" t="inlineStr">
        <is>
          <t>32285000747112</t>
        </is>
      </c>
      <c r="BD814" t="inlineStr">
        <is>
          <t>893882557</t>
        </is>
      </c>
    </row>
    <row r="815">
      <c r="A815" t="inlineStr">
        <is>
          <t>No</t>
        </is>
      </c>
      <c r="B815" t="inlineStr">
        <is>
          <t>BT602 .L65</t>
        </is>
      </c>
      <c r="C815" t="inlineStr">
        <is>
          <t>0                      BT 0602000L  65</t>
        </is>
      </c>
      <c r="D815" t="inlineStr">
        <is>
          <t>The Mother of God / by Valentine Long.</t>
        </is>
      </c>
      <c r="F815" t="inlineStr">
        <is>
          <t>No</t>
        </is>
      </c>
      <c r="G815" t="inlineStr">
        <is>
          <t>1</t>
        </is>
      </c>
      <c r="H815" t="inlineStr">
        <is>
          <t>No</t>
        </is>
      </c>
      <c r="I815" t="inlineStr">
        <is>
          <t>No</t>
        </is>
      </c>
      <c r="J815" t="inlineStr">
        <is>
          <t>0</t>
        </is>
      </c>
      <c r="K815" t="inlineStr">
        <is>
          <t>Long, Valentine.</t>
        </is>
      </c>
      <c r="L815" t="inlineStr">
        <is>
          <t>Chicago : Franciscan Herald Press, c1976.</t>
        </is>
      </c>
      <c r="M815" t="inlineStr">
        <is>
          <t>1976</t>
        </is>
      </c>
      <c r="O815" t="inlineStr">
        <is>
          <t>eng</t>
        </is>
      </c>
      <c r="P815" t="inlineStr">
        <is>
          <t>ilu</t>
        </is>
      </c>
      <c r="R815" t="inlineStr">
        <is>
          <t xml:space="preserve">BT </t>
        </is>
      </c>
      <c r="S815" t="n">
        <v>7</v>
      </c>
      <c r="T815" t="n">
        <v>7</v>
      </c>
      <c r="U815" t="inlineStr">
        <is>
          <t>1995-10-10</t>
        </is>
      </c>
      <c r="V815" t="inlineStr">
        <is>
          <t>1995-10-10</t>
        </is>
      </c>
      <c r="W815" t="inlineStr">
        <is>
          <t>1991-09-09</t>
        </is>
      </c>
      <c r="X815" t="inlineStr">
        <is>
          <t>1991-09-09</t>
        </is>
      </c>
      <c r="Y815" t="n">
        <v>74</v>
      </c>
      <c r="Z815" t="n">
        <v>66</v>
      </c>
      <c r="AA815" t="n">
        <v>67</v>
      </c>
      <c r="AB815" t="n">
        <v>2</v>
      </c>
      <c r="AC815" t="n">
        <v>2</v>
      </c>
      <c r="AD815" t="n">
        <v>7</v>
      </c>
      <c r="AE815" t="n">
        <v>7</v>
      </c>
      <c r="AF815" t="n">
        <v>1</v>
      </c>
      <c r="AG815" t="n">
        <v>1</v>
      </c>
      <c r="AH815" t="n">
        <v>2</v>
      </c>
      <c r="AI815" t="n">
        <v>2</v>
      </c>
      <c r="AJ815" t="n">
        <v>5</v>
      </c>
      <c r="AK815" t="n">
        <v>5</v>
      </c>
      <c r="AL815" t="n">
        <v>0</v>
      </c>
      <c r="AM815" t="n">
        <v>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HYPERLINK("https://creighton-primo.hosted.exlibrisgroup.com/primo-explore/search?tab=default_tab&amp;search_scope=EVERYTHING&amp;vid=01CRU&amp;lang=en_US&amp;offset=0&amp;query=any,contains,991004083909702656","Catalog Record")</f>
        <v/>
      </c>
      <c r="AT815">
        <f>HYPERLINK("http://www.worldcat.org/oclc/2331525","WorldCat Record")</f>
        <v/>
      </c>
      <c r="AU815" t="inlineStr">
        <is>
          <t>3768914383:eng</t>
        </is>
      </c>
      <c r="AV815" t="inlineStr">
        <is>
          <t>2331525</t>
        </is>
      </c>
      <c r="AW815" t="inlineStr">
        <is>
          <t>991004083909702656</t>
        </is>
      </c>
      <c r="AX815" t="inlineStr">
        <is>
          <t>991004083909702656</t>
        </is>
      </c>
      <c r="AY815" t="inlineStr">
        <is>
          <t>2264309800002656</t>
        </is>
      </c>
      <c r="AZ815" t="inlineStr">
        <is>
          <t>BOOK</t>
        </is>
      </c>
      <c r="BB815" t="inlineStr">
        <is>
          <t>9780819906199</t>
        </is>
      </c>
      <c r="BC815" t="inlineStr">
        <is>
          <t>32285000747138</t>
        </is>
      </c>
      <c r="BD815" t="inlineStr">
        <is>
          <t>893228918</t>
        </is>
      </c>
    </row>
    <row r="816">
      <c r="A816" t="inlineStr">
        <is>
          <t>No</t>
        </is>
      </c>
      <c r="B816" t="inlineStr">
        <is>
          <t>BT602 .M3513 1986</t>
        </is>
      </c>
      <c r="C816" t="inlineStr">
        <is>
          <t>0                      BT 0602000M  3513        1986</t>
        </is>
      </c>
      <c r="D816" t="inlineStr">
        <is>
          <t>Mary : images of the Mother of Jesus in Jewish and Christian perspective.</t>
        </is>
      </c>
      <c r="F816" t="inlineStr">
        <is>
          <t>No</t>
        </is>
      </c>
      <c r="G816" t="inlineStr">
        <is>
          <t>1</t>
        </is>
      </c>
      <c r="H816" t="inlineStr">
        <is>
          <t>No</t>
        </is>
      </c>
      <c r="I816" t="inlineStr">
        <is>
          <t>No</t>
        </is>
      </c>
      <c r="J816" t="inlineStr">
        <is>
          <t>0</t>
        </is>
      </c>
      <c r="K816" t="inlineStr">
        <is>
          <t>Maria. English.</t>
        </is>
      </c>
      <c r="L816" t="inlineStr">
        <is>
          <t>Philadelphia : Fortress Press, c1986.</t>
        </is>
      </c>
      <c r="M816" t="inlineStr">
        <is>
          <t>1986</t>
        </is>
      </c>
      <c r="O816" t="inlineStr">
        <is>
          <t>eng</t>
        </is>
      </c>
      <c r="P816" t="inlineStr">
        <is>
          <t>pau</t>
        </is>
      </c>
      <c r="R816" t="inlineStr">
        <is>
          <t xml:space="preserve">BT </t>
        </is>
      </c>
      <c r="S816" t="n">
        <v>8</v>
      </c>
      <c r="T816" t="n">
        <v>8</v>
      </c>
      <c r="U816" t="inlineStr">
        <is>
          <t>1998-10-21</t>
        </is>
      </c>
      <c r="V816" t="inlineStr">
        <is>
          <t>1998-10-21</t>
        </is>
      </c>
      <c r="W816" t="inlineStr">
        <is>
          <t>1991-09-09</t>
        </is>
      </c>
      <c r="X816" t="inlineStr">
        <is>
          <t>1991-09-09</t>
        </is>
      </c>
      <c r="Y816" t="n">
        <v>256</v>
      </c>
      <c r="Z816" t="n">
        <v>230</v>
      </c>
      <c r="AA816" t="n">
        <v>344</v>
      </c>
      <c r="AB816" t="n">
        <v>3</v>
      </c>
      <c r="AC816" t="n">
        <v>4</v>
      </c>
      <c r="AD816" t="n">
        <v>22</v>
      </c>
      <c r="AE816" t="n">
        <v>33</v>
      </c>
      <c r="AF816" t="n">
        <v>8</v>
      </c>
      <c r="AG816" t="n">
        <v>13</v>
      </c>
      <c r="AH816" t="n">
        <v>2</v>
      </c>
      <c r="AI816" t="n">
        <v>5</v>
      </c>
      <c r="AJ816" t="n">
        <v>16</v>
      </c>
      <c r="AK816" t="n">
        <v>20</v>
      </c>
      <c r="AL816" t="n">
        <v>2</v>
      </c>
      <c r="AM816" t="n">
        <v>3</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HYPERLINK("https://creighton-primo.hosted.exlibrisgroup.com/primo-explore/search?tab=default_tab&amp;search_scope=EVERYTHING&amp;vid=01CRU&amp;lang=en_US&amp;offset=0&amp;query=any,contains,991000763209702656","Catalog Record")</f>
        <v/>
      </c>
      <c r="AT816">
        <f>HYPERLINK("http://www.worldcat.org/oclc/12975323","WorldCat Record")</f>
        <v/>
      </c>
      <c r="AU816" t="inlineStr">
        <is>
          <t>2749441:eng</t>
        </is>
      </c>
      <c r="AV816" t="inlineStr">
        <is>
          <t>12975323</t>
        </is>
      </c>
      <c r="AW816" t="inlineStr">
        <is>
          <t>991000763209702656</t>
        </is>
      </c>
      <c r="AX816" t="inlineStr">
        <is>
          <t>991000763209702656</t>
        </is>
      </c>
      <c r="AY816" t="inlineStr">
        <is>
          <t>2261953740002656</t>
        </is>
      </c>
      <c r="AZ816" t="inlineStr">
        <is>
          <t>BOOK</t>
        </is>
      </c>
      <c r="BB816" t="inlineStr">
        <is>
          <t>9780800607654</t>
        </is>
      </c>
      <c r="BC816" t="inlineStr">
        <is>
          <t>32285000747153</t>
        </is>
      </c>
      <c r="BD816" t="inlineStr">
        <is>
          <t>893237585</t>
        </is>
      </c>
    </row>
    <row r="817">
      <c r="A817" t="inlineStr">
        <is>
          <t>No</t>
        </is>
      </c>
      <c r="B817" t="inlineStr">
        <is>
          <t>BT602 .M66 1990</t>
        </is>
      </c>
      <c r="C817" t="inlineStr">
        <is>
          <t>0                      BT 0602000M  66          1990</t>
        </is>
      </c>
      <c r="D817" t="inlineStr">
        <is>
          <t>Our father, our mother : Mary and the faces of God : Biblical and pastoral reflections / George T. Montague.</t>
        </is>
      </c>
      <c r="F817" t="inlineStr">
        <is>
          <t>No</t>
        </is>
      </c>
      <c r="G817" t="inlineStr">
        <is>
          <t>1</t>
        </is>
      </c>
      <c r="H817" t="inlineStr">
        <is>
          <t>No</t>
        </is>
      </c>
      <c r="I817" t="inlineStr">
        <is>
          <t>No</t>
        </is>
      </c>
      <c r="J817" t="inlineStr">
        <is>
          <t>0</t>
        </is>
      </c>
      <c r="K817" t="inlineStr">
        <is>
          <t>Montague, George T.</t>
        </is>
      </c>
      <c r="L817" t="inlineStr">
        <is>
          <t>Steubenville, OH : Franciscan University Press, c1990.</t>
        </is>
      </c>
      <c r="M817" t="inlineStr">
        <is>
          <t>1990</t>
        </is>
      </c>
      <c r="O817" t="inlineStr">
        <is>
          <t>eng</t>
        </is>
      </c>
      <c r="P817" t="inlineStr">
        <is>
          <t>ohu</t>
        </is>
      </c>
      <c r="R817" t="inlineStr">
        <is>
          <t xml:space="preserve">BT </t>
        </is>
      </c>
      <c r="S817" t="n">
        <v>1</v>
      </c>
      <c r="T817" t="n">
        <v>1</v>
      </c>
      <c r="U817" t="inlineStr">
        <is>
          <t>2002-08-12</t>
        </is>
      </c>
      <c r="V817" t="inlineStr">
        <is>
          <t>2002-08-12</t>
        </is>
      </c>
      <c r="W817" t="inlineStr">
        <is>
          <t>2002-08-12</t>
        </is>
      </c>
      <c r="X817" t="inlineStr">
        <is>
          <t>2002-08-12</t>
        </is>
      </c>
      <c r="Y817" t="n">
        <v>66</v>
      </c>
      <c r="Z817" t="n">
        <v>57</v>
      </c>
      <c r="AA817" t="n">
        <v>57</v>
      </c>
      <c r="AB817" t="n">
        <v>2</v>
      </c>
      <c r="AC817" t="n">
        <v>2</v>
      </c>
      <c r="AD817" t="n">
        <v>6</v>
      </c>
      <c r="AE817" t="n">
        <v>6</v>
      </c>
      <c r="AF817" t="n">
        <v>0</v>
      </c>
      <c r="AG817" t="n">
        <v>0</v>
      </c>
      <c r="AH817" t="n">
        <v>3</v>
      </c>
      <c r="AI817" t="n">
        <v>3</v>
      </c>
      <c r="AJ817" t="n">
        <v>4</v>
      </c>
      <c r="AK817" t="n">
        <v>4</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HYPERLINK("https://creighton-primo.hosted.exlibrisgroup.com/primo-explore/search?tab=default_tab&amp;search_scope=EVERYTHING&amp;vid=01CRU&amp;lang=en_US&amp;offset=0&amp;query=any,contains,991003855299702656","Catalog Record")</f>
        <v/>
      </c>
      <c r="AT817">
        <f>HYPERLINK("http://www.worldcat.org/oclc/22959959","WorldCat Record")</f>
        <v/>
      </c>
      <c r="AU817" t="inlineStr">
        <is>
          <t>1040171:eng</t>
        </is>
      </c>
      <c r="AV817" t="inlineStr">
        <is>
          <t>22959959</t>
        </is>
      </c>
      <c r="AW817" t="inlineStr">
        <is>
          <t>991003855299702656</t>
        </is>
      </c>
      <c r="AX817" t="inlineStr">
        <is>
          <t>991003855299702656</t>
        </is>
      </c>
      <c r="AY817" t="inlineStr">
        <is>
          <t>2266606260002656</t>
        </is>
      </c>
      <c r="AZ817" t="inlineStr">
        <is>
          <t>BOOK</t>
        </is>
      </c>
      <c r="BB817" t="inlineStr">
        <is>
          <t>9780940535282</t>
        </is>
      </c>
      <c r="BC817" t="inlineStr">
        <is>
          <t>32285004642723</t>
        </is>
      </c>
      <c r="BD817" t="inlineStr">
        <is>
          <t>893324617</t>
        </is>
      </c>
    </row>
    <row r="818">
      <c r="A818" t="inlineStr">
        <is>
          <t>No</t>
        </is>
      </c>
      <c r="B818" t="inlineStr">
        <is>
          <t>BT604 .M28 1872</t>
        </is>
      </c>
      <c r="C818" t="inlineStr">
        <is>
          <t>0                      BT 0604000M  28          1872</t>
        </is>
      </c>
      <c r="D818" t="inlineStr">
        <is>
          <t>The life of the Blessed Virgin Mary / being an abridgment of the Mystical city of God, by Mary of Jesus of Agreda, by F. Bonaventure Amedeo de Coesare. Translated from the French of Joseph A. Boullan.</t>
        </is>
      </c>
      <c r="F818" t="inlineStr">
        <is>
          <t>No</t>
        </is>
      </c>
      <c r="G818" t="inlineStr">
        <is>
          <t>1</t>
        </is>
      </c>
      <c r="H818" t="inlineStr">
        <is>
          <t>No</t>
        </is>
      </c>
      <c r="I818" t="inlineStr">
        <is>
          <t>Yes</t>
        </is>
      </c>
      <c r="J818" t="inlineStr">
        <is>
          <t>0</t>
        </is>
      </c>
      <c r="K818" t="inlineStr">
        <is>
          <t>María de Jesús, de Agreda, sor, 1602-1665.</t>
        </is>
      </c>
      <c r="L818" t="inlineStr">
        <is>
          <t>New York : P.J. Kenedy &amp; Sons [imprimatur, 1872]</t>
        </is>
      </c>
      <c r="M818" t="inlineStr">
        <is>
          <t>1872</t>
        </is>
      </c>
      <c r="O818" t="inlineStr">
        <is>
          <t>eng</t>
        </is>
      </c>
      <c r="P818" t="inlineStr">
        <is>
          <t>nyu</t>
        </is>
      </c>
      <c r="R818" t="inlineStr">
        <is>
          <t xml:space="preserve">BT </t>
        </is>
      </c>
      <c r="S818" t="n">
        <v>1</v>
      </c>
      <c r="T818" t="n">
        <v>1</v>
      </c>
      <c r="U818" t="inlineStr">
        <is>
          <t>2010-07-06</t>
        </is>
      </c>
      <c r="V818" t="inlineStr">
        <is>
          <t>2010-07-06</t>
        </is>
      </c>
      <c r="W818" t="inlineStr">
        <is>
          <t>1990-05-03</t>
        </is>
      </c>
      <c r="X818" t="inlineStr">
        <is>
          <t>1990-05-03</t>
        </is>
      </c>
      <c r="Y818" t="n">
        <v>26</v>
      </c>
      <c r="Z818" t="n">
        <v>26</v>
      </c>
      <c r="AA818" t="n">
        <v>155</v>
      </c>
      <c r="AB818" t="n">
        <v>1</v>
      </c>
      <c r="AC818" t="n">
        <v>2</v>
      </c>
      <c r="AD818" t="n">
        <v>6</v>
      </c>
      <c r="AE818" t="n">
        <v>21</v>
      </c>
      <c r="AF818" t="n">
        <v>1</v>
      </c>
      <c r="AG818" t="n">
        <v>6</v>
      </c>
      <c r="AH818" t="n">
        <v>2</v>
      </c>
      <c r="AI818" t="n">
        <v>8</v>
      </c>
      <c r="AJ818" t="n">
        <v>4</v>
      </c>
      <c r="AK818" t="n">
        <v>15</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HYPERLINK("https://creighton-primo.hosted.exlibrisgroup.com/primo-explore/search?tab=default_tab&amp;search_scope=EVERYTHING&amp;vid=01CRU&amp;lang=en_US&amp;offset=0&amp;query=any,contains,991004618859702656","Catalog Record")</f>
        <v/>
      </c>
      <c r="AT818">
        <f>HYPERLINK("http://www.worldcat.org/oclc/4279071","WorldCat Record")</f>
        <v/>
      </c>
      <c r="AU818" t="inlineStr">
        <is>
          <t>2864857282:eng</t>
        </is>
      </c>
      <c r="AV818" t="inlineStr">
        <is>
          <t>4279071</t>
        </is>
      </c>
      <c r="AW818" t="inlineStr">
        <is>
          <t>991004618859702656</t>
        </is>
      </c>
      <c r="AX818" t="inlineStr">
        <is>
          <t>991004618859702656</t>
        </is>
      </c>
      <c r="AY818" t="inlineStr">
        <is>
          <t>2260804920002656</t>
        </is>
      </c>
      <c r="AZ818" t="inlineStr">
        <is>
          <t>BOOK</t>
        </is>
      </c>
      <c r="BC818" t="inlineStr">
        <is>
          <t>32285000147438</t>
        </is>
      </c>
      <c r="BD818" t="inlineStr">
        <is>
          <t>893801148</t>
        </is>
      </c>
    </row>
    <row r="819">
      <c r="A819" t="inlineStr">
        <is>
          <t>No</t>
        </is>
      </c>
      <c r="B819" t="inlineStr">
        <is>
          <t>BT605 .B74 1951</t>
        </is>
      </c>
      <c r="C819" t="inlineStr">
        <is>
          <t>0                      BT 0605000B  74          1951</t>
        </is>
      </c>
      <c r="D819" t="inlineStr">
        <is>
          <t>The life of Mary as seen by the mystics / compiled from the revelations of St. Elizabeth of Schoenau, St. Bridget of Sweden, Ven. Mother Mary of Agreda, Sister Anna Catherine Emmerich, by Raphael Brown [pseud.] Foreword by Edward A. Ryan.</t>
        </is>
      </c>
      <c r="F819" t="inlineStr">
        <is>
          <t>No</t>
        </is>
      </c>
      <c r="G819" t="inlineStr">
        <is>
          <t>1</t>
        </is>
      </c>
      <c r="H819" t="inlineStr">
        <is>
          <t>No</t>
        </is>
      </c>
      <c r="I819" t="inlineStr">
        <is>
          <t>No</t>
        </is>
      </c>
      <c r="J819" t="inlineStr">
        <is>
          <t>0</t>
        </is>
      </c>
      <c r="K819" t="inlineStr">
        <is>
          <t>Brown, Raphael, 1912-</t>
        </is>
      </c>
      <c r="L819" t="inlineStr">
        <is>
          <t>Milwaukee : Bruce, c1951, 1954 printing.</t>
        </is>
      </c>
      <c r="M819" t="inlineStr">
        <is>
          <t>1951</t>
        </is>
      </c>
      <c r="O819" t="inlineStr">
        <is>
          <t>eng</t>
        </is>
      </c>
      <c r="P819" t="inlineStr">
        <is>
          <t>___</t>
        </is>
      </c>
      <c r="R819" t="inlineStr">
        <is>
          <t xml:space="preserve">BT </t>
        </is>
      </c>
      <c r="S819" t="n">
        <v>0</v>
      </c>
      <c r="T819" t="n">
        <v>0</v>
      </c>
      <c r="U819" t="inlineStr">
        <is>
          <t>2003-05-22</t>
        </is>
      </c>
      <c r="V819" t="inlineStr">
        <is>
          <t>2003-05-22</t>
        </is>
      </c>
      <c r="W819" t="inlineStr">
        <is>
          <t>1990-05-03</t>
        </is>
      </c>
      <c r="X819" t="inlineStr">
        <is>
          <t>1990-05-03</t>
        </is>
      </c>
      <c r="Y819" t="n">
        <v>154</v>
      </c>
      <c r="Z819" t="n">
        <v>136</v>
      </c>
      <c r="AA819" t="n">
        <v>154</v>
      </c>
      <c r="AB819" t="n">
        <v>2</v>
      </c>
      <c r="AC819" t="n">
        <v>2</v>
      </c>
      <c r="AD819" t="n">
        <v>20</v>
      </c>
      <c r="AE819" t="n">
        <v>21</v>
      </c>
      <c r="AF819" t="n">
        <v>5</v>
      </c>
      <c r="AG819" t="n">
        <v>6</v>
      </c>
      <c r="AH819" t="n">
        <v>7</v>
      </c>
      <c r="AI819" t="n">
        <v>8</v>
      </c>
      <c r="AJ819" t="n">
        <v>16</v>
      </c>
      <c r="AK819" t="n">
        <v>16</v>
      </c>
      <c r="AL819" t="n">
        <v>0</v>
      </c>
      <c r="AM819" t="n">
        <v>0</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HYPERLINK("https://creighton-primo.hosted.exlibrisgroup.com/primo-explore/search?tab=default_tab&amp;search_scope=EVERYTHING&amp;vid=01CRU&amp;lang=en_US&amp;offset=0&amp;query=any,contains,991003749179702656","Catalog Record")</f>
        <v/>
      </c>
      <c r="AT819">
        <f>HYPERLINK("http://www.worldcat.org/oclc/1423161","WorldCat Record")</f>
        <v/>
      </c>
      <c r="AU819" t="inlineStr">
        <is>
          <t>2292077:eng</t>
        </is>
      </c>
      <c r="AV819" t="inlineStr">
        <is>
          <t>1423161</t>
        </is>
      </c>
      <c r="AW819" t="inlineStr">
        <is>
          <t>991003749179702656</t>
        </is>
      </c>
      <c r="AX819" t="inlineStr">
        <is>
          <t>991003749179702656</t>
        </is>
      </c>
      <c r="AY819" t="inlineStr">
        <is>
          <t>2269679280002656</t>
        </is>
      </c>
      <c r="AZ819" t="inlineStr">
        <is>
          <t>BOOK</t>
        </is>
      </c>
      <c r="BC819" t="inlineStr">
        <is>
          <t>32285000147446</t>
        </is>
      </c>
      <c r="BD819" t="inlineStr">
        <is>
          <t>893705586</t>
        </is>
      </c>
    </row>
    <row r="820">
      <c r="A820" t="inlineStr">
        <is>
          <t>No</t>
        </is>
      </c>
      <c r="B820" t="inlineStr">
        <is>
          <t>BT605 .B8 1916</t>
        </is>
      </c>
      <c r="C820" t="inlineStr">
        <is>
          <t>0                      BT 0605000B  8           1916</t>
        </is>
      </c>
      <c r="D820" t="inlineStr">
        <is>
          <t>"Blessed art thou among women" : the life of the Virgin mother, with inspired writings telling the story of the Saviour, prophecies of the felicities attending His coming, His birth and childhood, His victory over Satan in the wilderness / compiled by William Frederick Butler ; foreword by John Ireland. Illustrated by one hundred and fifty masterpieces of the world's greatest painters.</t>
        </is>
      </c>
      <c r="F820" t="inlineStr">
        <is>
          <t>No</t>
        </is>
      </c>
      <c r="G820" t="inlineStr">
        <is>
          <t>1</t>
        </is>
      </c>
      <c r="H820" t="inlineStr">
        <is>
          <t>No</t>
        </is>
      </c>
      <c r="I820" t="inlineStr">
        <is>
          <t>No</t>
        </is>
      </c>
      <c r="J820" t="inlineStr">
        <is>
          <t>0</t>
        </is>
      </c>
      <c r="K820" t="inlineStr">
        <is>
          <t>Butler, William Frederick, 1859-1926, compiler.</t>
        </is>
      </c>
      <c r="L820" t="inlineStr">
        <is>
          <t>Chicago : Rand, McNally &amp; Co., 1916.</t>
        </is>
      </c>
      <c r="M820" t="inlineStr">
        <is>
          <t>1916</t>
        </is>
      </c>
      <c r="O820" t="inlineStr">
        <is>
          <t>eng</t>
        </is>
      </c>
      <c r="P820" t="inlineStr">
        <is>
          <t xml:space="preserve">xx </t>
        </is>
      </c>
      <c r="R820" t="inlineStr">
        <is>
          <t xml:space="preserve">BT </t>
        </is>
      </c>
      <c r="S820" t="n">
        <v>2</v>
      </c>
      <c r="T820" t="n">
        <v>2</v>
      </c>
      <c r="U820" t="inlineStr">
        <is>
          <t>2005-11-09</t>
        </is>
      </c>
      <c r="V820" t="inlineStr">
        <is>
          <t>2005-11-09</t>
        </is>
      </c>
      <c r="W820" t="inlineStr">
        <is>
          <t>1991-09-09</t>
        </is>
      </c>
      <c r="X820" t="inlineStr">
        <is>
          <t>1991-09-09</t>
        </is>
      </c>
      <c r="Y820" t="n">
        <v>43</v>
      </c>
      <c r="Z820" t="n">
        <v>42</v>
      </c>
      <c r="AA820" t="n">
        <v>50</v>
      </c>
      <c r="AB820" t="n">
        <v>2</v>
      </c>
      <c r="AC820" t="n">
        <v>2</v>
      </c>
      <c r="AD820" t="n">
        <v>8</v>
      </c>
      <c r="AE820" t="n">
        <v>8</v>
      </c>
      <c r="AF820" t="n">
        <v>1</v>
      </c>
      <c r="AG820" t="n">
        <v>1</v>
      </c>
      <c r="AH820" t="n">
        <v>2</v>
      </c>
      <c r="AI820" t="n">
        <v>2</v>
      </c>
      <c r="AJ820" t="n">
        <v>5</v>
      </c>
      <c r="AK820" t="n">
        <v>5</v>
      </c>
      <c r="AL820" t="n">
        <v>1</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HYPERLINK("https://creighton-primo.hosted.exlibrisgroup.com/primo-explore/search?tab=default_tab&amp;search_scope=EVERYTHING&amp;vid=01CRU&amp;lang=en_US&amp;offset=0&amp;query=any,contains,991004409119702656","Catalog Record")</f>
        <v/>
      </c>
      <c r="AT820">
        <f>HYPERLINK("http://www.worldcat.org/oclc/3331997","WorldCat Record")</f>
        <v/>
      </c>
      <c r="AU820" t="inlineStr">
        <is>
          <t>8908357541:eng</t>
        </is>
      </c>
      <c r="AV820" t="inlineStr">
        <is>
          <t>3331997</t>
        </is>
      </c>
      <c r="AW820" t="inlineStr">
        <is>
          <t>991004409119702656</t>
        </is>
      </c>
      <c r="AX820" t="inlineStr">
        <is>
          <t>991004409119702656</t>
        </is>
      </c>
      <c r="AY820" t="inlineStr">
        <is>
          <t>2255052830002656</t>
        </is>
      </c>
      <c r="AZ820" t="inlineStr">
        <is>
          <t>BOOK</t>
        </is>
      </c>
      <c r="BC820" t="inlineStr">
        <is>
          <t>32285000747161</t>
        </is>
      </c>
      <c r="BD820" t="inlineStr">
        <is>
          <t>893259691</t>
        </is>
      </c>
    </row>
    <row r="821">
      <c r="A821" t="inlineStr">
        <is>
          <t>No</t>
        </is>
      </c>
      <c r="B821" t="inlineStr">
        <is>
          <t>BT605.2 .G313 1961</t>
        </is>
      </c>
      <c r="C821" t="inlineStr">
        <is>
          <t>0                      BT 0605200G  313         1961</t>
        </is>
      </c>
      <c r="D821" t="inlineStr">
        <is>
          <t>Mary in the Bible / by Salvatore Garofalo. Translated from the Italian by Thomas J. Tobin.</t>
        </is>
      </c>
      <c r="F821" t="inlineStr">
        <is>
          <t>No</t>
        </is>
      </c>
      <c r="G821" t="inlineStr">
        <is>
          <t>1</t>
        </is>
      </c>
      <c r="H821" t="inlineStr">
        <is>
          <t>No</t>
        </is>
      </c>
      <c r="I821" t="inlineStr">
        <is>
          <t>No</t>
        </is>
      </c>
      <c r="J821" t="inlineStr">
        <is>
          <t>0</t>
        </is>
      </c>
      <c r="K821" t="inlineStr">
        <is>
          <t>Garofalo, Salvatore.</t>
        </is>
      </c>
      <c r="L821" t="inlineStr">
        <is>
          <t>Milwaukee : Bruce Publishing Co., [1961]</t>
        </is>
      </c>
      <c r="M821" t="inlineStr">
        <is>
          <t>1961</t>
        </is>
      </c>
      <c r="N821" t="inlineStr">
        <is>
          <t>Translation of La Madonna della Bibbia</t>
        </is>
      </c>
      <c r="O821" t="inlineStr">
        <is>
          <t>eng</t>
        </is>
      </c>
      <c r="P821" t="inlineStr">
        <is>
          <t>___</t>
        </is>
      </c>
      <c r="R821" t="inlineStr">
        <is>
          <t xml:space="preserve">BT </t>
        </is>
      </c>
      <c r="S821" t="n">
        <v>7</v>
      </c>
      <c r="T821" t="n">
        <v>7</v>
      </c>
      <c r="U821" t="inlineStr">
        <is>
          <t>2009-04-23</t>
        </is>
      </c>
      <c r="V821" t="inlineStr">
        <is>
          <t>2009-04-23</t>
        </is>
      </c>
      <c r="W821" t="inlineStr">
        <is>
          <t>1991-09-09</t>
        </is>
      </c>
      <c r="X821" t="inlineStr">
        <is>
          <t>1991-09-09</t>
        </is>
      </c>
      <c r="Y821" t="n">
        <v>149</v>
      </c>
      <c r="Z821" t="n">
        <v>139</v>
      </c>
      <c r="AA821" t="n">
        <v>139</v>
      </c>
      <c r="AB821" t="n">
        <v>2</v>
      </c>
      <c r="AC821" t="n">
        <v>2</v>
      </c>
      <c r="AD821" t="n">
        <v>18</v>
      </c>
      <c r="AE821" t="n">
        <v>18</v>
      </c>
      <c r="AF821" t="n">
        <v>6</v>
      </c>
      <c r="AG821" t="n">
        <v>6</v>
      </c>
      <c r="AH821" t="n">
        <v>4</v>
      </c>
      <c r="AI821" t="n">
        <v>4</v>
      </c>
      <c r="AJ821" t="n">
        <v>13</v>
      </c>
      <c r="AK821" t="n">
        <v>13</v>
      </c>
      <c r="AL821" t="n">
        <v>0</v>
      </c>
      <c r="AM821" t="n">
        <v>0</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HYPERLINK("https://creighton-primo.hosted.exlibrisgroup.com/primo-explore/search?tab=default_tab&amp;search_scope=EVERYTHING&amp;vid=01CRU&amp;lang=en_US&amp;offset=0&amp;query=any,contains,991003486649702656","Catalog Record")</f>
        <v/>
      </c>
      <c r="AT821">
        <f>HYPERLINK("http://www.worldcat.org/oclc/1033818","WorldCat Record")</f>
        <v/>
      </c>
      <c r="AU821" t="inlineStr">
        <is>
          <t>5005786:eng</t>
        </is>
      </c>
      <c r="AV821" t="inlineStr">
        <is>
          <t>1033818</t>
        </is>
      </c>
      <c r="AW821" t="inlineStr">
        <is>
          <t>991003486649702656</t>
        </is>
      </c>
      <c r="AX821" t="inlineStr">
        <is>
          <t>991003486649702656</t>
        </is>
      </c>
      <c r="AY821" t="inlineStr">
        <is>
          <t>2268759670002656</t>
        </is>
      </c>
      <c r="AZ821" t="inlineStr">
        <is>
          <t>BOOK</t>
        </is>
      </c>
      <c r="BC821" t="inlineStr">
        <is>
          <t>32285000747195</t>
        </is>
      </c>
      <c r="BD821" t="inlineStr">
        <is>
          <t>893699036</t>
        </is>
      </c>
    </row>
    <row r="822">
      <c r="A822" t="inlineStr">
        <is>
          <t>No</t>
        </is>
      </c>
      <c r="B822" t="inlineStr">
        <is>
          <t>BT608.5 .H38 1993b</t>
        </is>
      </c>
      <c r="C822" t="inlineStr">
        <is>
          <t>0                      BT 0608500H  38          1993b</t>
        </is>
      </c>
      <c r="D822" t="inlineStr">
        <is>
          <t>Partheneia Sacra 1633 / Henry Hawkins ; introduction by Karl Josef Höltgen.</t>
        </is>
      </c>
      <c r="F822" t="inlineStr">
        <is>
          <t>No</t>
        </is>
      </c>
      <c r="G822" t="inlineStr">
        <is>
          <t>1</t>
        </is>
      </c>
      <c r="H822" t="inlineStr">
        <is>
          <t>No</t>
        </is>
      </c>
      <c r="I822" t="inlineStr">
        <is>
          <t>No</t>
        </is>
      </c>
      <c r="J822" t="inlineStr">
        <is>
          <t>0</t>
        </is>
      </c>
      <c r="K822" t="inlineStr">
        <is>
          <t>Hawkins, Henry.</t>
        </is>
      </c>
      <c r="L822" t="inlineStr">
        <is>
          <t>Aldershot : Scholar, c1993.</t>
        </is>
      </c>
      <c r="M822" t="inlineStr">
        <is>
          <t>1993</t>
        </is>
      </c>
      <c r="O822" t="inlineStr">
        <is>
          <t>eng</t>
        </is>
      </c>
      <c r="P822" t="inlineStr">
        <is>
          <t>enk</t>
        </is>
      </c>
      <c r="R822" t="inlineStr">
        <is>
          <t xml:space="preserve">BT </t>
        </is>
      </c>
      <c r="S822" t="n">
        <v>1</v>
      </c>
      <c r="T822" t="n">
        <v>1</v>
      </c>
      <c r="U822" t="inlineStr">
        <is>
          <t>1995-01-11</t>
        </is>
      </c>
      <c r="V822" t="inlineStr">
        <is>
          <t>1995-01-11</t>
        </is>
      </c>
      <c r="W822" t="inlineStr">
        <is>
          <t>1994-03-30</t>
        </is>
      </c>
      <c r="X822" t="inlineStr">
        <is>
          <t>1994-03-30</t>
        </is>
      </c>
      <c r="Y822" t="n">
        <v>26</v>
      </c>
      <c r="Z822" t="n">
        <v>9</v>
      </c>
      <c r="AA822" t="n">
        <v>165</v>
      </c>
      <c r="AB822" t="n">
        <v>1</v>
      </c>
      <c r="AC822" t="n">
        <v>2</v>
      </c>
      <c r="AD822" t="n">
        <v>1</v>
      </c>
      <c r="AE822" t="n">
        <v>20</v>
      </c>
      <c r="AF822" t="n">
        <v>0</v>
      </c>
      <c r="AG822" t="n">
        <v>8</v>
      </c>
      <c r="AH822" t="n">
        <v>1</v>
      </c>
      <c r="AI822" t="n">
        <v>2</v>
      </c>
      <c r="AJ822" t="n">
        <v>0</v>
      </c>
      <c r="AK822" t="n">
        <v>17</v>
      </c>
      <c r="AL822" t="n">
        <v>0</v>
      </c>
      <c r="AM822" t="n">
        <v>1</v>
      </c>
      <c r="AN822" t="n">
        <v>0</v>
      </c>
      <c r="AO822" t="n">
        <v>0</v>
      </c>
      <c r="AP822" t="inlineStr">
        <is>
          <t>No</t>
        </is>
      </c>
      <c r="AQ822" t="inlineStr">
        <is>
          <t>Yes</t>
        </is>
      </c>
      <c r="AR822">
        <f>HYPERLINK("http://catalog.hathitrust.org/Record/100026504","HathiTrust Record")</f>
        <v/>
      </c>
      <c r="AS822">
        <f>HYPERLINK("https://creighton-primo.hosted.exlibrisgroup.com/primo-explore/search?tab=default_tab&amp;search_scope=EVERYTHING&amp;vid=01CRU&amp;lang=en_US&amp;offset=0&amp;query=any,contains,991002273599702656","Catalog Record")</f>
        <v/>
      </c>
      <c r="AT822">
        <f>HYPERLINK("http://www.worldcat.org/oclc/29517772","WorldCat Record")</f>
        <v/>
      </c>
      <c r="AU822" t="inlineStr">
        <is>
          <t>14372520:eng</t>
        </is>
      </c>
      <c r="AV822" t="inlineStr">
        <is>
          <t>29517772</t>
        </is>
      </c>
      <c r="AW822" t="inlineStr">
        <is>
          <t>991002273599702656</t>
        </is>
      </c>
      <c r="AX822" t="inlineStr">
        <is>
          <t>991002273599702656</t>
        </is>
      </c>
      <c r="AY822" t="inlineStr">
        <is>
          <t>2271696980002656</t>
        </is>
      </c>
      <c r="AZ822" t="inlineStr">
        <is>
          <t>BOOK</t>
        </is>
      </c>
      <c r="BB822" t="inlineStr">
        <is>
          <t>9780859679824</t>
        </is>
      </c>
      <c r="BC822" t="inlineStr">
        <is>
          <t>32285001858546</t>
        </is>
      </c>
      <c r="BD822" t="inlineStr">
        <is>
          <t>893627044</t>
        </is>
      </c>
    </row>
    <row r="823">
      <c r="A823" t="inlineStr">
        <is>
          <t>No</t>
        </is>
      </c>
      <c r="B823" t="inlineStr">
        <is>
          <t>BT608.7 .W6 1958</t>
        </is>
      </c>
      <c r="C823" t="inlineStr">
        <is>
          <t>0                      BT 0608700W  6           1958</t>
        </is>
      </c>
      <c r="D823" t="inlineStr">
        <is>
          <t>Our Lady in education : proceedings of the Workshop on Our Lady in Education, conducted at the University of Dayton, Dayton, Ohio, from June 11 to June 18, 1958, in commemoration of the 100th anniversary of the Lourdes apparitions / edited by Louis J. Faerber.</t>
        </is>
      </c>
      <c r="F823" t="inlineStr">
        <is>
          <t>No</t>
        </is>
      </c>
      <c r="G823" t="inlineStr">
        <is>
          <t>1</t>
        </is>
      </c>
      <c r="H823" t="inlineStr">
        <is>
          <t>No</t>
        </is>
      </c>
      <c r="I823" t="inlineStr">
        <is>
          <t>No</t>
        </is>
      </c>
      <c r="J823" t="inlineStr">
        <is>
          <t>0</t>
        </is>
      </c>
      <c r="K823" t="inlineStr">
        <is>
          <t>Workshop on Our Lady in Education (1958 : University of Dayton)</t>
        </is>
      </c>
      <c r="L823" t="inlineStr">
        <is>
          <t>Dayton : Marian Library, University of Dayton, 1958.</t>
        </is>
      </c>
      <c r="M823" t="inlineStr">
        <is>
          <t>1958</t>
        </is>
      </c>
      <c r="O823" t="inlineStr">
        <is>
          <t>eng</t>
        </is>
      </c>
      <c r="P823" t="inlineStr">
        <is>
          <t>ohu</t>
        </is>
      </c>
      <c r="R823" t="inlineStr">
        <is>
          <t xml:space="preserve">BT </t>
        </is>
      </c>
      <c r="S823" t="n">
        <v>2</v>
      </c>
      <c r="T823" t="n">
        <v>2</v>
      </c>
      <c r="U823" t="inlineStr">
        <is>
          <t>1995-03-14</t>
        </is>
      </c>
      <c r="V823" t="inlineStr">
        <is>
          <t>1995-03-14</t>
        </is>
      </c>
      <c r="W823" t="inlineStr">
        <is>
          <t>1991-09-09</t>
        </is>
      </c>
      <c r="X823" t="inlineStr">
        <is>
          <t>1991-09-09</t>
        </is>
      </c>
      <c r="Y823" t="n">
        <v>49</v>
      </c>
      <c r="Z823" t="n">
        <v>47</v>
      </c>
      <c r="AA823" t="n">
        <v>47</v>
      </c>
      <c r="AB823" t="n">
        <v>1</v>
      </c>
      <c r="AC823" t="n">
        <v>1</v>
      </c>
      <c r="AD823" t="n">
        <v>7</v>
      </c>
      <c r="AE823" t="n">
        <v>7</v>
      </c>
      <c r="AF823" t="n">
        <v>3</v>
      </c>
      <c r="AG823" t="n">
        <v>3</v>
      </c>
      <c r="AH823" t="n">
        <v>1</v>
      </c>
      <c r="AI823" t="n">
        <v>1</v>
      </c>
      <c r="AJ823" t="n">
        <v>6</v>
      </c>
      <c r="AK823" t="n">
        <v>6</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HYPERLINK("https://creighton-primo.hosted.exlibrisgroup.com/primo-explore/search?tab=default_tab&amp;search_scope=EVERYTHING&amp;vid=01CRU&amp;lang=en_US&amp;offset=0&amp;query=any,contains,991004589119702656","Catalog Record")</f>
        <v/>
      </c>
      <c r="AT823">
        <f>HYPERLINK("http://www.worldcat.org/oclc/4110931","WorldCat Record")</f>
        <v/>
      </c>
      <c r="AU823" t="inlineStr">
        <is>
          <t>9090834671:eng</t>
        </is>
      </c>
      <c r="AV823" t="inlineStr">
        <is>
          <t>4110931</t>
        </is>
      </c>
      <c r="AW823" t="inlineStr">
        <is>
          <t>991004589119702656</t>
        </is>
      </c>
      <c r="AX823" t="inlineStr">
        <is>
          <t>991004589119702656</t>
        </is>
      </c>
      <c r="AY823" t="inlineStr">
        <is>
          <t>2255344700002656</t>
        </is>
      </c>
      <c r="AZ823" t="inlineStr">
        <is>
          <t>BOOK</t>
        </is>
      </c>
      <c r="BC823" t="inlineStr">
        <is>
          <t>32285000747245</t>
        </is>
      </c>
      <c r="BD823" t="inlineStr">
        <is>
          <t>893593877</t>
        </is>
      </c>
    </row>
    <row r="824">
      <c r="A824" t="inlineStr">
        <is>
          <t>No</t>
        </is>
      </c>
      <c r="B824" t="inlineStr">
        <is>
          <t>BT611 .B6413 1978</t>
        </is>
      </c>
      <c r="C824" t="inlineStr">
        <is>
          <t>0                      BT 0611000B  6413        1978</t>
        </is>
      </c>
      <c r="D824" t="inlineStr">
        <is>
          <t>The image of Mary according to the Evangelists / Horacio Bojorge ; translated by Aloysius Owen.</t>
        </is>
      </c>
      <c r="F824" t="inlineStr">
        <is>
          <t>No</t>
        </is>
      </c>
      <c r="G824" t="inlineStr">
        <is>
          <t>1</t>
        </is>
      </c>
      <c r="H824" t="inlineStr">
        <is>
          <t>No</t>
        </is>
      </c>
      <c r="I824" t="inlineStr">
        <is>
          <t>No</t>
        </is>
      </c>
      <c r="J824" t="inlineStr">
        <is>
          <t>0</t>
        </is>
      </c>
      <c r="K824" t="inlineStr">
        <is>
          <t>Bojorge, Horacio.</t>
        </is>
      </c>
      <c r="L824" t="inlineStr">
        <is>
          <t>Staten Island, N.Y. : Alba House, c1978.</t>
        </is>
      </c>
      <c r="M824" t="inlineStr">
        <is>
          <t>1978</t>
        </is>
      </c>
      <c r="O824" t="inlineStr">
        <is>
          <t>eng</t>
        </is>
      </c>
      <c r="P824" t="inlineStr">
        <is>
          <t>nyu</t>
        </is>
      </c>
      <c r="R824" t="inlineStr">
        <is>
          <t xml:space="preserve">BT </t>
        </is>
      </c>
      <c r="S824" t="n">
        <v>1</v>
      </c>
      <c r="T824" t="n">
        <v>1</v>
      </c>
      <c r="U824" t="inlineStr">
        <is>
          <t>2004-08-09</t>
        </is>
      </c>
      <c r="V824" t="inlineStr">
        <is>
          <t>2004-08-09</t>
        </is>
      </c>
      <c r="W824" t="inlineStr">
        <is>
          <t>1991-09-17</t>
        </is>
      </c>
      <c r="X824" t="inlineStr">
        <is>
          <t>1991-09-17</t>
        </is>
      </c>
      <c r="Y824" t="n">
        <v>110</v>
      </c>
      <c r="Z824" t="n">
        <v>93</v>
      </c>
      <c r="AA824" t="n">
        <v>93</v>
      </c>
      <c r="AB824" t="n">
        <v>1</v>
      </c>
      <c r="AC824" t="n">
        <v>1</v>
      </c>
      <c r="AD824" t="n">
        <v>10</v>
      </c>
      <c r="AE824" t="n">
        <v>10</v>
      </c>
      <c r="AF824" t="n">
        <v>4</v>
      </c>
      <c r="AG824" t="n">
        <v>4</v>
      </c>
      <c r="AH824" t="n">
        <v>3</v>
      </c>
      <c r="AI824" t="n">
        <v>3</v>
      </c>
      <c r="AJ824" t="n">
        <v>5</v>
      </c>
      <c r="AK824" t="n">
        <v>5</v>
      </c>
      <c r="AL824" t="n">
        <v>0</v>
      </c>
      <c r="AM824" t="n">
        <v>0</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HYPERLINK("https://creighton-primo.hosted.exlibrisgroup.com/primo-explore/search?tab=default_tab&amp;search_scope=EVERYTHING&amp;vid=01CRU&amp;lang=en_US&amp;offset=0&amp;query=any,contains,991004429999702656","Catalog Record")</f>
        <v/>
      </c>
      <c r="AT824">
        <f>HYPERLINK("http://www.worldcat.org/oclc/3415334","WorldCat Record")</f>
        <v/>
      </c>
      <c r="AU824" t="inlineStr">
        <is>
          <t>482856:eng</t>
        </is>
      </c>
      <c r="AV824" t="inlineStr">
        <is>
          <t>3415334</t>
        </is>
      </c>
      <c r="AW824" t="inlineStr">
        <is>
          <t>991004429999702656</t>
        </is>
      </c>
      <c r="AX824" t="inlineStr">
        <is>
          <t>991004429999702656</t>
        </is>
      </c>
      <c r="AY824" t="inlineStr">
        <is>
          <t>2260315640002656</t>
        </is>
      </c>
      <c r="AZ824" t="inlineStr">
        <is>
          <t>BOOK</t>
        </is>
      </c>
      <c r="BB824" t="inlineStr">
        <is>
          <t>9780818903625</t>
        </is>
      </c>
      <c r="BC824" t="inlineStr">
        <is>
          <t>32285000747351</t>
        </is>
      </c>
      <c r="BD824" t="inlineStr">
        <is>
          <t>893693944</t>
        </is>
      </c>
    </row>
    <row r="825">
      <c r="A825" t="inlineStr">
        <is>
          <t>No</t>
        </is>
      </c>
      <c r="B825" t="inlineStr">
        <is>
          <t>BT611 .B713 1967</t>
        </is>
      </c>
      <c r="C825" t="inlineStr">
        <is>
          <t>0                      BT 0611000B  713         1967</t>
        </is>
      </c>
      <c r="D825" t="inlineStr">
        <is>
          <t>Mother of God's people / by F. M. Braun. [Translator: John Clarke]</t>
        </is>
      </c>
      <c r="F825" t="inlineStr">
        <is>
          <t>No</t>
        </is>
      </c>
      <c r="G825" t="inlineStr">
        <is>
          <t>1</t>
        </is>
      </c>
      <c r="H825" t="inlineStr">
        <is>
          <t>No</t>
        </is>
      </c>
      <c r="I825" t="inlineStr">
        <is>
          <t>No</t>
        </is>
      </c>
      <c r="J825" t="inlineStr">
        <is>
          <t>0</t>
        </is>
      </c>
      <c r="K825" t="inlineStr">
        <is>
          <t>Braun, F.-M. (François-Marie), 1893-1980.</t>
        </is>
      </c>
      <c r="L825" t="inlineStr">
        <is>
          <t>Staten Island, N.Y. : Alba House, [1967]</t>
        </is>
      </c>
      <c r="M825" t="inlineStr">
        <is>
          <t>1967</t>
        </is>
      </c>
      <c r="O825" t="inlineStr">
        <is>
          <t>eng</t>
        </is>
      </c>
      <c r="P825" t="inlineStr">
        <is>
          <t>nyu</t>
        </is>
      </c>
      <c r="R825" t="inlineStr">
        <is>
          <t xml:space="preserve">BT </t>
        </is>
      </c>
      <c r="S825" t="n">
        <v>2</v>
      </c>
      <c r="T825" t="n">
        <v>2</v>
      </c>
      <c r="U825" t="inlineStr">
        <is>
          <t>2009-04-23</t>
        </is>
      </c>
      <c r="V825" t="inlineStr">
        <is>
          <t>2009-04-23</t>
        </is>
      </c>
      <c r="W825" t="inlineStr">
        <is>
          <t>1991-09-17</t>
        </is>
      </c>
      <c r="X825" t="inlineStr">
        <is>
          <t>1991-09-17</t>
        </is>
      </c>
      <c r="Y825" t="n">
        <v>123</v>
      </c>
      <c r="Z825" t="n">
        <v>103</v>
      </c>
      <c r="AA825" t="n">
        <v>108</v>
      </c>
      <c r="AB825" t="n">
        <v>1</v>
      </c>
      <c r="AC825" t="n">
        <v>1</v>
      </c>
      <c r="AD825" t="n">
        <v>17</v>
      </c>
      <c r="AE825" t="n">
        <v>17</v>
      </c>
      <c r="AF825" t="n">
        <v>4</v>
      </c>
      <c r="AG825" t="n">
        <v>4</v>
      </c>
      <c r="AH825" t="n">
        <v>6</v>
      </c>
      <c r="AI825" t="n">
        <v>6</v>
      </c>
      <c r="AJ825" t="n">
        <v>12</v>
      </c>
      <c r="AK825" t="n">
        <v>12</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HYPERLINK("https://creighton-primo.hosted.exlibrisgroup.com/primo-explore/search?tab=default_tab&amp;search_scope=EVERYTHING&amp;vid=01CRU&amp;lang=en_US&amp;offset=0&amp;query=any,contains,991004199319702656","Catalog Record")</f>
        <v/>
      </c>
      <c r="AT825">
        <f>HYPERLINK("http://www.worldcat.org/oclc/2648498","WorldCat Record")</f>
        <v/>
      </c>
      <c r="AU825" t="inlineStr">
        <is>
          <t>343329878:eng</t>
        </is>
      </c>
      <c r="AV825" t="inlineStr">
        <is>
          <t>2648498</t>
        </is>
      </c>
      <c r="AW825" t="inlineStr">
        <is>
          <t>991004199319702656</t>
        </is>
      </c>
      <c r="AX825" t="inlineStr">
        <is>
          <t>991004199319702656</t>
        </is>
      </c>
      <c r="AY825" t="inlineStr">
        <is>
          <t>2271242830002656</t>
        </is>
      </c>
      <c r="AZ825" t="inlineStr">
        <is>
          <t>BOOK</t>
        </is>
      </c>
      <c r="BC825" t="inlineStr">
        <is>
          <t>32285000747377</t>
        </is>
      </c>
      <c r="BD825" t="inlineStr">
        <is>
          <t>893235178</t>
        </is>
      </c>
    </row>
    <row r="826">
      <c r="A826" t="inlineStr">
        <is>
          <t>No</t>
        </is>
      </c>
      <c r="B826" t="inlineStr">
        <is>
          <t>BT611 .B73 1988</t>
        </is>
      </c>
      <c r="C826" t="inlineStr">
        <is>
          <t>0                      BT 0611000B  73          1988</t>
        </is>
      </c>
      <c r="D826" t="inlineStr">
        <is>
          <t>The sacred memory of Mary / Walter T. Brennan.</t>
        </is>
      </c>
      <c r="F826" t="inlineStr">
        <is>
          <t>No</t>
        </is>
      </c>
      <c r="G826" t="inlineStr">
        <is>
          <t>1</t>
        </is>
      </c>
      <c r="H826" t="inlineStr">
        <is>
          <t>No</t>
        </is>
      </c>
      <c r="I826" t="inlineStr">
        <is>
          <t>No</t>
        </is>
      </c>
      <c r="J826" t="inlineStr">
        <is>
          <t>0</t>
        </is>
      </c>
      <c r="K826" t="inlineStr">
        <is>
          <t>Brennan, Walter T., 1935-</t>
        </is>
      </c>
      <c r="L826" t="inlineStr">
        <is>
          <t>New York : Paulist Press, c1988.</t>
        </is>
      </c>
      <c r="M826" t="inlineStr">
        <is>
          <t>1988</t>
        </is>
      </c>
      <c r="O826" t="inlineStr">
        <is>
          <t>eng</t>
        </is>
      </c>
      <c r="P826" t="inlineStr">
        <is>
          <t>nyu</t>
        </is>
      </c>
      <c r="R826" t="inlineStr">
        <is>
          <t xml:space="preserve">BT </t>
        </is>
      </c>
      <c r="S826" t="n">
        <v>6</v>
      </c>
      <c r="T826" t="n">
        <v>6</v>
      </c>
      <c r="U826" t="inlineStr">
        <is>
          <t>1994-07-22</t>
        </is>
      </c>
      <c r="V826" t="inlineStr">
        <is>
          <t>1994-07-22</t>
        </is>
      </c>
      <c r="W826" t="inlineStr">
        <is>
          <t>1990-03-05</t>
        </is>
      </c>
      <c r="X826" t="inlineStr">
        <is>
          <t>1990-03-05</t>
        </is>
      </c>
      <c r="Y826" t="n">
        <v>89</v>
      </c>
      <c r="Z826" t="n">
        <v>73</v>
      </c>
      <c r="AA826" t="n">
        <v>73</v>
      </c>
      <c r="AB826" t="n">
        <v>1</v>
      </c>
      <c r="AC826" t="n">
        <v>1</v>
      </c>
      <c r="AD826" t="n">
        <v>6</v>
      </c>
      <c r="AE826" t="n">
        <v>6</v>
      </c>
      <c r="AF826" t="n">
        <v>0</v>
      </c>
      <c r="AG826" t="n">
        <v>0</v>
      </c>
      <c r="AH826" t="n">
        <v>2</v>
      </c>
      <c r="AI826" t="n">
        <v>2</v>
      </c>
      <c r="AJ826" t="n">
        <v>4</v>
      </c>
      <c r="AK826" t="n">
        <v>4</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HYPERLINK("https://creighton-primo.hosted.exlibrisgroup.com/primo-explore/search?tab=default_tab&amp;search_scope=EVERYTHING&amp;vid=01CRU&amp;lang=en_US&amp;offset=0&amp;query=any,contains,991001177849702656","Catalog Record")</f>
        <v/>
      </c>
      <c r="AT826">
        <f>HYPERLINK("http://www.worldcat.org/oclc/17104522","WorldCat Record")</f>
        <v/>
      </c>
      <c r="AU826" t="inlineStr">
        <is>
          <t>13138840:eng</t>
        </is>
      </c>
      <c r="AV826" t="inlineStr">
        <is>
          <t>17104522</t>
        </is>
      </c>
      <c r="AW826" t="inlineStr">
        <is>
          <t>991001177849702656</t>
        </is>
      </c>
      <c r="AX826" t="inlineStr">
        <is>
          <t>991001177849702656</t>
        </is>
      </c>
      <c r="AY826" t="inlineStr">
        <is>
          <t>2269243950002656</t>
        </is>
      </c>
      <c r="AZ826" t="inlineStr">
        <is>
          <t>BOOK</t>
        </is>
      </c>
      <c r="BB826" t="inlineStr">
        <is>
          <t>9780809129553</t>
        </is>
      </c>
      <c r="BC826" t="inlineStr">
        <is>
          <t>32285000076462</t>
        </is>
      </c>
      <c r="BD826" t="inlineStr">
        <is>
          <t>893720947</t>
        </is>
      </c>
    </row>
    <row r="827">
      <c r="A827" t="inlineStr">
        <is>
          <t>No</t>
        </is>
      </c>
      <c r="B827" t="inlineStr">
        <is>
          <t>BT611 .L788 1891</t>
        </is>
      </c>
      <c r="C827" t="inlineStr">
        <is>
          <t>0                      BT 0611000L  788         1891</t>
        </is>
      </c>
      <c r="D827" t="inlineStr">
        <is>
          <t>Mary in the epistles ; or, the implicit teaching of the Apostles concerning the Blessed Virgin, contained in their writings, illustrated from the Fathers and other authors with introductory chapters / by the Rev. Thomas Livius.</t>
        </is>
      </c>
      <c r="F827" t="inlineStr">
        <is>
          <t>No</t>
        </is>
      </c>
      <c r="G827" t="inlineStr">
        <is>
          <t>1</t>
        </is>
      </c>
      <c r="H827" t="inlineStr">
        <is>
          <t>No</t>
        </is>
      </c>
      <c r="I827" t="inlineStr">
        <is>
          <t>No</t>
        </is>
      </c>
      <c r="J827" t="inlineStr">
        <is>
          <t>0</t>
        </is>
      </c>
      <c r="K827" t="inlineStr">
        <is>
          <t>Livius, Thomas.</t>
        </is>
      </c>
      <c r="L827" t="inlineStr">
        <is>
          <t>London : Burns &amp; Oates, Ltd. ; New York : Catholic Publication Society Co., 1891.</t>
        </is>
      </c>
      <c r="M827" t="inlineStr">
        <is>
          <t>1891</t>
        </is>
      </c>
      <c r="O827" t="inlineStr">
        <is>
          <t>eng</t>
        </is>
      </c>
      <c r="P827" t="inlineStr">
        <is>
          <t xml:space="preserve">xx </t>
        </is>
      </c>
      <c r="R827" t="inlineStr">
        <is>
          <t xml:space="preserve">BT </t>
        </is>
      </c>
      <c r="S827" t="n">
        <v>1</v>
      </c>
      <c r="T827" t="n">
        <v>1</v>
      </c>
      <c r="U827" t="inlineStr">
        <is>
          <t>2004-08-09</t>
        </is>
      </c>
      <c r="V827" t="inlineStr">
        <is>
          <t>2004-08-09</t>
        </is>
      </c>
      <c r="W827" t="inlineStr">
        <is>
          <t>1991-09-17</t>
        </is>
      </c>
      <c r="X827" t="inlineStr">
        <is>
          <t>1991-09-17</t>
        </is>
      </c>
      <c r="Y827" t="n">
        <v>30</v>
      </c>
      <c r="Z827" t="n">
        <v>25</v>
      </c>
      <c r="AA827" t="n">
        <v>45</v>
      </c>
      <c r="AB827" t="n">
        <v>2</v>
      </c>
      <c r="AC827" t="n">
        <v>2</v>
      </c>
      <c r="AD827" t="n">
        <v>7</v>
      </c>
      <c r="AE827" t="n">
        <v>8</v>
      </c>
      <c r="AF827" t="n">
        <v>1</v>
      </c>
      <c r="AG827" t="n">
        <v>1</v>
      </c>
      <c r="AH827" t="n">
        <v>3</v>
      </c>
      <c r="AI827" t="n">
        <v>3</v>
      </c>
      <c r="AJ827" t="n">
        <v>5</v>
      </c>
      <c r="AK827" t="n">
        <v>6</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HYPERLINK("https://creighton-primo.hosted.exlibrisgroup.com/primo-explore/search?tab=default_tab&amp;search_scope=EVERYTHING&amp;vid=01CRU&amp;lang=en_US&amp;offset=0&amp;query=any,contains,991004519399702656","Catalog Record")</f>
        <v/>
      </c>
      <c r="AT827">
        <f>HYPERLINK("http://www.worldcat.org/oclc/3805806","WorldCat Record")</f>
        <v/>
      </c>
      <c r="AU827" t="inlineStr">
        <is>
          <t>194292955:eng</t>
        </is>
      </c>
      <c r="AV827" t="inlineStr">
        <is>
          <t>3805806</t>
        </is>
      </c>
      <c r="AW827" t="inlineStr">
        <is>
          <t>991004519399702656</t>
        </is>
      </c>
      <c r="AX827" t="inlineStr">
        <is>
          <t>991004519399702656</t>
        </is>
      </c>
      <c r="AY827" t="inlineStr">
        <is>
          <t>2261084950002656</t>
        </is>
      </c>
      <c r="AZ827" t="inlineStr">
        <is>
          <t>BOOK</t>
        </is>
      </c>
      <c r="BC827" t="inlineStr">
        <is>
          <t>32285000747419</t>
        </is>
      </c>
      <c r="BD827" t="inlineStr">
        <is>
          <t>893888814</t>
        </is>
      </c>
    </row>
    <row r="828">
      <c r="A828" t="inlineStr">
        <is>
          <t>No</t>
        </is>
      </c>
      <c r="B828" t="inlineStr">
        <is>
          <t>BT611 .M3 1975b</t>
        </is>
      </c>
      <c r="C828" t="inlineStr">
        <is>
          <t>0                      BT 0611000M  3           1975b</t>
        </is>
      </c>
      <c r="D828" t="inlineStr">
        <is>
          <t>The mother of Jesus in the New Testament / John McHugh.</t>
        </is>
      </c>
      <c r="F828" t="inlineStr">
        <is>
          <t>No</t>
        </is>
      </c>
      <c r="G828" t="inlineStr">
        <is>
          <t>1</t>
        </is>
      </c>
      <c r="H828" t="inlineStr">
        <is>
          <t>No</t>
        </is>
      </c>
      <c r="I828" t="inlineStr">
        <is>
          <t>No</t>
        </is>
      </c>
      <c r="J828" t="inlineStr">
        <is>
          <t>0</t>
        </is>
      </c>
      <c r="K828" t="inlineStr">
        <is>
          <t>McHugh, John, 1927-2006.</t>
        </is>
      </c>
      <c r="L828" t="inlineStr">
        <is>
          <t>Garden City, N.Y. : Doubleday, 1975.</t>
        </is>
      </c>
      <c r="M828" t="inlineStr">
        <is>
          <t>1975</t>
        </is>
      </c>
      <c r="O828" t="inlineStr">
        <is>
          <t>eng</t>
        </is>
      </c>
      <c r="P828" t="inlineStr">
        <is>
          <t>nyu</t>
        </is>
      </c>
      <c r="R828" t="inlineStr">
        <is>
          <t xml:space="preserve">BT </t>
        </is>
      </c>
      <c r="S828" t="n">
        <v>6</v>
      </c>
      <c r="T828" t="n">
        <v>6</v>
      </c>
      <c r="U828" t="inlineStr">
        <is>
          <t>1999-12-10</t>
        </is>
      </c>
      <c r="V828" t="inlineStr">
        <is>
          <t>1999-12-10</t>
        </is>
      </c>
      <c r="W828" t="inlineStr">
        <is>
          <t>1991-09-17</t>
        </is>
      </c>
      <c r="X828" t="inlineStr">
        <is>
          <t>1991-09-17</t>
        </is>
      </c>
      <c r="Y828" t="n">
        <v>366</v>
      </c>
      <c r="Z828" t="n">
        <v>332</v>
      </c>
      <c r="AA828" t="n">
        <v>403</v>
      </c>
      <c r="AB828" t="n">
        <v>5</v>
      </c>
      <c r="AC828" t="n">
        <v>7</v>
      </c>
      <c r="AD828" t="n">
        <v>23</v>
      </c>
      <c r="AE828" t="n">
        <v>28</v>
      </c>
      <c r="AF828" t="n">
        <v>8</v>
      </c>
      <c r="AG828" t="n">
        <v>9</v>
      </c>
      <c r="AH828" t="n">
        <v>4</v>
      </c>
      <c r="AI828" t="n">
        <v>5</v>
      </c>
      <c r="AJ828" t="n">
        <v>15</v>
      </c>
      <c r="AK828" t="n">
        <v>17</v>
      </c>
      <c r="AL828" t="n">
        <v>2</v>
      </c>
      <c r="AM828" t="n">
        <v>4</v>
      </c>
      <c r="AN828" t="n">
        <v>0</v>
      </c>
      <c r="AO828" t="n">
        <v>0</v>
      </c>
      <c r="AP828" t="inlineStr">
        <is>
          <t>No</t>
        </is>
      </c>
      <c r="AQ828" t="inlineStr">
        <is>
          <t>Yes</t>
        </is>
      </c>
      <c r="AR828">
        <f>HYPERLINK("http://catalog.hathitrust.org/Record/000746348","HathiTrust Record")</f>
        <v/>
      </c>
      <c r="AS828">
        <f>HYPERLINK("https://creighton-primo.hosted.exlibrisgroup.com/primo-explore/search?tab=default_tab&amp;search_scope=EVERYTHING&amp;vid=01CRU&amp;lang=en_US&amp;offset=0&amp;query=any,contains,991003871269702656","Catalog Record")</f>
        <v/>
      </c>
      <c r="AT828">
        <f>HYPERLINK("http://www.worldcat.org/oclc/1693767","WorldCat Record")</f>
        <v/>
      </c>
      <c r="AU828" t="inlineStr">
        <is>
          <t>312630512:eng</t>
        </is>
      </c>
      <c r="AV828" t="inlineStr">
        <is>
          <t>1693767</t>
        </is>
      </c>
      <c r="AW828" t="inlineStr">
        <is>
          <t>991003871269702656</t>
        </is>
      </c>
      <c r="AX828" t="inlineStr">
        <is>
          <t>991003871269702656</t>
        </is>
      </c>
      <c r="AY828" t="inlineStr">
        <is>
          <t>2255564690002656</t>
        </is>
      </c>
      <c r="AZ828" t="inlineStr">
        <is>
          <t>BOOK</t>
        </is>
      </c>
      <c r="BB828" t="inlineStr">
        <is>
          <t>9780385047487</t>
        </is>
      </c>
      <c r="BC828" t="inlineStr">
        <is>
          <t>32285000747427</t>
        </is>
      </c>
      <c r="BD828" t="inlineStr">
        <is>
          <t>893868975</t>
        </is>
      </c>
    </row>
    <row r="829">
      <c r="A829" t="inlineStr">
        <is>
          <t>No</t>
        </is>
      </c>
      <c r="B829" t="inlineStr">
        <is>
          <t>BT613 .B6313 1987</t>
        </is>
      </c>
      <c r="C829" t="inlineStr">
        <is>
          <t>0                      BT 0613000B  6313        1987</t>
        </is>
      </c>
      <c r="D829" t="inlineStr">
        <is>
          <t>The maternal face of God : the feminine and its religious expressions / Leonardo Boff ; translated by Robert R. Barr and John W. Diercksmeier.</t>
        </is>
      </c>
      <c r="F829" t="inlineStr">
        <is>
          <t>No</t>
        </is>
      </c>
      <c r="G829" t="inlineStr">
        <is>
          <t>1</t>
        </is>
      </c>
      <c r="H829" t="inlineStr">
        <is>
          <t>No</t>
        </is>
      </c>
      <c r="I829" t="inlineStr">
        <is>
          <t>No</t>
        </is>
      </c>
      <c r="J829" t="inlineStr">
        <is>
          <t>0</t>
        </is>
      </c>
      <c r="K829" t="inlineStr">
        <is>
          <t>Boff, Leonardo.</t>
        </is>
      </c>
      <c r="L829" t="inlineStr">
        <is>
          <t>San Francisco : Harper &amp; Row, c1987.</t>
        </is>
      </c>
      <c r="M829" t="inlineStr">
        <is>
          <t>1987</t>
        </is>
      </c>
      <c r="O829" t="inlineStr">
        <is>
          <t>eng</t>
        </is>
      </c>
      <c r="P829" t="inlineStr">
        <is>
          <t>cau</t>
        </is>
      </c>
      <c r="R829" t="inlineStr">
        <is>
          <t xml:space="preserve">BT </t>
        </is>
      </c>
      <c r="S829" t="n">
        <v>7</v>
      </c>
      <c r="T829" t="n">
        <v>7</v>
      </c>
      <c r="U829" t="inlineStr">
        <is>
          <t>2005-11-04</t>
        </is>
      </c>
      <c r="V829" t="inlineStr">
        <is>
          <t>2005-11-04</t>
        </is>
      </c>
      <c r="W829" t="inlineStr">
        <is>
          <t>1991-09-17</t>
        </is>
      </c>
      <c r="X829" t="inlineStr">
        <is>
          <t>1991-09-17</t>
        </is>
      </c>
      <c r="Y829" t="n">
        <v>591</v>
      </c>
      <c r="Z829" t="n">
        <v>499</v>
      </c>
      <c r="AA829" t="n">
        <v>514</v>
      </c>
      <c r="AB829" t="n">
        <v>3</v>
      </c>
      <c r="AC829" t="n">
        <v>3</v>
      </c>
      <c r="AD829" t="n">
        <v>31</v>
      </c>
      <c r="AE829" t="n">
        <v>31</v>
      </c>
      <c r="AF829" t="n">
        <v>10</v>
      </c>
      <c r="AG829" t="n">
        <v>10</v>
      </c>
      <c r="AH829" t="n">
        <v>7</v>
      </c>
      <c r="AI829" t="n">
        <v>7</v>
      </c>
      <c r="AJ829" t="n">
        <v>20</v>
      </c>
      <c r="AK829" t="n">
        <v>20</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HYPERLINK("https://creighton-primo.hosted.exlibrisgroup.com/primo-explore/search?tab=default_tab&amp;search_scope=EVERYTHING&amp;vid=01CRU&amp;lang=en_US&amp;offset=0&amp;query=any,contains,991001018939702656","Catalog Record")</f>
        <v/>
      </c>
      <c r="AT829">
        <f>HYPERLINK("http://www.worldcat.org/oclc/15365053","WorldCat Record")</f>
        <v/>
      </c>
      <c r="AU829" t="inlineStr">
        <is>
          <t>1151331732:eng</t>
        </is>
      </c>
      <c r="AV829" t="inlineStr">
        <is>
          <t>15365053</t>
        </is>
      </c>
      <c r="AW829" t="inlineStr">
        <is>
          <t>991001018939702656</t>
        </is>
      </c>
      <c r="AX829" t="inlineStr">
        <is>
          <t>991001018939702656</t>
        </is>
      </c>
      <c r="AY829" t="inlineStr">
        <is>
          <t>2261352600002656</t>
        </is>
      </c>
      <c r="AZ829" t="inlineStr">
        <is>
          <t>BOOK</t>
        </is>
      </c>
      <c r="BB829" t="inlineStr">
        <is>
          <t>9780062541598</t>
        </is>
      </c>
      <c r="BC829" t="inlineStr">
        <is>
          <t>32285000747476</t>
        </is>
      </c>
      <c r="BD829" t="inlineStr">
        <is>
          <t>893432527</t>
        </is>
      </c>
    </row>
    <row r="830">
      <c r="A830" t="inlineStr">
        <is>
          <t>No</t>
        </is>
      </c>
      <c r="B830" t="inlineStr">
        <is>
          <t>BT613 .B653 1962</t>
        </is>
      </c>
      <c r="C830" t="inlineStr">
        <is>
          <t>0                      BT 0613000B  653         1962</t>
        </is>
      </c>
      <c r="D830" t="inlineStr">
        <is>
          <t>The seat of wisdom : an essay on the place of the Virgin Mary in Christian theology / Louis Bouyer. Translated by A. V. Littledale.</t>
        </is>
      </c>
      <c r="F830" t="inlineStr">
        <is>
          <t>No</t>
        </is>
      </c>
      <c r="G830" t="inlineStr">
        <is>
          <t>1</t>
        </is>
      </c>
      <c r="H830" t="inlineStr">
        <is>
          <t>No</t>
        </is>
      </c>
      <c r="I830" t="inlineStr">
        <is>
          <t>No</t>
        </is>
      </c>
      <c r="J830" t="inlineStr">
        <is>
          <t>0</t>
        </is>
      </c>
      <c r="K830" t="inlineStr">
        <is>
          <t>Bouyer, Louis, 1913-2004.</t>
        </is>
      </c>
      <c r="L830" t="inlineStr">
        <is>
          <t>New York] : Pantheon Books, [1962]</t>
        </is>
      </c>
      <c r="M830" t="inlineStr">
        <is>
          <t>1962</t>
        </is>
      </c>
      <c r="N830" t="inlineStr">
        <is>
          <t>[1st American ed.</t>
        </is>
      </c>
      <c r="O830" t="inlineStr">
        <is>
          <t>eng</t>
        </is>
      </c>
      <c r="P830" t="inlineStr">
        <is>
          <t>nyu</t>
        </is>
      </c>
      <c r="R830" t="inlineStr">
        <is>
          <t xml:space="preserve">BT </t>
        </is>
      </c>
      <c r="S830" t="n">
        <v>4</v>
      </c>
      <c r="T830" t="n">
        <v>4</v>
      </c>
      <c r="U830" t="inlineStr">
        <is>
          <t>2004-08-04</t>
        </is>
      </c>
      <c r="V830" t="inlineStr">
        <is>
          <t>2004-08-04</t>
        </is>
      </c>
      <c r="W830" t="inlineStr">
        <is>
          <t>1991-09-17</t>
        </is>
      </c>
      <c r="X830" t="inlineStr">
        <is>
          <t>1991-09-17</t>
        </is>
      </c>
      <c r="Y830" t="n">
        <v>239</v>
      </c>
      <c r="Z830" t="n">
        <v>222</v>
      </c>
      <c r="AA830" t="n">
        <v>255</v>
      </c>
      <c r="AB830" t="n">
        <v>3</v>
      </c>
      <c r="AC830" t="n">
        <v>3</v>
      </c>
      <c r="AD830" t="n">
        <v>35</v>
      </c>
      <c r="AE830" t="n">
        <v>36</v>
      </c>
      <c r="AF830" t="n">
        <v>13</v>
      </c>
      <c r="AG830" t="n">
        <v>13</v>
      </c>
      <c r="AH830" t="n">
        <v>8</v>
      </c>
      <c r="AI830" t="n">
        <v>8</v>
      </c>
      <c r="AJ830" t="n">
        <v>25</v>
      </c>
      <c r="AK830" t="n">
        <v>26</v>
      </c>
      <c r="AL830" t="n">
        <v>1</v>
      </c>
      <c r="AM830" t="n">
        <v>1</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HYPERLINK("https://creighton-primo.hosted.exlibrisgroup.com/primo-explore/search?tab=default_tab&amp;search_scope=EVERYTHING&amp;vid=01CRU&amp;lang=en_US&amp;offset=0&amp;query=any,contains,991004038869702656","Catalog Record")</f>
        <v/>
      </c>
      <c r="AT830">
        <f>HYPERLINK("http://www.worldcat.org/oclc/2182077","WorldCat Record")</f>
        <v/>
      </c>
      <c r="AU830" t="inlineStr">
        <is>
          <t>352090437:eng</t>
        </is>
      </c>
      <c r="AV830" t="inlineStr">
        <is>
          <t>2182077</t>
        </is>
      </c>
      <c r="AW830" t="inlineStr">
        <is>
          <t>991004038869702656</t>
        </is>
      </c>
      <c r="AX830" t="inlineStr">
        <is>
          <t>991004038869702656</t>
        </is>
      </c>
      <c r="AY830" t="inlineStr">
        <is>
          <t>2260331870002656</t>
        </is>
      </c>
      <c r="AZ830" t="inlineStr">
        <is>
          <t>BOOK</t>
        </is>
      </c>
      <c r="BC830" t="inlineStr">
        <is>
          <t>32285000747484</t>
        </is>
      </c>
      <c r="BD830" t="inlineStr">
        <is>
          <t>893875607</t>
        </is>
      </c>
    </row>
    <row r="831">
      <c r="A831" t="inlineStr">
        <is>
          <t>No</t>
        </is>
      </c>
      <c r="B831" t="inlineStr">
        <is>
          <t>BT613 .C3</t>
        </is>
      </c>
      <c r="C831" t="inlineStr">
        <is>
          <t>0                      BT 0613000C  3</t>
        </is>
      </c>
      <c r="D831" t="inlineStr">
        <is>
          <t>Understanding the Mother of Jesus / Eamon R. Carroll.</t>
        </is>
      </c>
      <c r="F831" t="inlineStr">
        <is>
          <t>No</t>
        </is>
      </c>
      <c r="G831" t="inlineStr">
        <is>
          <t>1</t>
        </is>
      </c>
      <c r="H831" t="inlineStr">
        <is>
          <t>No</t>
        </is>
      </c>
      <c r="I831" t="inlineStr">
        <is>
          <t>No</t>
        </is>
      </c>
      <c r="J831" t="inlineStr">
        <is>
          <t>0</t>
        </is>
      </c>
      <c r="K831" t="inlineStr">
        <is>
          <t>Carroll, Eamon R.</t>
        </is>
      </c>
      <c r="L831" t="inlineStr">
        <is>
          <t>Wilmington, Del. : M. Glazier, 1979.</t>
        </is>
      </c>
      <c r="M831" t="inlineStr">
        <is>
          <t>1979</t>
        </is>
      </c>
      <c r="O831" t="inlineStr">
        <is>
          <t>eng</t>
        </is>
      </c>
      <c r="P831" t="inlineStr">
        <is>
          <t xml:space="preserve">xx </t>
        </is>
      </c>
      <c r="R831" t="inlineStr">
        <is>
          <t xml:space="preserve">BT </t>
        </is>
      </c>
      <c r="S831" t="n">
        <v>3</v>
      </c>
      <c r="T831" t="n">
        <v>3</v>
      </c>
      <c r="U831" t="inlineStr">
        <is>
          <t>2006-09-27</t>
        </is>
      </c>
      <c r="V831" t="inlineStr">
        <is>
          <t>2006-09-27</t>
        </is>
      </c>
      <c r="W831" t="inlineStr">
        <is>
          <t>1990-05-04</t>
        </is>
      </c>
      <c r="X831" t="inlineStr">
        <is>
          <t>1990-05-04</t>
        </is>
      </c>
      <c r="Y831" t="n">
        <v>90</v>
      </c>
      <c r="Z831" t="n">
        <v>67</v>
      </c>
      <c r="AA831" t="n">
        <v>67</v>
      </c>
      <c r="AB831" t="n">
        <v>1</v>
      </c>
      <c r="AC831" t="n">
        <v>1</v>
      </c>
      <c r="AD831" t="n">
        <v>12</v>
      </c>
      <c r="AE831" t="n">
        <v>12</v>
      </c>
      <c r="AF831" t="n">
        <v>2</v>
      </c>
      <c r="AG831" t="n">
        <v>2</v>
      </c>
      <c r="AH831" t="n">
        <v>3</v>
      </c>
      <c r="AI831" t="n">
        <v>3</v>
      </c>
      <c r="AJ831" t="n">
        <v>9</v>
      </c>
      <c r="AK831" t="n">
        <v>9</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HYPERLINK("https://creighton-primo.hosted.exlibrisgroup.com/primo-explore/search?tab=default_tab&amp;search_scope=EVERYTHING&amp;vid=01CRU&amp;lang=en_US&amp;offset=0&amp;query=any,contains,991004837299702656","Catalog Record")</f>
        <v/>
      </c>
      <c r="AT831">
        <f>HYPERLINK("http://www.worldcat.org/oclc/5459294","WorldCat Record")</f>
        <v/>
      </c>
      <c r="AU831" t="inlineStr">
        <is>
          <t>17331953:eng</t>
        </is>
      </c>
      <c r="AV831" t="inlineStr">
        <is>
          <t>5459294</t>
        </is>
      </c>
      <c r="AW831" t="inlineStr">
        <is>
          <t>991004837299702656</t>
        </is>
      </c>
      <c r="AX831" t="inlineStr">
        <is>
          <t>991004837299702656</t>
        </is>
      </c>
      <c r="AY831" t="inlineStr">
        <is>
          <t>2259213230002656</t>
        </is>
      </c>
      <c r="AZ831" t="inlineStr">
        <is>
          <t>BOOK</t>
        </is>
      </c>
      <c r="BB831" t="inlineStr">
        <is>
          <t>9780894531019</t>
        </is>
      </c>
      <c r="BC831" t="inlineStr">
        <is>
          <t>32285000149376</t>
        </is>
      </c>
      <c r="BD831" t="inlineStr">
        <is>
          <t>893883008</t>
        </is>
      </c>
    </row>
    <row r="832">
      <c r="A832" t="inlineStr">
        <is>
          <t>No</t>
        </is>
      </c>
      <c r="B832" t="inlineStr">
        <is>
          <t>BT613 .G73</t>
        </is>
      </c>
      <c r="C832" t="inlineStr">
        <is>
          <t>0                      BT 0613000G  73</t>
        </is>
      </c>
      <c r="D832" t="inlineStr">
        <is>
          <t>The Mary myth : on the femininity of God / Andrew M. Greeley.</t>
        </is>
      </c>
      <c r="F832" t="inlineStr">
        <is>
          <t>No</t>
        </is>
      </c>
      <c r="G832" t="inlineStr">
        <is>
          <t>1</t>
        </is>
      </c>
      <c r="H832" t="inlineStr">
        <is>
          <t>No</t>
        </is>
      </c>
      <c r="I832" t="inlineStr">
        <is>
          <t>No</t>
        </is>
      </c>
      <c r="J832" t="inlineStr">
        <is>
          <t>0</t>
        </is>
      </c>
      <c r="K832" t="inlineStr">
        <is>
          <t>Greeley, Andrew M., 1928-2013.</t>
        </is>
      </c>
      <c r="L832" t="inlineStr">
        <is>
          <t>New York : Seabury Press, 1977.</t>
        </is>
      </c>
      <c r="M832" t="inlineStr">
        <is>
          <t>1977</t>
        </is>
      </c>
      <c r="O832" t="inlineStr">
        <is>
          <t>eng</t>
        </is>
      </c>
      <c r="P832" t="inlineStr">
        <is>
          <t>nyu</t>
        </is>
      </c>
      <c r="R832" t="inlineStr">
        <is>
          <t xml:space="preserve">BT </t>
        </is>
      </c>
      <c r="S832" t="n">
        <v>8</v>
      </c>
      <c r="T832" t="n">
        <v>8</v>
      </c>
      <c r="U832" t="inlineStr">
        <is>
          <t>2005-04-04</t>
        </is>
      </c>
      <c r="V832" t="inlineStr">
        <is>
          <t>2005-04-04</t>
        </is>
      </c>
      <c r="W832" t="inlineStr">
        <is>
          <t>1991-09-17</t>
        </is>
      </c>
      <c r="X832" t="inlineStr">
        <is>
          <t>1991-09-17</t>
        </is>
      </c>
      <c r="Y832" t="n">
        <v>786</v>
      </c>
      <c r="Z832" t="n">
        <v>687</v>
      </c>
      <c r="AA832" t="n">
        <v>692</v>
      </c>
      <c r="AB832" t="n">
        <v>4</v>
      </c>
      <c r="AC832" t="n">
        <v>4</v>
      </c>
      <c r="AD832" t="n">
        <v>32</v>
      </c>
      <c r="AE832" t="n">
        <v>32</v>
      </c>
      <c r="AF832" t="n">
        <v>10</v>
      </c>
      <c r="AG832" t="n">
        <v>10</v>
      </c>
      <c r="AH832" t="n">
        <v>9</v>
      </c>
      <c r="AI832" t="n">
        <v>9</v>
      </c>
      <c r="AJ832" t="n">
        <v>18</v>
      </c>
      <c r="AK832" t="n">
        <v>18</v>
      </c>
      <c r="AL832" t="n">
        <v>3</v>
      </c>
      <c r="AM832" t="n">
        <v>3</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HYPERLINK("https://creighton-primo.hosted.exlibrisgroup.com/primo-explore/search?tab=default_tab&amp;search_scope=EVERYTHING&amp;vid=01CRU&amp;lang=en_US&amp;offset=0&amp;query=any,contains,991004176299702656","Catalog Record")</f>
        <v/>
      </c>
      <c r="AT832">
        <f>HYPERLINK("http://www.worldcat.org/oclc/2597172","WorldCat Record")</f>
        <v/>
      </c>
      <c r="AU832" t="inlineStr">
        <is>
          <t>898718394:eng</t>
        </is>
      </c>
      <c r="AV832" t="inlineStr">
        <is>
          <t>2597172</t>
        </is>
      </c>
      <c r="AW832" t="inlineStr">
        <is>
          <t>991004176299702656</t>
        </is>
      </c>
      <c r="AX832" t="inlineStr">
        <is>
          <t>991004176299702656</t>
        </is>
      </c>
      <c r="AY832" t="inlineStr">
        <is>
          <t>2268716790002656</t>
        </is>
      </c>
      <c r="AZ832" t="inlineStr">
        <is>
          <t>BOOK</t>
        </is>
      </c>
      <c r="BB832" t="inlineStr">
        <is>
          <t>9780816403332</t>
        </is>
      </c>
      <c r="BC832" t="inlineStr">
        <is>
          <t>32285000747492</t>
        </is>
      </c>
      <c r="BD832" t="inlineStr">
        <is>
          <t>893532074</t>
        </is>
      </c>
    </row>
    <row r="833">
      <c r="A833" t="inlineStr">
        <is>
          <t>No</t>
        </is>
      </c>
      <c r="B833" t="inlineStr">
        <is>
          <t>BT613 .N43 1954</t>
        </is>
      </c>
      <c r="C833" t="inlineStr">
        <is>
          <t>0                      BT 0613000N  43          1954</t>
        </is>
      </c>
      <c r="D833" t="inlineStr">
        <is>
          <t>Mary in doctrine / Emil Neubert.</t>
        </is>
      </c>
      <c r="F833" t="inlineStr">
        <is>
          <t>No</t>
        </is>
      </c>
      <c r="G833" t="inlineStr">
        <is>
          <t>1</t>
        </is>
      </c>
      <c r="H833" t="inlineStr">
        <is>
          <t>No</t>
        </is>
      </c>
      <c r="I833" t="inlineStr">
        <is>
          <t>No</t>
        </is>
      </c>
      <c r="J833" t="inlineStr">
        <is>
          <t>0</t>
        </is>
      </c>
      <c r="K833" t="inlineStr">
        <is>
          <t>Neubert, E. (Emile), 1878-1967.</t>
        </is>
      </c>
      <c r="L833" t="inlineStr">
        <is>
          <t>Milwaukee : Bruce, [1954]</t>
        </is>
      </c>
      <c r="M833" t="inlineStr">
        <is>
          <t>1954</t>
        </is>
      </c>
      <c r="O833" t="inlineStr">
        <is>
          <t>eng</t>
        </is>
      </c>
      <c r="P833" t="inlineStr">
        <is>
          <t>___</t>
        </is>
      </c>
      <c r="R833" t="inlineStr">
        <is>
          <t xml:space="preserve">BT </t>
        </is>
      </c>
      <c r="S833" t="n">
        <v>4</v>
      </c>
      <c r="T833" t="n">
        <v>4</v>
      </c>
      <c r="U833" t="inlineStr">
        <is>
          <t>1999-11-03</t>
        </is>
      </c>
      <c r="V833" t="inlineStr">
        <is>
          <t>1999-11-03</t>
        </is>
      </c>
      <c r="W833" t="inlineStr">
        <is>
          <t>1991-09-19</t>
        </is>
      </c>
      <c r="X833" t="inlineStr">
        <is>
          <t>1991-09-19</t>
        </is>
      </c>
      <c r="Y833" t="n">
        <v>138</v>
      </c>
      <c r="Z833" t="n">
        <v>129</v>
      </c>
      <c r="AA833" t="n">
        <v>134</v>
      </c>
      <c r="AB833" t="n">
        <v>3</v>
      </c>
      <c r="AC833" t="n">
        <v>3</v>
      </c>
      <c r="AD833" t="n">
        <v>22</v>
      </c>
      <c r="AE833" t="n">
        <v>23</v>
      </c>
      <c r="AF833" t="n">
        <v>3</v>
      </c>
      <c r="AG833" t="n">
        <v>4</v>
      </c>
      <c r="AH833" t="n">
        <v>6</v>
      </c>
      <c r="AI833" t="n">
        <v>6</v>
      </c>
      <c r="AJ833" t="n">
        <v>16</v>
      </c>
      <c r="AK833" t="n">
        <v>16</v>
      </c>
      <c r="AL833" t="n">
        <v>1</v>
      </c>
      <c r="AM833" t="n">
        <v>1</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HYPERLINK("https://creighton-primo.hosted.exlibrisgroup.com/primo-explore/search?tab=default_tab&amp;search_scope=EVERYTHING&amp;vid=01CRU&amp;lang=en_US&amp;offset=0&amp;query=any,contains,991002284739702656","Catalog Record")</f>
        <v/>
      </c>
      <c r="AT833">
        <f>HYPERLINK("http://www.worldcat.org/oclc/311257","WorldCat Record")</f>
        <v/>
      </c>
      <c r="AU833" t="inlineStr">
        <is>
          <t>1372369:eng</t>
        </is>
      </c>
      <c r="AV833" t="inlineStr">
        <is>
          <t>311257</t>
        </is>
      </c>
      <c r="AW833" t="inlineStr">
        <is>
          <t>991002284739702656</t>
        </is>
      </c>
      <c r="AX833" t="inlineStr">
        <is>
          <t>991002284739702656</t>
        </is>
      </c>
      <c r="AY833" t="inlineStr">
        <is>
          <t>2272382740002656</t>
        </is>
      </c>
      <c r="AZ833" t="inlineStr">
        <is>
          <t>BOOK</t>
        </is>
      </c>
      <c r="BC833" t="inlineStr">
        <is>
          <t>32285000748235</t>
        </is>
      </c>
      <c r="BD833" t="inlineStr">
        <is>
          <t>893439988</t>
        </is>
      </c>
    </row>
    <row r="834">
      <c r="A834" t="inlineStr">
        <is>
          <t>No</t>
        </is>
      </c>
      <c r="B834" t="inlineStr">
        <is>
          <t>BT613 .R3913 1983</t>
        </is>
      </c>
      <c r="C834" t="inlineStr">
        <is>
          <t>0                      BT 0613000R  3913        1983</t>
        </is>
      </c>
      <c r="D834" t="inlineStr">
        <is>
          <t>Daughter Zion : meditations on the church's Marian belief / Joseph Ratzinger ; translated by John M. McDermott.</t>
        </is>
      </c>
      <c r="F834" t="inlineStr">
        <is>
          <t>No</t>
        </is>
      </c>
      <c r="G834" t="inlineStr">
        <is>
          <t>1</t>
        </is>
      </c>
      <c r="H834" t="inlineStr">
        <is>
          <t>No</t>
        </is>
      </c>
      <c r="I834" t="inlineStr">
        <is>
          <t>No</t>
        </is>
      </c>
      <c r="J834" t="inlineStr">
        <is>
          <t>0</t>
        </is>
      </c>
      <c r="K834" t="inlineStr">
        <is>
          <t>Benedict XVI, Pope, 1927-</t>
        </is>
      </c>
      <c r="L834" t="inlineStr">
        <is>
          <t>San Francisco : Ignatius Press, c1983.</t>
        </is>
      </c>
      <c r="M834" t="inlineStr">
        <is>
          <t>1983</t>
        </is>
      </c>
      <c r="O834" t="inlineStr">
        <is>
          <t>eng</t>
        </is>
      </c>
      <c r="P834" t="inlineStr">
        <is>
          <t>cau</t>
        </is>
      </c>
      <c r="R834" t="inlineStr">
        <is>
          <t xml:space="preserve">BT </t>
        </is>
      </c>
      <c r="S834" t="n">
        <v>4</v>
      </c>
      <c r="T834" t="n">
        <v>4</v>
      </c>
      <c r="U834" t="inlineStr">
        <is>
          <t>2008-07-09</t>
        </is>
      </c>
      <c r="V834" t="inlineStr">
        <is>
          <t>2008-07-09</t>
        </is>
      </c>
      <c r="W834" t="inlineStr">
        <is>
          <t>1991-09-17</t>
        </is>
      </c>
      <c r="X834" t="inlineStr">
        <is>
          <t>1991-09-17</t>
        </is>
      </c>
      <c r="Y834" t="n">
        <v>188</v>
      </c>
      <c r="Z834" t="n">
        <v>151</v>
      </c>
      <c r="AA834" t="n">
        <v>152</v>
      </c>
      <c r="AB834" t="n">
        <v>3</v>
      </c>
      <c r="AC834" t="n">
        <v>3</v>
      </c>
      <c r="AD834" t="n">
        <v>18</v>
      </c>
      <c r="AE834" t="n">
        <v>18</v>
      </c>
      <c r="AF834" t="n">
        <v>7</v>
      </c>
      <c r="AG834" t="n">
        <v>7</v>
      </c>
      <c r="AH834" t="n">
        <v>3</v>
      </c>
      <c r="AI834" t="n">
        <v>3</v>
      </c>
      <c r="AJ834" t="n">
        <v>15</v>
      </c>
      <c r="AK834" t="n">
        <v>15</v>
      </c>
      <c r="AL834" t="n">
        <v>0</v>
      </c>
      <c r="AM834" t="n">
        <v>0</v>
      </c>
      <c r="AN834" t="n">
        <v>0</v>
      </c>
      <c r="AO834" t="n">
        <v>0</v>
      </c>
      <c r="AP834" t="inlineStr">
        <is>
          <t>No</t>
        </is>
      </c>
      <c r="AQ834" t="inlineStr">
        <is>
          <t>Yes</t>
        </is>
      </c>
      <c r="AR834">
        <f>HYPERLINK("http://catalog.hathitrust.org/Record/002197789","HathiTrust Record")</f>
        <v/>
      </c>
      <c r="AS834">
        <f>HYPERLINK("https://creighton-primo.hosted.exlibrisgroup.com/primo-explore/search?tab=default_tab&amp;search_scope=EVERYTHING&amp;vid=01CRU&amp;lang=en_US&amp;offset=0&amp;query=any,contains,991000268079702656","Catalog Record")</f>
        <v/>
      </c>
      <c r="AT834">
        <f>HYPERLINK("http://www.worldcat.org/oclc/9848380","WorldCat Record")</f>
        <v/>
      </c>
      <c r="AU834" t="inlineStr">
        <is>
          <t>2908997389:eng</t>
        </is>
      </c>
      <c r="AV834" t="inlineStr">
        <is>
          <t>9848380</t>
        </is>
      </c>
      <c r="AW834" t="inlineStr">
        <is>
          <t>991000268079702656</t>
        </is>
      </c>
      <c r="AX834" t="inlineStr">
        <is>
          <t>991000268079702656</t>
        </is>
      </c>
      <c r="AY834" t="inlineStr">
        <is>
          <t>2255835070002656</t>
        </is>
      </c>
      <c r="AZ834" t="inlineStr">
        <is>
          <t>BOOK</t>
        </is>
      </c>
      <c r="BB834" t="inlineStr">
        <is>
          <t>9780898700268</t>
        </is>
      </c>
      <c r="BC834" t="inlineStr">
        <is>
          <t>32285000747542</t>
        </is>
      </c>
      <c r="BD834" t="inlineStr">
        <is>
          <t>893502374</t>
        </is>
      </c>
    </row>
    <row r="835">
      <c r="A835" t="inlineStr">
        <is>
          <t>No</t>
        </is>
      </c>
      <c r="B835" t="inlineStr">
        <is>
          <t>BT613 .S83 1954</t>
        </is>
      </c>
      <c r="C835" t="inlineStr">
        <is>
          <t>0                      BT 0613000S  83          1954</t>
        </is>
      </c>
      <c r="D835" t="inlineStr">
        <is>
          <t>The dignity and virginity of the Mother of God : disputations I, V, VI from The mysteries of the life of Christ / by Francis Suarez ; translated by Richard J. O'Brien.</t>
        </is>
      </c>
      <c r="F835" t="inlineStr">
        <is>
          <t>No</t>
        </is>
      </c>
      <c r="G835" t="inlineStr">
        <is>
          <t>1</t>
        </is>
      </c>
      <c r="H835" t="inlineStr">
        <is>
          <t>No</t>
        </is>
      </c>
      <c r="I835" t="inlineStr">
        <is>
          <t>No</t>
        </is>
      </c>
      <c r="J835" t="inlineStr">
        <is>
          <t>0</t>
        </is>
      </c>
      <c r="K835" t="inlineStr">
        <is>
          <t>Suárez, Francisco, 1548-1617.</t>
        </is>
      </c>
      <c r="L835" t="inlineStr">
        <is>
          <t>West Baden Springs, Ind. : West Baden College, [1954]</t>
        </is>
      </c>
      <c r="M835" t="inlineStr">
        <is>
          <t>1954</t>
        </is>
      </c>
      <c r="O835" t="inlineStr">
        <is>
          <t>eng</t>
        </is>
      </c>
      <c r="P835" t="inlineStr">
        <is>
          <t>inu</t>
        </is>
      </c>
      <c r="Q835" t="inlineStr">
        <is>
          <t>West Baden readings in philosophy and theology</t>
        </is>
      </c>
      <c r="R835" t="inlineStr">
        <is>
          <t xml:space="preserve">BT </t>
        </is>
      </c>
      <c r="S835" t="n">
        <v>6</v>
      </c>
      <c r="T835" t="n">
        <v>6</v>
      </c>
      <c r="U835" t="inlineStr">
        <is>
          <t>1999-11-24</t>
        </is>
      </c>
      <c r="V835" t="inlineStr">
        <is>
          <t>1999-11-24</t>
        </is>
      </c>
      <c r="W835" t="inlineStr">
        <is>
          <t>1991-09-19</t>
        </is>
      </c>
      <c r="X835" t="inlineStr">
        <is>
          <t>1991-09-19</t>
        </is>
      </c>
      <c r="Y835" t="n">
        <v>79</v>
      </c>
      <c r="Z835" t="n">
        <v>77</v>
      </c>
      <c r="AA835" t="n">
        <v>79</v>
      </c>
      <c r="AB835" t="n">
        <v>2</v>
      </c>
      <c r="AC835" t="n">
        <v>2</v>
      </c>
      <c r="AD835" t="n">
        <v>21</v>
      </c>
      <c r="AE835" t="n">
        <v>21</v>
      </c>
      <c r="AF835" t="n">
        <v>4</v>
      </c>
      <c r="AG835" t="n">
        <v>4</v>
      </c>
      <c r="AH835" t="n">
        <v>4</v>
      </c>
      <c r="AI835" t="n">
        <v>4</v>
      </c>
      <c r="AJ835" t="n">
        <v>18</v>
      </c>
      <c r="AK835" t="n">
        <v>18</v>
      </c>
      <c r="AL835" t="n">
        <v>1</v>
      </c>
      <c r="AM835" t="n">
        <v>1</v>
      </c>
      <c r="AN835" t="n">
        <v>0</v>
      </c>
      <c r="AO835" t="n">
        <v>0</v>
      </c>
      <c r="AP835" t="inlineStr">
        <is>
          <t>No</t>
        </is>
      </c>
      <c r="AQ835" t="inlineStr">
        <is>
          <t>No</t>
        </is>
      </c>
      <c r="AR835">
        <f>HYPERLINK("http://catalog.hathitrust.org/Record/102580554","HathiTrust Record")</f>
        <v/>
      </c>
      <c r="AS835">
        <f>HYPERLINK("https://creighton-primo.hosted.exlibrisgroup.com/primo-explore/search?tab=default_tab&amp;search_scope=EVERYTHING&amp;vid=01CRU&amp;lang=en_US&amp;offset=0&amp;query=any,contains,991003798589702656","Catalog Record")</f>
        <v/>
      </c>
      <c r="AT835">
        <f>HYPERLINK("http://www.worldcat.org/oclc/1524156","WorldCat Record")</f>
        <v/>
      </c>
      <c r="AU835" t="inlineStr">
        <is>
          <t>1780639463:eng</t>
        </is>
      </c>
      <c r="AV835" t="inlineStr">
        <is>
          <t>1524156</t>
        </is>
      </c>
      <c r="AW835" t="inlineStr">
        <is>
          <t>991003798589702656</t>
        </is>
      </c>
      <c r="AX835" t="inlineStr">
        <is>
          <t>991003798589702656</t>
        </is>
      </c>
      <c r="AY835" t="inlineStr">
        <is>
          <t>2267748170002656</t>
        </is>
      </c>
      <c r="AZ835" t="inlineStr">
        <is>
          <t>BOOK</t>
        </is>
      </c>
      <c r="BC835" t="inlineStr">
        <is>
          <t>32285000748243</t>
        </is>
      </c>
      <c r="BD835" t="inlineStr">
        <is>
          <t>893512367</t>
        </is>
      </c>
    </row>
    <row r="836">
      <c r="A836" t="inlineStr">
        <is>
          <t>No</t>
        </is>
      </c>
      <c r="B836" t="inlineStr">
        <is>
          <t>BT613 .W54 1938</t>
        </is>
      </c>
      <c r="C836" t="inlineStr">
        <is>
          <t>0                      BT 0613000W  54          1938</t>
        </is>
      </c>
      <c r="D836" t="inlineStr">
        <is>
          <t>Mary the mother of Jesus / by Reverend Franz Michel Willam, translated by Reverend Frederic Eckhoff.</t>
        </is>
      </c>
      <c r="F836" t="inlineStr">
        <is>
          <t>No</t>
        </is>
      </c>
      <c r="G836" t="inlineStr">
        <is>
          <t>1</t>
        </is>
      </c>
      <c r="H836" t="inlineStr">
        <is>
          <t>No</t>
        </is>
      </c>
      <c r="I836" t="inlineStr">
        <is>
          <t>No</t>
        </is>
      </c>
      <c r="J836" t="inlineStr">
        <is>
          <t>0</t>
        </is>
      </c>
      <c r="K836" t="inlineStr">
        <is>
          <t>Willam, Franz Michel, 1894-</t>
        </is>
      </c>
      <c r="L836" t="inlineStr">
        <is>
          <t>St. Louis, Mo. ; London : B. Herder book co., 1938, 1946 printing.</t>
        </is>
      </c>
      <c r="M836" t="inlineStr">
        <is>
          <t>1938</t>
        </is>
      </c>
      <c r="O836" t="inlineStr">
        <is>
          <t>eng</t>
        </is>
      </c>
      <c r="P836" t="inlineStr">
        <is>
          <t>___</t>
        </is>
      </c>
      <c r="R836" t="inlineStr">
        <is>
          <t xml:space="preserve">BT </t>
        </is>
      </c>
      <c r="S836" t="n">
        <v>3</v>
      </c>
      <c r="T836" t="n">
        <v>3</v>
      </c>
      <c r="U836" t="inlineStr">
        <is>
          <t>1998-10-05</t>
        </is>
      </c>
      <c r="V836" t="inlineStr">
        <is>
          <t>1998-10-05</t>
        </is>
      </c>
      <c r="W836" t="inlineStr">
        <is>
          <t>1991-09-17</t>
        </is>
      </c>
      <c r="X836" t="inlineStr">
        <is>
          <t>1991-09-17</t>
        </is>
      </c>
      <c r="Y836" t="n">
        <v>106</v>
      </c>
      <c r="Z836" t="n">
        <v>90</v>
      </c>
      <c r="AA836" t="n">
        <v>121</v>
      </c>
      <c r="AB836" t="n">
        <v>2</v>
      </c>
      <c r="AC836" t="n">
        <v>2</v>
      </c>
      <c r="AD836" t="n">
        <v>15</v>
      </c>
      <c r="AE836" t="n">
        <v>20</v>
      </c>
      <c r="AF836" t="n">
        <v>2</v>
      </c>
      <c r="AG836" t="n">
        <v>5</v>
      </c>
      <c r="AH836" t="n">
        <v>6</v>
      </c>
      <c r="AI836" t="n">
        <v>7</v>
      </c>
      <c r="AJ836" t="n">
        <v>11</v>
      </c>
      <c r="AK836" t="n">
        <v>16</v>
      </c>
      <c r="AL836" t="n">
        <v>0</v>
      </c>
      <c r="AM836" t="n">
        <v>0</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HYPERLINK("https://creighton-primo.hosted.exlibrisgroup.com/primo-explore/search?tab=default_tab&amp;search_scope=EVERYTHING&amp;vid=01CRU&amp;lang=en_US&amp;offset=0&amp;query=any,contains,991003793629702656","Catalog Record")</f>
        <v/>
      </c>
      <c r="AT836">
        <f>HYPERLINK("http://www.worldcat.org/oclc/1513630","WorldCat Record")</f>
        <v/>
      </c>
      <c r="AU836" t="inlineStr">
        <is>
          <t>505642369:eng</t>
        </is>
      </c>
      <c r="AV836" t="inlineStr">
        <is>
          <t>1513630</t>
        </is>
      </c>
      <c r="AW836" t="inlineStr">
        <is>
          <t>991003793629702656</t>
        </is>
      </c>
      <c r="AX836" t="inlineStr">
        <is>
          <t>991003793629702656</t>
        </is>
      </c>
      <c r="AY836" t="inlineStr">
        <is>
          <t>2258322570002656</t>
        </is>
      </c>
      <c r="AZ836" t="inlineStr">
        <is>
          <t>BOOK</t>
        </is>
      </c>
      <c r="BC836" t="inlineStr">
        <is>
          <t>32285000747583</t>
        </is>
      </c>
      <c r="BD836" t="inlineStr">
        <is>
          <t>893605209</t>
        </is>
      </c>
    </row>
    <row r="837">
      <c r="A837" t="inlineStr">
        <is>
          <t>No</t>
        </is>
      </c>
      <c r="B837" t="inlineStr">
        <is>
          <t>BT620 .B76 1973</t>
        </is>
      </c>
      <c r="C837" t="inlineStr">
        <is>
          <t>0                      BT 0620000B  76          1973</t>
        </is>
      </c>
      <c r="D837" t="inlineStr">
        <is>
          <t>The virginal conception and bodily resurrection of Jesus / by Raymond E. Brown.</t>
        </is>
      </c>
      <c r="F837" t="inlineStr">
        <is>
          <t>No</t>
        </is>
      </c>
      <c r="G837" t="inlineStr">
        <is>
          <t>1</t>
        </is>
      </c>
      <c r="H837" t="inlineStr">
        <is>
          <t>No</t>
        </is>
      </c>
      <c r="I837" t="inlineStr">
        <is>
          <t>No</t>
        </is>
      </c>
      <c r="J837" t="inlineStr">
        <is>
          <t>0</t>
        </is>
      </c>
      <c r="K837" t="inlineStr">
        <is>
          <t>Brown, Raymond E. (Raymond Edward), 1928-1998.</t>
        </is>
      </c>
      <c r="L837" t="inlineStr">
        <is>
          <t>New York : Paulist Press, [1973]</t>
        </is>
      </c>
      <c r="M837" t="inlineStr">
        <is>
          <t>1973</t>
        </is>
      </c>
      <c r="O837" t="inlineStr">
        <is>
          <t>eng</t>
        </is>
      </c>
      <c r="P837" t="inlineStr">
        <is>
          <t>nyu</t>
        </is>
      </c>
      <c r="R837" t="inlineStr">
        <is>
          <t xml:space="preserve">BT </t>
        </is>
      </c>
      <c r="S837" t="n">
        <v>9</v>
      </c>
      <c r="T837" t="n">
        <v>9</v>
      </c>
      <c r="U837" t="inlineStr">
        <is>
          <t>2009-11-17</t>
        </is>
      </c>
      <c r="V837" t="inlineStr">
        <is>
          <t>2009-11-17</t>
        </is>
      </c>
      <c r="W837" t="inlineStr">
        <is>
          <t>1991-09-19</t>
        </is>
      </c>
      <c r="X837" t="inlineStr">
        <is>
          <t>1991-09-19</t>
        </is>
      </c>
      <c r="Y837" t="n">
        <v>773</v>
      </c>
      <c r="Z837" t="n">
        <v>665</v>
      </c>
      <c r="AA837" t="n">
        <v>677</v>
      </c>
      <c r="AB837" t="n">
        <v>5</v>
      </c>
      <c r="AC837" t="n">
        <v>5</v>
      </c>
      <c r="AD837" t="n">
        <v>44</v>
      </c>
      <c r="AE837" t="n">
        <v>44</v>
      </c>
      <c r="AF837" t="n">
        <v>20</v>
      </c>
      <c r="AG837" t="n">
        <v>20</v>
      </c>
      <c r="AH837" t="n">
        <v>8</v>
      </c>
      <c r="AI837" t="n">
        <v>8</v>
      </c>
      <c r="AJ837" t="n">
        <v>26</v>
      </c>
      <c r="AK837" t="n">
        <v>26</v>
      </c>
      <c r="AL837" t="n">
        <v>3</v>
      </c>
      <c r="AM837" t="n">
        <v>3</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HYPERLINK("https://creighton-primo.hosted.exlibrisgroup.com/primo-explore/search?tab=default_tab&amp;search_scope=EVERYTHING&amp;vid=01CRU&amp;lang=en_US&amp;offset=0&amp;query=any,contains,991003068909702656","Catalog Record")</f>
        <v/>
      </c>
      <c r="AT837">
        <f>HYPERLINK("http://www.worldcat.org/oclc/623555","WorldCat Record")</f>
        <v/>
      </c>
      <c r="AU837" t="inlineStr">
        <is>
          <t>466080:eng</t>
        </is>
      </c>
      <c r="AV837" t="inlineStr">
        <is>
          <t>623555</t>
        </is>
      </c>
      <c r="AW837" t="inlineStr">
        <is>
          <t>991003068909702656</t>
        </is>
      </c>
      <c r="AX837" t="inlineStr">
        <is>
          <t>991003068909702656</t>
        </is>
      </c>
      <c r="AY837" t="inlineStr">
        <is>
          <t>2255786060002656</t>
        </is>
      </c>
      <c r="AZ837" t="inlineStr">
        <is>
          <t>BOOK</t>
        </is>
      </c>
      <c r="BB837" t="inlineStr">
        <is>
          <t>9780809117680</t>
        </is>
      </c>
      <c r="BC837" t="inlineStr">
        <is>
          <t>32285000748292</t>
        </is>
      </c>
      <c r="BD837" t="inlineStr">
        <is>
          <t>893329924</t>
        </is>
      </c>
    </row>
    <row r="838">
      <c r="A838" t="inlineStr">
        <is>
          <t>No</t>
        </is>
      </c>
      <c r="B838" t="inlineStr">
        <is>
          <t>BT620 .C4 1855</t>
        </is>
      </c>
      <c r="C838" t="inlineStr">
        <is>
          <t>0                      BT 0620000C  4           1855</t>
        </is>
      </c>
      <c r="D838" t="inlineStr">
        <is>
          <t>Official documents connected with the definition of the dogma of the Immaculate Conception of the Blessed Virgin Mary / in Latin and English. With a complete list of the cardinals and prelates present in the Basilica of St. Peter, the 8th December, 1854.</t>
        </is>
      </c>
      <c r="F838" t="inlineStr">
        <is>
          <t>No</t>
        </is>
      </c>
      <c r="G838" t="inlineStr">
        <is>
          <t>1</t>
        </is>
      </c>
      <c r="H838" t="inlineStr">
        <is>
          <t>No</t>
        </is>
      </c>
      <c r="I838" t="inlineStr">
        <is>
          <t>No</t>
        </is>
      </c>
      <c r="J838" t="inlineStr">
        <is>
          <t>0</t>
        </is>
      </c>
      <c r="K838" t="inlineStr">
        <is>
          <t>Catholic Church. Pope (1846-1878 : Pius IX).</t>
        </is>
      </c>
      <c r="L838" t="inlineStr">
        <is>
          <t>Baltimore : John Murphy, 1855.</t>
        </is>
      </c>
      <c r="M838" t="inlineStr">
        <is>
          <t>1855</t>
        </is>
      </c>
      <c r="O838" t="inlineStr">
        <is>
          <t>eng</t>
        </is>
      </c>
      <c r="P838" t="inlineStr">
        <is>
          <t xml:space="preserve">xx </t>
        </is>
      </c>
      <c r="R838" t="inlineStr">
        <is>
          <t xml:space="preserve">BT </t>
        </is>
      </c>
      <c r="S838" t="n">
        <v>9</v>
      </c>
      <c r="T838" t="n">
        <v>9</v>
      </c>
      <c r="U838" t="inlineStr">
        <is>
          <t>1999-11-30</t>
        </is>
      </c>
      <c r="V838" t="inlineStr">
        <is>
          <t>1999-11-30</t>
        </is>
      </c>
      <c r="W838" t="inlineStr">
        <is>
          <t>1991-09-17</t>
        </is>
      </c>
      <c r="X838" t="inlineStr">
        <is>
          <t>1991-09-17</t>
        </is>
      </c>
      <c r="Y838" t="n">
        <v>38</v>
      </c>
      <c r="Z838" t="n">
        <v>37</v>
      </c>
      <c r="AA838" t="n">
        <v>52</v>
      </c>
      <c r="AB838" t="n">
        <v>1</v>
      </c>
      <c r="AC838" t="n">
        <v>1</v>
      </c>
      <c r="AD838" t="n">
        <v>8</v>
      </c>
      <c r="AE838" t="n">
        <v>8</v>
      </c>
      <c r="AF838" t="n">
        <v>3</v>
      </c>
      <c r="AG838" t="n">
        <v>3</v>
      </c>
      <c r="AH838" t="n">
        <v>3</v>
      </c>
      <c r="AI838" t="n">
        <v>3</v>
      </c>
      <c r="AJ838" t="n">
        <v>5</v>
      </c>
      <c r="AK838" t="n">
        <v>5</v>
      </c>
      <c r="AL838" t="n">
        <v>0</v>
      </c>
      <c r="AM838" t="n">
        <v>0</v>
      </c>
      <c r="AN838" t="n">
        <v>0</v>
      </c>
      <c r="AO838" t="n">
        <v>0</v>
      </c>
      <c r="AP838" t="inlineStr">
        <is>
          <t>Yes</t>
        </is>
      </c>
      <c r="AQ838" t="inlineStr">
        <is>
          <t>No</t>
        </is>
      </c>
      <c r="AR838">
        <f>HYPERLINK("http://catalog.hathitrust.org/Record/008625731","HathiTrust Record")</f>
        <v/>
      </c>
      <c r="AS838">
        <f>HYPERLINK("https://creighton-primo.hosted.exlibrisgroup.com/primo-explore/search?tab=default_tab&amp;search_scope=EVERYTHING&amp;vid=01CRU&amp;lang=en_US&amp;offset=0&amp;query=any,contains,991003413149702656","Catalog Record")</f>
        <v/>
      </c>
      <c r="AT838">
        <f>HYPERLINK("http://www.worldcat.org/oclc/951579","WorldCat Record")</f>
        <v/>
      </c>
      <c r="AU838" t="inlineStr">
        <is>
          <t>1893591:eng</t>
        </is>
      </c>
      <c r="AV838" t="inlineStr">
        <is>
          <t>951579</t>
        </is>
      </c>
      <c r="AW838" t="inlineStr">
        <is>
          <t>991003413149702656</t>
        </is>
      </c>
      <c r="AX838" t="inlineStr">
        <is>
          <t>991003413149702656</t>
        </is>
      </c>
      <c r="AY838" t="inlineStr">
        <is>
          <t>2263916630002656</t>
        </is>
      </c>
      <c r="AZ838" t="inlineStr">
        <is>
          <t>BOOK</t>
        </is>
      </c>
      <c r="BC838" t="inlineStr">
        <is>
          <t>32285000747617</t>
        </is>
      </c>
      <c r="BD838" t="inlineStr">
        <is>
          <t>893705203</t>
        </is>
      </c>
    </row>
    <row r="839">
      <c r="A839" t="inlineStr">
        <is>
          <t>No</t>
        </is>
      </c>
      <c r="B839" t="inlineStr">
        <is>
          <t>BT620 .M3 1954</t>
        </is>
      </c>
      <c r="C839" t="inlineStr">
        <is>
          <t>0                      BT 0620000M  3           1954</t>
        </is>
      </c>
      <c r="D839" t="inlineStr">
        <is>
          <t>The promised woman : an anthology of the Immaculate Conception / edited by Stanley G. Mathews.</t>
        </is>
      </c>
      <c r="F839" t="inlineStr">
        <is>
          <t>No</t>
        </is>
      </c>
      <c r="G839" t="inlineStr">
        <is>
          <t>1</t>
        </is>
      </c>
      <c r="H839" t="inlineStr">
        <is>
          <t>No</t>
        </is>
      </c>
      <c r="I839" t="inlineStr">
        <is>
          <t>No</t>
        </is>
      </c>
      <c r="J839" t="inlineStr">
        <is>
          <t>0</t>
        </is>
      </c>
      <c r="K839" t="inlineStr">
        <is>
          <t>Mathews, Stanley G., editor.</t>
        </is>
      </c>
      <c r="L839" t="inlineStr">
        <is>
          <t>St. Meinrad, Ind. : Grail, [1954]</t>
        </is>
      </c>
      <c r="M839" t="inlineStr">
        <is>
          <t>1954</t>
        </is>
      </c>
      <c r="O839" t="inlineStr">
        <is>
          <t>eng</t>
        </is>
      </c>
      <c r="P839" t="inlineStr">
        <is>
          <t>___</t>
        </is>
      </c>
      <c r="R839" t="inlineStr">
        <is>
          <t xml:space="preserve">BT </t>
        </is>
      </c>
      <c r="S839" t="n">
        <v>7</v>
      </c>
      <c r="T839" t="n">
        <v>7</v>
      </c>
      <c r="U839" t="inlineStr">
        <is>
          <t>2004-02-11</t>
        </is>
      </c>
      <c r="V839" t="inlineStr">
        <is>
          <t>2004-02-11</t>
        </is>
      </c>
      <c r="W839" t="inlineStr">
        <is>
          <t>1991-09-17</t>
        </is>
      </c>
      <c r="X839" t="inlineStr">
        <is>
          <t>1991-09-17</t>
        </is>
      </c>
      <c r="Y839" t="n">
        <v>124</v>
      </c>
      <c r="Z839" t="n">
        <v>119</v>
      </c>
      <c r="AA839" t="n">
        <v>126</v>
      </c>
      <c r="AB839" t="n">
        <v>2</v>
      </c>
      <c r="AC839" t="n">
        <v>2</v>
      </c>
      <c r="AD839" t="n">
        <v>20</v>
      </c>
      <c r="AE839" t="n">
        <v>20</v>
      </c>
      <c r="AF839" t="n">
        <v>4</v>
      </c>
      <c r="AG839" t="n">
        <v>4</v>
      </c>
      <c r="AH839" t="n">
        <v>7</v>
      </c>
      <c r="AI839" t="n">
        <v>7</v>
      </c>
      <c r="AJ839" t="n">
        <v>16</v>
      </c>
      <c r="AK839" t="n">
        <v>16</v>
      </c>
      <c r="AL839" t="n">
        <v>0</v>
      </c>
      <c r="AM839" t="n">
        <v>0</v>
      </c>
      <c r="AN839" t="n">
        <v>0</v>
      </c>
      <c r="AO839" t="n">
        <v>0</v>
      </c>
      <c r="AP839" t="inlineStr">
        <is>
          <t>No</t>
        </is>
      </c>
      <c r="AQ839" t="inlineStr">
        <is>
          <t>No</t>
        </is>
      </c>
      <c r="AR839">
        <f>HYPERLINK("http://catalog.hathitrust.org/Record/102580553","HathiTrust Record")</f>
        <v/>
      </c>
      <c r="AS839">
        <f>HYPERLINK("https://creighton-primo.hosted.exlibrisgroup.com/primo-explore/search?tab=default_tab&amp;search_scope=EVERYTHING&amp;vid=01CRU&amp;lang=en_US&amp;offset=0&amp;query=any,contains,991003574529702656","Catalog Record")</f>
        <v/>
      </c>
      <c r="AT839">
        <f>HYPERLINK("http://www.worldcat.org/oclc/7818876","WorldCat Record")</f>
        <v/>
      </c>
      <c r="AU839" t="inlineStr">
        <is>
          <t>29497987:eng</t>
        </is>
      </c>
      <c r="AV839" t="inlineStr">
        <is>
          <t>7818876</t>
        </is>
      </c>
      <c r="AW839" t="inlineStr">
        <is>
          <t>991003574529702656</t>
        </is>
      </c>
      <c r="AX839" t="inlineStr">
        <is>
          <t>991003574529702656</t>
        </is>
      </c>
      <c r="AY839" t="inlineStr">
        <is>
          <t>2267892630002656</t>
        </is>
      </c>
      <c r="AZ839" t="inlineStr">
        <is>
          <t>BOOK</t>
        </is>
      </c>
      <c r="BC839" t="inlineStr">
        <is>
          <t>32285000747625</t>
        </is>
      </c>
      <c r="BD839" t="inlineStr">
        <is>
          <t>893787473</t>
        </is>
      </c>
    </row>
    <row r="840">
      <c r="A840" t="inlineStr">
        <is>
          <t>No</t>
        </is>
      </c>
      <c r="B840" t="inlineStr">
        <is>
          <t>BT620 .P54 1954</t>
        </is>
      </c>
      <c r="C840" t="inlineStr">
        <is>
          <t>0                      BT 0620000P  54          1954</t>
        </is>
      </c>
      <c r="D840" t="inlineStr">
        <is>
          <t>The radiant crown of glory : the story of the dogma of the Immaculate Conception / by Thomas Plassmann.</t>
        </is>
      </c>
      <c r="F840" t="inlineStr">
        <is>
          <t>No</t>
        </is>
      </c>
      <c r="G840" t="inlineStr">
        <is>
          <t>1</t>
        </is>
      </c>
      <c r="H840" t="inlineStr">
        <is>
          <t>No</t>
        </is>
      </c>
      <c r="I840" t="inlineStr">
        <is>
          <t>No</t>
        </is>
      </c>
      <c r="J840" t="inlineStr">
        <is>
          <t>0</t>
        </is>
      </c>
      <c r="K840" t="inlineStr">
        <is>
          <t>Plassmann, Thomas Bernard, 1879-1959.</t>
        </is>
      </c>
      <c r="L840" t="inlineStr">
        <is>
          <t>New York : Benziger Bros., [1954]</t>
        </is>
      </c>
      <c r="M840" t="inlineStr">
        <is>
          <t>1954</t>
        </is>
      </c>
      <c r="O840" t="inlineStr">
        <is>
          <t>eng</t>
        </is>
      </c>
      <c r="P840" t="inlineStr">
        <is>
          <t>nyu</t>
        </is>
      </c>
      <c r="R840" t="inlineStr">
        <is>
          <t xml:space="preserve">BT </t>
        </is>
      </c>
      <c r="S840" t="n">
        <v>5</v>
      </c>
      <c r="T840" t="n">
        <v>5</v>
      </c>
      <c r="U840" t="inlineStr">
        <is>
          <t>1995-10-09</t>
        </is>
      </c>
      <c r="V840" t="inlineStr">
        <is>
          <t>1995-10-09</t>
        </is>
      </c>
      <c r="W840" t="inlineStr">
        <is>
          <t>1991-09-17</t>
        </is>
      </c>
      <c r="X840" t="inlineStr">
        <is>
          <t>1991-09-17</t>
        </is>
      </c>
      <c r="Y840" t="n">
        <v>68</v>
      </c>
      <c r="Z840" t="n">
        <v>61</v>
      </c>
      <c r="AA840" t="n">
        <v>66</v>
      </c>
      <c r="AB840" t="n">
        <v>2</v>
      </c>
      <c r="AC840" t="n">
        <v>2</v>
      </c>
      <c r="AD840" t="n">
        <v>11</v>
      </c>
      <c r="AE840" t="n">
        <v>11</v>
      </c>
      <c r="AF840" t="n">
        <v>2</v>
      </c>
      <c r="AG840" t="n">
        <v>2</v>
      </c>
      <c r="AH840" t="n">
        <v>4</v>
      </c>
      <c r="AI840" t="n">
        <v>4</v>
      </c>
      <c r="AJ840" t="n">
        <v>7</v>
      </c>
      <c r="AK840" t="n">
        <v>7</v>
      </c>
      <c r="AL840" t="n">
        <v>0</v>
      </c>
      <c r="AM840" t="n">
        <v>0</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HYPERLINK("https://creighton-primo.hosted.exlibrisgroup.com/primo-explore/search?tab=default_tab&amp;search_scope=EVERYTHING&amp;vid=01CRU&amp;lang=en_US&amp;offset=0&amp;query=any,contains,991003974839702656","Catalog Record")</f>
        <v/>
      </c>
      <c r="AT840">
        <f>HYPERLINK("http://www.worldcat.org/oclc/2000311","WorldCat Record")</f>
        <v/>
      </c>
      <c r="AU840" t="inlineStr">
        <is>
          <t>180415972:eng</t>
        </is>
      </c>
      <c r="AV840" t="inlineStr">
        <is>
          <t>2000311</t>
        </is>
      </c>
      <c r="AW840" t="inlineStr">
        <is>
          <t>991003974839702656</t>
        </is>
      </c>
      <c r="AX840" t="inlineStr">
        <is>
          <t>991003974839702656</t>
        </is>
      </c>
      <c r="AY840" t="inlineStr">
        <is>
          <t>2258305670002656</t>
        </is>
      </c>
      <c r="AZ840" t="inlineStr">
        <is>
          <t>BOOK</t>
        </is>
      </c>
      <c r="BC840" t="inlineStr">
        <is>
          <t>32285000747641</t>
        </is>
      </c>
      <c r="BD840" t="inlineStr">
        <is>
          <t>893423228</t>
        </is>
      </c>
    </row>
    <row r="841">
      <c r="A841" t="inlineStr">
        <is>
          <t>No</t>
        </is>
      </c>
      <c r="B841" t="inlineStr">
        <is>
          <t>BT630 .D8 1989</t>
        </is>
      </c>
      <c r="C841" t="inlineStr">
        <is>
          <t>0                      BT 0630000D  8           1989</t>
        </is>
      </c>
      <c r="D841" t="inlineStr">
        <is>
          <t>The assumption dogma : some reactions and ecumenical implications in the thought of English-speaking theologians / by Paul E. Duggan.</t>
        </is>
      </c>
      <c r="F841" t="inlineStr">
        <is>
          <t>No</t>
        </is>
      </c>
      <c r="G841" t="inlineStr">
        <is>
          <t>1</t>
        </is>
      </c>
      <c r="H841" t="inlineStr">
        <is>
          <t>No</t>
        </is>
      </c>
      <c r="I841" t="inlineStr">
        <is>
          <t>No</t>
        </is>
      </c>
      <c r="J841" t="inlineStr">
        <is>
          <t>0</t>
        </is>
      </c>
      <c r="K841" t="inlineStr">
        <is>
          <t>Duggan, Paul E., 1924-2007.</t>
        </is>
      </c>
      <c r="L841" t="inlineStr">
        <is>
          <t>[S.l. : s.n.], c1989</t>
        </is>
      </c>
      <c r="M841" t="inlineStr">
        <is>
          <t>1989</t>
        </is>
      </c>
      <c r="O841" t="inlineStr">
        <is>
          <t>eng</t>
        </is>
      </c>
      <c r="P841" t="inlineStr">
        <is>
          <t xml:space="preserve">xx </t>
        </is>
      </c>
      <c r="R841" t="inlineStr">
        <is>
          <t xml:space="preserve">BT </t>
        </is>
      </c>
      <c r="S841" t="n">
        <v>9</v>
      </c>
      <c r="T841" t="n">
        <v>9</v>
      </c>
      <c r="U841" t="inlineStr">
        <is>
          <t>1999-11-28</t>
        </is>
      </c>
      <c r="V841" t="inlineStr">
        <is>
          <t>1999-11-28</t>
        </is>
      </c>
      <c r="W841" t="inlineStr">
        <is>
          <t>1990-06-22</t>
        </is>
      </c>
      <c r="X841" t="inlineStr">
        <is>
          <t>1990-06-22</t>
        </is>
      </c>
      <c r="Y841" t="n">
        <v>150</v>
      </c>
      <c r="Z841" t="n">
        <v>146</v>
      </c>
      <c r="AA841" t="n">
        <v>165</v>
      </c>
      <c r="AB841" t="n">
        <v>2</v>
      </c>
      <c r="AC841" t="n">
        <v>2</v>
      </c>
      <c r="AD841" t="n">
        <v>21</v>
      </c>
      <c r="AE841" t="n">
        <v>23</v>
      </c>
      <c r="AF841" t="n">
        <v>8</v>
      </c>
      <c r="AG841" t="n">
        <v>8</v>
      </c>
      <c r="AH841" t="n">
        <v>5</v>
      </c>
      <c r="AI841" t="n">
        <v>6</v>
      </c>
      <c r="AJ841" t="n">
        <v>14</v>
      </c>
      <c r="AK841" t="n">
        <v>15</v>
      </c>
      <c r="AL841" t="n">
        <v>1</v>
      </c>
      <c r="AM841" t="n">
        <v>1</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HYPERLINK("https://creighton-primo.hosted.exlibrisgroup.com/primo-explore/search?tab=default_tab&amp;search_scope=EVERYTHING&amp;vid=01CRU&amp;lang=en_US&amp;offset=0&amp;query=any,contains,991001703749702656","Catalog Record")</f>
        <v/>
      </c>
      <c r="AT841">
        <f>HYPERLINK("http://www.worldcat.org/oclc/21555235","WorldCat Record")</f>
        <v/>
      </c>
      <c r="AU841" t="inlineStr">
        <is>
          <t>7763873:eng</t>
        </is>
      </c>
      <c r="AV841" t="inlineStr">
        <is>
          <t>21555235</t>
        </is>
      </c>
      <c r="AW841" t="inlineStr">
        <is>
          <t>991001703749702656</t>
        </is>
      </c>
      <c r="AX841" t="inlineStr">
        <is>
          <t>991001703749702656</t>
        </is>
      </c>
      <c r="AY841" t="inlineStr">
        <is>
          <t>2268851320002656</t>
        </is>
      </c>
      <c r="AZ841" t="inlineStr">
        <is>
          <t>BOOK</t>
        </is>
      </c>
      <c r="BC841" t="inlineStr">
        <is>
          <t>32285000179829</t>
        </is>
      </c>
      <c r="BD841" t="inlineStr">
        <is>
          <t>893891765</t>
        </is>
      </c>
    </row>
    <row r="842">
      <c r="A842" t="inlineStr">
        <is>
          <t>No</t>
        </is>
      </c>
      <c r="B842" t="inlineStr">
        <is>
          <t>BT630 .J3 1954</t>
        </is>
      </c>
      <c r="C842" t="inlineStr">
        <is>
          <t>0                      BT 0630000J  3           1954</t>
        </is>
      </c>
      <c r="D842" t="inlineStr">
        <is>
          <t>The Assumption of Our Lady / A. Janssens.</t>
        </is>
      </c>
      <c r="F842" t="inlineStr">
        <is>
          <t>No</t>
        </is>
      </c>
      <c r="G842" t="inlineStr">
        <is>
          <t>1</t>
        </is>
      </c>
      <c r="H842" t="inlineStr">
        <is>
          <t>No</t>
        </is>
      </c>
      <c r="I842" t="inlineStr">
        <is>
          <t>No</t>
        </is>
      </c>
      <c r="J842" t="inlineStr">
        <is>
          <t>0</t>
        </is>
      </c>
      <c r="K842" t="inlineStr">
        <is>
          <t>Janssens, Aloïs, 1887-1941.</t>
        </is>
      </c>
      <c r="L842" t="inlineStr">
        <is>
          <t>Fresno, Calif. : Academy Library Guild, 1954.</t>
        </is>
      </c>
      <c r="M842" t="inlineStr">
        <is>
          <t>1954</t>
        </is>
      </c>
      <c r="O842" t="inlineStr">
        <is>
          <t>eng</t>
        </is>
      </c>
      <c r="P842" t="inlineStr">
        <is>
          <t>cau</t>
        </is>
      </c>
      <c r="R842" t="inlineStr">
        <is>
          <t xml:space="preserve">BT </t>
        </is>
      </c>
      <c r="S842" t="n">
        <v>3</v>
      </c>
      <c r="T842" t="n">
        <v>3</v>
      </c>
      <c r="U842" t="inlineStr">
        <is>
          <t>1995-10-10</t>
        </is>
      </c>
      <c r="V842" t="inlineStr">
        <is>
          <t>1995-10-10</t>
        </is>
      </c>
      <c r="W842" t="inlineStr">
        <is>
          <t>1991-09-17</t>
        </is>
      </c>
      <c r="X842" t="inlineStr">
        <is>
          <t>1991-09-17</t>
        </is>
      </c>
      <c r="Y842" t="n">
        <v>45</v>
      </c>
      <c r="Z842" t="n">
        <v>41</v>
      </c>
      <c r="AA842" t="n">
        <v>50</v>
      </c>
      <c r="AB842" t="n">
        <v>3</v>
      </c>
      <c r="AC842" t="n">
        <v>3</v>
      </c>
      <c r="AD842" t="n">
        <v>12</v>
      </c>
      <c r="AE842" t="n">
        <v>12</v>
      </c>
      <c r="AF842" t="n">
        <v>1</v>
      </c>
      <c r="AG842" t="n">
        <v>1</v>
      </c>
      <c r="AH842" t="n">
        <v>5</v>
      </c>
      <c r="AI842" t="n">
        <v>5</v>
      </c>
      <c r="AJ842" t="n">
        <v>9</v>
      </c>
      <c r="AK842" t="n">
        <v>9</v>
      </c>
      <c r="AL842" t="n">
        <v>0</v>
      </c>
      <c r="AM842" t="n">
        <v>0</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HYPERLINK("https://creighton-primo.hosted.exlibrisgroup.com/primo-explore/search?tab=default_tab&amp;search_scope=EVERYTHING&amp;vid=01CRU&amp;lang=en_US&amp;offset=0&amp;query=any,contains,991000789009702656","Catalog Record")</f>
        <v/>
      </c>
      <c r="AT842">
        <f>HYPERLINK("http://www.worldcat.org/oclc/13130849","WorldCat Record")</f>
        <v/>
      </c>
      <c r="AU842" t="inlineStr">
        <is>
          <t>10138879667:eng</t>
        </is>
      </c>
      <c r="AV842" t="inlineStr">
        <is>
          <t>13130849</t>
        </is>
      </c>
      <c r="AW842" t="inlineStr">
        <is>
          <t>991000789009702656</t>
        </is>
      </c>
      <c r="AX842" t="inlineStr">
        <is>
          <t>991000789009702656</t>
        </is>
      </c>
      <c r="AY842" t="inlineStr">
        <is>
          <t>2270148360002656</t>
        </is>
      </c>
      <c r="AZ842" t="inlineStr">
        <is>
          <t>BOOK</t>
        </is>
      </c>
      <c r="BC842" t="inlineStr">
        <is>
          <t>32285000747682</t>
        </is>
      </c>
      <c r="BD842" t="inlineStr">
        <is>
          <t>893696176</t>
        </is>
      </c>
    </row>
    <row r="843">
      <c r="A843" t="inlineStr">
        <is>
          <t>No</t>
        </is>
      </c>
      <c r="B843" t="inlineStr">
        <is>
          <t>BT638 .C7 1962</t>
        </is>
      </c>
      <c r="C843" t="inlineStr">
        <is>
          <t>0                      BT 0638000C  7           1962</t>
        </is>
      </c>
      <c r="D843" t="inlineStr">
        <is>
          <t>Our Lady and reunion : an essay on the role of the Blessed Virgin Mary, queen and mother of the world, in uniting all mankind with God / by Titus F. Cranny.</t>
        </is>
      </c>
      <c r="F843" t="inlineStr">
        <is>
          <t>No</t>
        </is>
      </c>
      <c r="G843" t="inlineStr">
        <is>
          <t>1</t>
        </is>
      </c>
      <c r="H843" t="inlineStr">
        <is>
          <t>No</t>
        </is>
      </c>
      <c r="I843" t="inlineStr">
        <is>
          <t>No</t>
        </is>
      </c>
      <c r="J843" t="inlineStr">
        <is>
          <t>0</t>
        </is>
      </c>
      <c r="K843" t="inlineStr">
        <is>
          <t>Cranny, Titus, 1921-</t>
        </is>
      </c>
      <c r="L843" t="inlineStr">
        <is>
          <t>Garrison, N.Y. : Chair of Unity Apostolate, [c1962]</t>
        </is>
      </c>
      <c r="M843" t="inlineStr">
        <is>
          <t>1962</t>
        </is>
      </c>
      <c r="O843" t="inlineStr">
        <is>
          <t>eng</t>
        </is>
      </c>
      <c r="P843" t="inlineStr">
        <is>
          <t>nyu</t>
        </is>
      </c>
      <c r="R843" t="inlineStr">
        <is>
          <t xml:space="preserve">BT </t>
        </is>
      </c>
      <c r="S843" t="n">
        <v>2</v>
      </c>
      <c r="T843" t="n">
        <v>2</v>
      </c>
      <c r="U843" t="inlineStr">
        <is>
          <t>1995-10-10</t>
        </is>
      </c>
      <c r="V843" t="inlineStr">
        <is>
          <t>1995-10-10</t>
        </is>
      </c>
      <c r="W843" t="inlineStr">
        <is>
          <t>1990-05-01</t>
        </is>
      </c>
      <c r="X843" t="inlineStr">
        <is>
          <t>1990-05-01</t>
        </is>
      </c>
      <c r="Y843" t="n">
        <v>81</v>
      </c>
      <c r="Z843" t="n">
        <v>72</v>
      </c>
      <c r="AA843" t="n">
        <v>72</v>
      </c>
      <c r="AB843" t="n">
        <v>2</v>
      </c>
      <c r="AC843" t="n">
        <v>2</v>
      </c>
      <c r="AD843" t="n">
        <v>11</v>
      </c>
      <c r="AE843" t="n">
        <v>11</v>
      </c>
      <c r="AF843" t="n">
        <v>3</v>
      </c>
      <c r="AG843" t="n">
        <v>3</v>
      </c>
      <c r="AH843" t="n">
        <v>1</v>
      </c>
      <c r="AI843" t="n">
        <v>1</v>
      </c>
      <c r="AJ843" t="n">
        <v>10</v>
      </c>
      <c r="AK843" t="n">
        <v>10</v>
      </c>
      <c r="AL843" t="n">
        <v>0</v>
      </c>
      <c r="AM843" t="n">
        <v>0</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HYPERLINK("https://creighton-primo.hosted.exlibrisgroup.com/primo-explore/search?tab=default_tab&amp;search_scope=EVERYTHING&amp;vid=01CRU&amp;lang=en_US&amp;offset=0&amp;query=any,contains,991003980169702656","Catalog Record")</f>
        <v/>
      </c>
      <c r="AT843">
        <f>HYPERLINK("http://www.worldcat.org/oclc/2019513","WorldCat Record")</f>
        <v/>
      </c>
      <c r="AU843" t="inlineStr">
        <is>
          <t>892112578:eng</t>
        </is>
      </c>
      <c r="AV843" t="inlineStr">
        <is>
          <t>2019513</t>
        </is>
      </c>
      <c r="AW843" t="inlineStr">
        <is>
          <t>991003980169702656</t>
        </is>
      </c>
      <c r="AX843" t="inlineStr">
        <is>
          <t>991003980169702656</t>
        </is>
      </c>
      <c r="AY843" t="inlineStr">
        <is>
          <t>2260072370002656</t>
        </is>
      </c>
      <c r="AZ843" t="inlineStr">
        <is>
          <t>BOOK</t>
        </is>
      </c>
      <c r="BC843" t="inlineStr">
        <is>
          <t>32285000146281</t>
        </is>
      </c>
      <c r="BD843" t="inlineStr">
        <is>
          <t>893593125</t>
        </is>
      </c>
    </row>
    <row r="844">
      <c r="A844" t="inlineStr">
        <is>
          <t>No</t>
        </is>
      </c>
      <c r="B844" t="inlineStr">
        <is>
          <t>BT640 .C38 1974</t>
        </is>
      </c>
      <c r="C844" t="inlineStr">
        <is>
          <t>0                      BT 0640000C  38          1974</t>
        </is>
      </c>
      <c r="D844" t="inlineStr">
        <is>
          <t>Apostolic exhortation Marialis cultus / of His Holiness, Paul VI, to all bishops in peace and communion with the Apostolic See, for the right ordering and development of devotion to the Blessed Virgin Mary (Feb. 2, 1974)</t>
        </is>
      </c>
      <c r="F844" t="inlineStr">
        <is>
          <t>No</t>
        </is>
      </c>
      <c r="G844" t="inlineStr">
        <is>
          <t>1</t>
        </is>
      </c>
      <c r="H844" t="inlineStr">
        <is>
          <t>No</t>
        </is>
      </c>
      <c r="I844" t="inlineStr">
        <is>
          <t>No</t>
        </is>
      </c>
      <c r="J844" t="inlineStr">
        <is>
          <t>0</t>
        </is>
      </c>
      <c r="K844" t="inlineStr">
        <is>
          <t>Catholic Church. Pope (1963-1978 : Paul VI).</t>
        </is>
      </c>
      <c r="L844" t="inlineStr">
        <is>
          <t>Washington : United States Catholic Conference, Publications Office, 1974.</t>
        </is>
      </c>
      <c r="M844" t="inlineStr">
        <is>
          <t>1974</t>
        </is>
      </c>
      <c r="O844" t="inlineStr">
        <is>
          <t>eng</t>
        </is>
      </c>
      <c r="P844" t="inlineStr">
        <is>
          <t xml:space="preserve">xx </t>
        </is>
      </c>
      <c r="R844" t="inlineStr">
        <is>
          <t xml:space="preserve">BT </t>
        </is>
      </c>
      <c r="S844" t="n">
        <v>6</v>
      </c>
      <c r="T844" t="n">
        <v>6</v>
      </c>
      <c r="U844" t="inlineStr">
        <is>
          <t>1999-11-07</t>
        </is>
      </c>
      <c r="V844" t="inlineStr">
        <is>
          <t>1999-11-07</t>
        </is>
      </c>
      <c r="W844" t="inlineStr">
        <is>
          <t>1990-05-01</t>
        </is>
      </c>
      <c r="X844" t="inlineStr">
        <is>
          <t>1990-05-01</t>
        </is>
      </c>
      <c r="Y844" t="n">
        <v>37</v>
      </c>
      <c r="Z844" t="n">
        <v>37</v>
      </c>
      <c r="AA844" t="n">
        <v>47</v>
      </c>
      <c r="AB844" t="n">
        <v>1</v>
      </c>
      <c r="AC844" t="n">
        <v>1</v>
      </c>
      <c r="AD844" t="n">
        <v>6</v>
      </c>
      <c r="AE844" t="n">
        <v>6</v>
      </c>
      <c r="AF844" t="n">
        <v>0</v>
      </c>
      <c r="AG844" t="n">
        <v>0</v>
      </c>
      <c r="AH844" t="n">
        <v>2</v>
      </c>
      <c r="AI844" t="n">
        <v>2</v>
      </c>
      <c r="AJ844" t="n">
        <v>4</v>
      </c>
      <c r="AK844" t="n">
        <v>4</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HYPERLINK("https://creighton-primo.hosted.exlibrisgroup.com/primo-explore/search?tab=default_tab&amp;search_scope=EVERYTHING&amp;vid=01CRU&amp;lang=en_US&amp;offset=0&amp;query=any,contains,991003575409702656","Catalog Record")</f>
        <v/>
      </c>
      <c r="AT844">
        <f>HYPERLINK("http://www.worldcat.org/oclc/1152903","WorldCat Record")</f>
        <v/>
      </c>
      <c r="AU844" t="inlineStr">
        <is>
          <t>1806181546:eng</t>
        </is>
      </c>
      <c r="AV844" t="inlineStr">
        <is>
          <t>1152903</t>
        </is>
      </c>
      <c r="AW844" t="inlineStr">
        <is>
          <t>991003575409702656</t>
        </is>
      </c>
      <c r="AX844" t="inlineStr">
        <is>
          <t>991003575409702656</t>
        </is>
      </c>
      <c r="AY844" t="inlineStr">
        <is>
          <t>2265333750002656</t>
        </is>
      </c>
      <c r="AZ844" t="inlineStr">
        <is>
          <t>BOOK</t>
        </is>
      </c>
      <c r="BC844" t="inlineStr">
        <is>
          <t>32285000129667</t>
        </is>
      </c>
      <c r="BD844" t="inlineStr">
        <is>
          <t>893799892</t>
        </is>
      </c>
    </row>
    <row r="845">
      <c r="A845" t="inlineStr">
        <is>
          <t>No</t>
        </is>
      </c>
      <c r="B845" t="inlineStr">
        <is>
          <t>BT645 .A85</t>
        </is>
      </c>
      <c r="C845" t="inlineStr">
        <is>
          <t>0                      BT 0645000A  85</t>
        </is>
      </c>
      <c r="D845" t="inlineStr">
        <is>
          <t>The virgin / Geoffrey Ashe.</t>
        </is>
      </c>
      <c r="F845" t="inlineStr">
        <is>
          <t>No</t>
        </is>
      </c>
      <c r="G845" t="inlineStr">
        <is>
          <t>1</t>
        </is>
      </c>
      <c r="H845" t="inlineStr">
        <is>
          <t>No</t>
        </is>
      </c>
      <c r="I845" t="inlineStr">
        <is>
          <t>No</t>
        </is>
      </c>
      <c r="J845" t="inlineStr">
        <is>
          <t>0</t>
        </is>
      </c>
      <c r="K845" t="inlineStr">
        <is>
          <t>Ashe, Geoffrey.</t>
        </is>
      </c>
      <c r="L845" t="inlineStr">
        <is>
          <t>London : Routledge &amp; Paul, 1976.</t>
        </is>
      </c>
      <c r="M845" t="inlineStr">
        <is>
          <t>1976</t>
        </is>
      </c>
      <c r="O845" t="inlineStr">
        <is>
          <t>eng</t>
        </is>
      </c>
      <c r="P845" t="inlineStr">
        <is>
          <t>enk</t>
        </is>
      </c>
      <c r="R845" t="inlineStr">
        <is>
          <t xml:space="preserve">BT </t>
        </is>
      </c>
      <c r="S845" t="n">
        <v>8</v>
      </c>
      <c r="T845" t="n">
        <v>8</v>
      </c>
      <c r="U845" t="inlineStr">
        <is>
          <t>1997-11-10</t>
        </is>
      </c>
      <c r="V845" t="inlineStr">
        <is>
          <t>1997-11-10</t>
        </is>
      </c>
      <c r="W845" t="inlineStr">
        <is>
          <t>1991-09-17</t>
        </is>
      </c>
      <c r="X845" t="inlineStr">
        <is>
          <t>1991-09-17</t>
        </is>
      </c>
      <c r="Y845" t="n">
        <v>575</v>
      </c>
      <c r="Z845" t="n">
        <v>432</v>
      </c>
      <c r="AA845" t="n">
        <v>485</v>
      </c>
      <c r="AB845" t="n">
        <v>3</v>
      </c>
      <c r="AC845" t="n">
        <v>4</v>
      </c>
      <c r="AD845" t="n">
        <v>19</v>
      </c>
      <c r="AE845" t="n">
        <v>22</v>
      </c>
      <c r="AF845" t="n">
        <v>6</v>
      </c>
      <c r="AG845" t="n">
        <v>7</v>
      </c>
      <c r="AH845" t="n">
        <v>6</v>
      </c>
      <c r="AI845" t="n">
        <v>7</v>
      </c>
      <c r="AJ845" t="n">
        <v>13</v>
      </c>
      <c r="AK845" t="n">
        <v>14</v>
      </c>
      <c r="AL845" t="n">
        <v>1</v>
      </c>
      <c r="AM845" t="n">
        <v>2</v>
      </c>
      <c r="AN845" t="n">
        <v>0</v>
      </c>
      <c r="AO845" t="n">
        <v>0</v>
      </c>
      <c r="AP845" t="inlineStr">
        <is>
          <t>No</t>
        </is>
      </c>
      <c r="AQ845" t="inlineStr">
        <is>
          <t>Yes</t>
        </is>
      </c>
      <c r="AR845">
        <f>HYPERLINK("http://catalog.hathitrust.org/Record/007113747","HathiTrust Record")</f>
        <v/>
      </c>
      <c r="AS845">
        <f>HYPERLINK("https://creighton-primo.hosted.exlibrisgroup.com/primo-explore/search?tab=default_tab&amp;search_scope=EVERYTHING&amp;vid=01CRU&amp;lang=en_US&amp;offset=0&amp;query=any,contains,991004139719702656","Catalog Record")</f>
        <v/>
      </c>
      <c r="AT845">
        <f>HYPERLINK("http://www.worldcat.org/oclc/2493740","WorldCat Record")</f>
        <v/>
      </c>
      <c r="AU845" t="inlineStr">
        <is>
          <t>5382808:eng</t>
        </is>
      </c>
      <c r="AV845" t="inlineStr">
        <is>
          <t>2493740</t>
        </is>
      </c>
      <c r="AW845" t="inlineStr">
        <is>
          <t>991004139719702656</t>
        </is>
      </c>
      <c r="AX845" t="inlineStr">
        <is>
          <t>991004139719702656</t>
        </is>
      </c>
      <c r="AY845" t="inlineStr">
        <is>
          <t>2256682550002656</t>
        </is>
      </c>
      <c r="AZ845" t="inlineStr">
        <is>
          <t>BOOK</t>
        </is>
      </c>
      <c r="BB845" t="inlineStr">
        <is>
          <t>9780710083425</t>
        </is>
      </c>
      <c r="BC845" t="inlineStr">
        <is>
          <t>32285000747716</t>
        </is>
      </c>
      <c r="BD845" t="inlineStr">
        <is>
          <t>893519289</t>
        </is>
      </c>
    </row>
    <row r="846">
      <c r="A846" t="inlineStr">
        <is>
          <t>No</t>
        </is>
      </c>
      <c r="B846" t="inlineStr">
        <is>
          <t>BT645 .C36 1987</t>
        </is>
      </c>
      <c r="C846" t="inlineStr">
        <is>
          <t>0                      BT 0645000C  36          1987</t>
        </is>
      </c>
      <c r="D846" t="inlineStr">
        <is>
          <t>Book of Mary : prayers in honor of the Blessed Virgin Mary.</t>
        </is>
      </c>
      <c r="F846" t="inlineStr">
        <is>
          <t>No</t>
        </is>
      </c>
      <c r="G846" t="inlineStr">
        <is>
          <t>1</t>
        </is>
      </c>
      <c r="H846" t="inlineStr">
        <is>
          <t>No</t>
        </is>
      </c>
      <c r="I846" t="inlineStr">
        <is>
          <t>No</t>
        </is>
      </c>
      <c r="J846" t="inlineStr">
        <is>
          <t>0</t>
        </is>
      </c>
      <c r="K846" t="inlineStr">
        <is>
          <t>Catholic Church. National Conference of Catholic Bishops. Bishops' Committee on the Liturgy.</t>
        </is>
      </c>
      <c r="L846" t="inlineStr">
        <is>
          <t>Washington, D.C. : United States Catholic Conference, c1987.</t>
        </is>
      </c>
      <c r="M846" t="inlineStr">
        <is>
          <t>1987</t>
        </is>
      </c>
      <c r="O846" t="inlineStr">
        <is>
          <t>eng</t>
        </is>
      </c>
      <c r="P846" t="inlineStr">
        <is>
          <t>dcu</t>
        </is>
      </c>
      <c r="Q846" t="inlineStr">
        <is>
          <t>Publication / Office of Publishing Services, United States Catholic Conference ; no.155-5.</t>
        </is>
      </c>
      <c r="R846" t="inlineStr">
        <is>
          <t xml:space="preserve">BT </t>
        </is>
      </c>
      <c r="S846" t="n">
        <v>2</v>
      </c>
      <c r="T846" t="n">
        <v>2</v>
      </c>
      <c r="U846" t="inlineStr">
        <is>
          <t>1994-07-22</t>
        </is>
      </c>
      <c r="V846" t="inlineStr">
        <is>
          <t>1994-07-22</t>
        </is>
      </c>
      <c r="W846" t="inlineStr">
        <is>
          <t>1991-09-17</t>
        </is>
      </c>
      <c r="X846" t="inlineStr">
        <is>
          <t>1991-09-17</t>
        </is>
      </c>
      <c r="Y846" t="n">
        <v>86</v>
      </c>
      <c r="Z846" t="n">
        <v>81</v>
      </c>
      <c r="AA846" t="n">
        <v>81</v>
      </c>
      <c r="AB846" t="n">
        <v>2</v>
      </c>
      <c r="AC846" t="n">
        <v>2</v>
      </c>
      <c r="AD846" t="n">
        <v>13</v>
      </c>
      <c r="AE846" t="n">
        <v>13</v>
      </c>
      <c r="AF846" t="n">
        <v>3</v>
      </c>
      <c r="AG846" t="n">
        <v>3</v>
      </c>
      <c r="AH846" t="n">
        <v>3</v>
      </c>
      <c r="AI846" t="n">
        <v>3</v>
      </c>
      <c r="AJ846" t="n">
        <v>11</v>
      </c>
      <c r="AK846" t="n">
        <v>11</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HYPERLINK("https://creighton-primo.hosted.exlibrisgroup.com/primo-explore/search?tab=default_tab&amp;search_scope=EVERYTHING&amp;vid=01CRU&amp;lang=en_US&amp;offset=0&amp;query=any,contains,991001099759702656","Catalog Record")</f>
        <v/>
      </c>
      <c r="AT846">
        <f>HYPERLINK("http://www.worldcat.org/oclc/17551717","WorldCat Record")</f>
        <v/>
      </c>
      <c r="AU846" t="inlineStr">
        <is>
          <t>6184301279:eng</t>
        </is>
      </c>
      <c r="AV846" t="inlineStr">
        <is>
          <t>17551717</t>
        </is>
      </c>
      <c r="AW846" t="inlineStr">
        <is>
          <t>991001099759702656</t>
        </is>
      </c>
      <c r="AX846" t="inlineStr">
        <is>
          <t>991001099759702656</t>
        </is>
      </c>
      <c r="AY846" t="inlineStr">
        <is>
          <t>2269820030002656</t>
        </is>
      </c>
      <c r="AZ846" t="inlineStr">
        <is>
          <t>BOOK</t>
        </is>
      </c>
      <c r="BB846" t="inlineStr">
        <is>
          <t>9781555861551</t>
        </is>
      </c>
      <c r="BC846" t="inlineStr">
        <is>
          <t>32285000747732</t>
        </is>
      </c>
      <c r="BD846" t="inlineStr">
        <is>
          <t>893596190</t>
        </is>
      </c>
    </row>
    <row r="847">
      <c r="A847" t="inlineStr">
        <is>
          <t>No</t>
        </is>
      </c>
      <c r="B847" t="inlineStr">
        <is>
          <t>BT645 .C45 1987</t>
        </is>
      </c>
      <c r="C847" t="inlineStr">
        <is>
          <t>0                      BT 0645000C  45          1987</t>
        </is>
      </c>
      <c r="D847" t="inlineStr">
        <is>
          <t>Celebrating the Marian Year; devotional celebrations in honor of Mary, Mother of God.</t>
        </is>
      </c>
      <c r="F847" t="inlineStr">
        <is>
          <t>No</t>
        </is>
      </c>
      <c r="G847" t="inlineStr">
        <is>
          <t>1</t>
        </is>
      </c>
      <c r="H847" t="inlineStr">
        <is>
          <t>No</t>
        </is>
      </c>
      <c r="I847" t="inlineStr">
        <is>
          <t>Yes</t>
        </is>
      </c>
      <c r="J847" t="inlineStr">
        <is>
          <t>0</t>
        </is>
      </c>
      <c r="L847" t="inlineStr">
        <is>
          <t>Washington, D.C. : United States Catholic Conference, 1987.</t>
        </is>
      </c>
      <c r="M847" t="inlineStr">
        <is>
          <t>1987</t>
        </is>
      </c>
      <c r="N847" t="inlineStr">
        <is>
          <t>Minister's edition.</t>
        </is>
      </c>
      <c r="O847" t="inlineStr">
        <is>
          <t>eng</t>
        </is>
      </c>
      <c r="P847" t="inlineStr">
        <is>
          <t>dcu</t>
        </is>
      </c>
      <c r="R847" t="inlineStr">
        <is>
          <t xml:space="preserve">BT </t>
        </is>
      </c>
      <c r="S847" t="n">
        <v>1</v>
      </c>
      <c r="T847" t="n">
        <v>1</v>
      </c>
      <c r="U847" t="inlineStr">
        <is>
          <t>1992-04-15</t>
        </is>
      </c>
      <c r="V847" t="inlineStr">
        <is>
          <t>1992-04-15</t>
        </is>
      </c>
      <c r="W847" t="inlineStr">
        <is>
          <t>1991-09-17</t>
        </is>
      </c>
      <c r="X847" t="inlineStr">
        <is>
          <t>1991-09-17</t>
        </is>
      </c>
      <c r="Y847" t="n">
        <v>82</v>
      </c>
      <c r="Z847" t="n">
        <v>75</v>
      </c>
      <c r="AA847" t="n">
        <v>80</v>
      </c>
      <c r="AB847" t="n">
        <v>1</v>
      </c>
      <c r="AC847" t="n">
        <v>1</v>
      </c>
      <c r="AD847" t="n">
        <v>14</v>
      </c>
      <c r="AE847" t="n">
        <v>14</v>
      </c>
      <c r="AF847" t="n">
        <v>5</v>
      </c>
      <c r="AG847" t="n">
        <v>5</v>
      </c>
      <c r="AH847" t="n">
        <v>2</v>
      </c>
      <c r="AI847" t="n">
        <v>2</v>
      </c>
      <c r="AJ847" t="n">
        <v>12</v>
      </c>
      <c r="AK847" t="n">
        <v>12</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HYPERLINK("https://creighton-primo.hosted.exlibrisgroup.com/primo-explore/search?tab=default_tab&amp;search_scope=EVERYTHING&amp;vid=01CRU&amp;lang=en_US&amp;offset=0&amp;query=any,contains,991001076909702656","Catalog Record")</f>
        <v/>
      </c>
      <c r="AT847">
        <f>HYPERLINK("http://www.worldcat.org/oclc/16067606","WorldCat Record")</f>
        <v/>
      </c>
      <c r="AU847" t="inlineStr">
        <is>
          <t>54976175:eng</t>
        </is>
      </c>
      <c r="AV847" t="inlineStr">
        <is>
          <t>16067606</t>
        </is>
      </c>
      <c r="AW847" t="inlineStr">
        <is>
          <t>991001076909702656</t>
        </is>
      </c>
      <c r="AX847" t="inlineStr">
        <is>
          <t>991001076909702656</t>
        </is>
      </c>
      <c r="AY847" t="inlineStr">
        <is>
          <t>2266996610002656</t>
        </is>
      </c>
      <c r="AZ847" t="inlineStr">
        <is>
          <t>BOOK</t>
        </is>
      </c>
      <c r="BB847" t="inlineStr">
        <is>
          <t>9781555861520</t>
        </is>
      </c>
      <c r="BC847" t="inlineStr">
        <is>
          <t>32285000747740</t>
        </is>
      </c>
      <c r="BD847" t="inlineStr">
        <is>
          <t>893865944</t>
        </is>
      </c>
    </row>
    <row r="848">
      <c r="A848" t="inlineStr">
        <is>
          <t>No</t>
        </is>
      </c>
      <c r="B848" t="inlineStr">
        <is>
          <t>BT645 .D7 1913</t>
        </is>
      </c>
      <c r="C848" t="inlineStr">
        <is>
          <t>0                      BT 0645000D  7           1913</t>
        </is>
      </c>
      <c r="D848" t="inlineStr">
        <is>
          <t>Marie et la compagnie de Jésus / A. Drive.</t>
        </is>
      </c>
      <c r="F848" t="inlineStr">
        <is>
          <t>No</t>
        </is>
      </c>
      <c r="G848" t="inlineStr">
        <is>
          <t>1</t>
        </is>
      </c>
      <c r="H848" t="inlineStr">
        <is>
          <t>No</t>
        </is>
      </c>
      <c r="I848" t="inlineStr">
        <is>
          <t>No</t>
        </is>
      </c>
      <c r="J848" t="inlineStr">
        <is>
          <t>0</t>
        </is>
      </c>
      <c r="K848" t="inlineStr">
        <is>
          <t>Drive, Augustus.</t>
        </is>
      </c>
      <c r="L848" t="inlineStr">
        <is>
          <t>Tournai : Casterman, 1913.</t>
        </is>
      </c>
      <c r="M848" t="inlineStr">
        <is>
          <t>1913</t>
        </is>
      </c>
      <c r="N848" t="inlineStr">
        <is>
          <t>3rd ed.</t>
        </is>
      </c>
      <c r="O848" t="inlineStr">
        <is>
          <t>fre</t>
        </is>
      </c>
      <c r="P848" t="inlineStr">
        <is>
          <t xml:space="preserve">be </t>
        </is>
      </c>
      <c r="R848" t="inlineStr">
        <is>
          <t xml:space="preserve">BT </t>
        </is>
      </c>
      <c r="S848" t="n">
        <v>4</v>
      </c>
      <c r="T848" t="n">
        <v>4</v>
      </c>
      <c r="U848" t="inlineStr">
        <is>
          <t>2002-03-04</t>
        </is>
      </c>
      <c r="V848" t="inlineStr">
        <is>
          <t>2002-03-04</t>
        </is>
      </c>
      <c r="W848" t="inlineStr">
        <is>
          <t>1994-10-04</t>
        </is>
      </c>
      <c r="X848" t="inlineStr">
        <is>
          <t>1994-10-04</t>
        </is>
      </c>
      <c r="Y848" t="n">
        <v>13</v>
      </c>
      <c r="Z848" t="n">
        <v>10</v>
      </c>
      <c r="AA848" t="n">
        <v>18</v>
      </c>
      <c r="AB848" t="n">
        <v>1</v>
      </c>
      <c r="AC848" t="n">
        <v>1</v>
      </c>
      <c r="AD848" t="n">
        <v>7</v>
      </c>
      <c r="AE848" t="n">
        <v>10</v>
      </c>
      <c r="AF848" t="n">
        <v>2</v>
      </c>
      <c r="AG848" t="n">
        <v>2</v>
      </c>
      <c r="AH848" t="n">
        <v>3</v>
      </c>
      <c r="AI848" t="n">
        <v>3</v>
      </c>
      <c r="AJ848" t="n">
        <v>6</v>
      </c>
      <c r="AK848" t="n">
        <v>9</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HYPERLINK("https://creighton-primo.hosted.exlibrisgroup.com/primo-explore/search?tab=default_tab&amp;search_scope=EVERYTHING&amp;vid=01CRU&amp;lang=en_US&amp;offset=0&amp;query=any,contains,991001395789702656","Catalog Record")</f>
        <v/>
      </c>
      <c r="AT848">
        <f>HYPERLINK("http://www.worldcat.org/oclc/18784783","WorldCat Record")</f>
        <v/>
      </c>
      <c r="AU848" t="inlineStr">
        <is>
          <t>104142765:fre</t>
        </is>
      </c>
      <c r="AV848" t="inlineStr">
        <is>
          <t>18784783</t>
        </is>
      </c>
      <c r="AW848" t="inlineStr">
        <is>
          <t>991001395789702656</t>
        </is>
      </c>
      <c r="AX848" t="inlineStr">
        <is>
          <t>991001395789702656</t>
        </is>
      </c>
      <c r="AY848" t="inlineStr">
        <is>
          <t>2262277560002656</t>
        </is>
      </c>
      <c r="AZ848" t="inlineStr">
        <is>
          <t>BOOK</t>
        </is>
      </c>
      <c r="BC848" t="inlineStr">
        <is>
          <t>32285001953503</t>
        </is>
      </c>
      <c r="BD848" t="inlineStr">
        <is>
          <t>893885272</t>
        </is>
      </c>
    </row>
    <row r="849">
      <c r="A849" t="inlineStr">
        <is>
          <t>No</t>
        </is>
      </c>
      <c r="B849" t="inlineStr">
        <is>
          <t>BT645 .E4 1940</t>
        </is>
      </c>
      <c r="C849" t="inlineStr">
        <is>
          <t>0                      BT 0645000E  4           1940</t>
        </is>
      </c>
      <c r="D849" t="inlineStr">
        <is>
          <t>Devotion to Mary in the 20th century / [by] Rev. John A. Elbert.</t>
        </is>
      </c>
      <c r="F849" t="inlineStr">
        <is>
          <t>No</t>
        </is>
      </c>
      <c r="G849" t="inlineStr">
        <is>
          <t>1</t>
        </is>
      </c>
      <c r="H849" t="inlineStr">
        <is>
          <t>No</t>
        </is>
      </c>
      <c r="I849" t="inlineStr">
        <is>
          <t>No</t>
        </is>
      </c>
      <c r="J849" t="inlineStr">
        <is>
          <t>0</t>
        </is>
      </c>
      <c r="K849" t="inlineStr">
        <is>
          <t>Elbert, John A. (John Aloysius), 1895-1966.</t>
        </is>
      </c>
      <c r="L849" t="inlineStr">
        <is>
          <t>Milwaukee : The Bruce publishing company, [c1940]</t>
        </is>
      </c>
      <c r="M849" t="inlineStr">
        <is>
          <t>1940</t>
        </is>
      </c>
      <c r="O849" t="inlineStr">
        <is>
          <t>eng</t>
        </is>
      </c>
      <c r="P849" t="inlineStr">
        <is>
          <t xml:space="preserve">xx </t>
        </is>
      </c>
      <c r="R849" t="inlineStr">
        <is>
          <t xml:space="preserve">BT </t>
        </is>
      </c>
      <c r="S849" t="n">
        <v>1</v>
      </c>
      <c r="T849" t="n">
        <v>1</v>
      </c>
      <c r="U849" t="inlineStr">
        <is>
          <t>2000-11-29</t>
        </is>
      </c>
      <c r="V849" t="inlineStr">
        <is>
          <t>2000-11-29</t>
        </is>
      </c>
      <c r="W849" t="inlineStr">
        <is>
          <t>1991-09-17</t>
        </is>
      </c>
      <c r="X849" t="inlineStr">
        <is>
          <t>1991-09-17</t>
        </is>
      </c>
      <c r="Y849" t="n">
        <v>36</v>
      </c>
      <c r="Z849" t="n">
        <v>34</v>
      </c>
      <c r="AA849" t="n">
        <v>34</v>
      </c>
      <c r="AB849" t="n">
        <v>1</v>
      </c>
      <c r="AC849" t="n">
        <v>1</v>
      </c>
      <c r="AD849" t="n">
        <v>6</v>
      </c>
      <c r="AE849" t="n">
        <v>6</v>
      </c>
      <c r="AF849" t="n">
        <v>0</v>
      </c>
      <c r="AG849" t="n">
        <v>0</v>
      </c>
      <c r="AH849" t="n">
        <v>2</v>
      </c>
      <c r="AI849" t="n">
        <v>2</v>
      </c>
      <c r="AJ849" t="n">
        <v>5</v>
      </c>
      <c r="AK849" t="n">
        <v>5</v>
      </c>
      <c r="AL849" t="n">
        <v>0</v>
      </c>
      <c r="AM849" t="n">
        <v>0</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HYPERLINK("https://creighton-primo.hosted.exlibrisgroup.com/primo-explore/search?tab=default_tab&amp;search_scope=EVERYTHING&amp;vid=01CRU&amp;lang=en_US&amp;offset=0&amp;query=any,contains,991004249399702656","Catalog Record")</f>
        <v/>
      </c>
      <c r="AT849">
        <f>HYPERLINK("http://www.worldcat.org/oclc/2805240","WorldCat Record")</f>
        <v/>
      </c>
      <c r="AU849" t="inlineStr">
        <is>
          <t>6026412:eng</t>
        </is>
      </c>
      <c r="AV849" t="inlineStr">
        <is>
          <t>2805240</t>
        </is>
      </c>
      <c r="AW849" t="inlineStr">
        <is>
          <t>991004249399702656</t>
        </is>
      </c>
      <c r="AX849" t="inlineStr">
        <is>
          <t>991004249399702656</t>
        </is>
      </c>
      <c r="AY849" t="inlineStr">
        <is>
          <t>2266880050002656</t>
        </is>
      </c>
      <c r="AZ849" t="inlineStr">
        <is>
          <t>BOOK</t>
        </is>
      </c>
      <c r="BC849" t="inlineStr">
        <is>
          <t>32285000747765</t>
        </is>
      </c>
      <c r="BD849" t="inlineStr">
        <is>
          <t>893882246</t>
        </is>
      </c>
    </row>
    <row r="850">
      <c r="A850" t="inlineStr">
        <is>
          <t>No</t>
        </is>
      </c>
      <c r="B850" t="inlineStr">
        <is>
          <t>BT645.5 .L7 1957</t>
        </is>
      </c>
      <c r="C850" t="inlineStr">
        <is>
          <t>0                      BT 0645500L  7           1957</t>
        </is>
      </c>
      <c r="D850" t="inlineStr">
        <is>
          <t>Our Lady in Catholic life / by Lawrence G. Lovasik.</t>
        </is>
      </c>
      <c r="F850" t="inlineStr">
        <is>
          <t>No</t>
        </is>
      </c>
      <c r="G850" t="inlineStr">
        <is>
          <t>1</t>
        </is>
      </c>
      <c r="H850" t="inlineStr">
        <is>
          <t>No</t>
        </is>
      </c>
      <c r="I850" t="inlineStr">
        <is>
          <t>No</t>
        </is>
      </c>
      <c r="J850" t="inlineStr">
        <is>
          <t>0</t>
        </is>
      </c>
      <c r="K850" t="inlineStr">
        <is>
          <t>Lovasik, Lawrence G. (Lawrence George), 1913-1986.</t>
        </is>
      </c>
      <c r="L850" t="inlineStr">
        <is>
          <t>New York : Macmillan, 1957.</t>
        </is>
      </c>
      <c r="M850" t="inlineStr">
        <is>
          <t>1957</t>
        </is>
      </c>
      <c r="O850" t="inlineStr">
        <is>
          <t>eng</t>
        </is>
      </c>
      <c r="P850" t="inlineStr">
        <is>
          <t>___</t>
        </is>
      </c>
      <c r="R850" t="inlineStr">
        <is>
          <t xml:space="preserve">BT </t>
        </is>
      </c>
      <c r="S850" t="n">
        <v>4</v>
      </c>
      <c r="T850" t="n">
        <v>4</v>
      </c>
      <c r="U850" t="inlineStr">
        <is>
          <t>1998-10-05</t>
        </is>
      </c>
      <c r="V850" t="inlineStr">
        <is>
          <t>1998-10-05</t>
        </is>
      </c>
      <c r="W850" t="inlineStr">
        <is>
          <t>1990-03-21</t>
        </is>
      </c>
      <c r="X850" t="inlineStr">
        <is>
          <t>1990-03-21</t>
        </is>
      </c>
      <c r="Y850" t="n">
        <v>127</v>
      </c>
      <c r="Z850" t="n">
        <v>105</v>
      </c>
      <c r="AA850" t="n">
        <v>105</v>
      </c>
      <c r="AB850" t="n">
        <v>2</v>
      </c>
      <c r="AC850" t="n">
        <v>2</v>
      </c>
      <c r="AD850" t="n">
        <v>19</v>
      </c>
      <c r="AE850" t="n">
        <v>19</v>
      </c>
      <c r="AF850" t="n">
        <v>6</v>
      </c>
      <c r="AG850" t="n">
        <v>6</v>
      </c>
      <c r="AH850" t="n">
        <v>5</v>
      </c>
      <c r="AI850" t="n">
        <v>5</v>
      </c>
      <c r="AJ850" t="n">
        <v>14</v>
      </c>
      <c r="AK850" t="n">
        <v>14</v>
      </c>
      <c r="AL850" t="n">
        <v>0</v>
      </c>
      <c r="AM850" t="n">
        <v>0</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HYPERLINK("https://creighton-primo.hosted.exlibrisgroup.com/primo-explore/search?tab=default_tab&amp;search_scope=EVERYTHING&amp;vid=01CRU&amp;lang=en_US&amp;offset=0&amp;query=any,contains,991003760179702656","Catalog Record")</f>
        <v/>
      </c>
      <c r="AT850">
        <f>HYPERLINK("http://www.worldcat.org/oclc/1446176","WorldCat Record")</f>
        <v/>
      </c>
      <c r="AU850" t="inlineStr">
        <is>
          <t>2362273:eng</t>
        </is>
      </c>
      <c r="AV850" t="inlineStr">
        <is>
          <t>1446176</t>
        </is>
      </c>
      <c r="AW850" t="inlineStr">
        <is>
          <t>991003760179702656</t>
        </is>
      </c>
      <c r="AX850" t="inlineStr">
        <is>
          <t>991003760179702656</t>
        </is>
      </c>
      <c r="AY850" t="inlineStr">
        <is>
          <t>2256776550002656</t>
        </is>
      </c>
      <c r="AZ850" t="inlineStr">
        <is>
          <t>BOOK</t>
        </is>
      </c>
      <c r="BC850" t="inlineStr">
        <is>
          <t>32285000088962</t>
        </is>
      </c>
      <c r="BD850" t="inlineStr">
        <is>
          <t>893705596</t>
        </is>
      </c>
    </row>
    <row r="851">
      <c r="A851" t="inlineStr">
        <is>
          <t>No</t>
        </is>
      </c>
      <c r="B851" t="inlineStr">
        <is>
          <t>BT645.5 .O36 1988</t>
        </is>
      </c>
      <c r="C851" t="inlineStr">
        <is>
          <t>0                      BT 0645500O  36          1988</t>
        </is>
      </c>
      <c r="D851" t="inlineStr">
        <is>
          <t>At worship with Mary : a pastoral and theological study / Christopher O'Donnell ; illustrated by Placid Stuckenschneider.</t>
        </is>
      </c>
      <c r="F851" t="inlineStr">
        <is>
          <t>No</t>
        </is>
      </c>
      <c r="G851" t="inlineStr">
        <is>
          <t>1</t>
        </is>
      </c>
      <c r="H851" t="inlineStr">
        <is>
          <t>No</t>
        </is>
      </c>
      <c r="I851" t="inlineStr">
        <is>
          <t>No</t>
        </is>
      </c>
      <c r="J851" t="inlineStr">
        <is>
          <t>0</t>
        </is>
      </c>
      <c r="K851" t="inlineStr">
        <is>
          <t>O'Donnell, Christopher.</t>
        </is>
      </c>
      <c r="L851" t="inlineStr">
        <is>
          <t>Wilmington, Del. : Michael Glazier, 1988.</t>
        </is>
      </c>
      <c r="M851" t="inlineStr">
        <is>
          <t>1988</t>
        </is>
      </c>
      <c r="O851" t="inlineStr">
        <is>
          <t>eng</t>
        </is>
      </c>
      <c r="P851" t="inlineStr">
        <is>
          <t>deu</t>
        </is>
      </c>
      <c r="R851" t="inlineStr">
        <is>
          <t xml:space="preserve">BT </t>
        </is>
      </c>
      <c r="S851" t="n">
        <v>9</v>
      </c>
      <c r="T851" t="n">
        <v>9</v>
      </c>
      <c r="U851" t="inlineStr">
        <is>
          <t>2001-02-07</t>
        </is>
      </c>
      <c r="V851" t="inlineStr">
        <is>
          <t>2001-02-07</t>
        </is>
      </c>
      <c r="W851" t="inlineStr">
        <is>
          <t>1991-09-17</t>
        </is>
      </c>
      <c r="X851" t="inlineStr">
        <is>
          <t>1991-09-17</t>
        </is>
      </c>
      <c r="Y851" t="n">
        <v>165</v>
      </c>
      <c r="Z851" t="n">
        <v>141</v>
      </c>
      <c r="AA851" t="n">
        <v>141</v>
      </c>
      <c r="AB851" t="n">
        <v>3</v>
      </c>
      <c r="AC851" t="n">
        <v>3</v>
      </c>
      <c r="AD851" t="n">
        <v>19</v>
      </c>
      <c r="AE851" t="n">
        <v>19</v>
      </c>
      <c r="AF851" t="n">
        <v>5</v>
      </c>
      <c r="AG851" t="n">
        <v>5</v>
      </c>
      <c r="AH851" t="n">
        <v>4</v>
      </c>
      <c r="AI851" t="n">
        <v>4</v>
      </c>
      <c r="AJ851" t="n">
        <v>13</v>
      </c>
      <c r="AK851" t="n">
        <v>13</v>
      </c>
      <c r="AL851" t="n">
        <v>1</v>
      </c>
      <c r="AM851" t="n">
        <v>1</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HYPERLINK("https://creighton-primo.hosted.exlibrisgroup.com/primo-explore/search?tab=default_tab&amp;search_scope=EVERYTHING&amp;vid=01CRU&amp;lang=en_US&amp;offset=0&amp;query=any,contains,991001357569702656","Catalog Record")</f>
        <v/>
      </c>
      <c r="AT851">
        <f>HYPERLINK("http://www.worldcat.org/oclc/18497056","WorldCat Record")</f>
        <v/>
      </c>
      <c r="AU851" t="inlineStr">
        <is>
          <t>889714467:eng</t>
        </is>
      </c>
      <c r="AV851" t="inlineStr">
        <is>
          <t>18497056</t>
        </is>
      </c>
      <c r="AW851" t="inlineStr">
        <is>
          <t>991001357569702656</t>
        </is>
      </c>
      <c r="AX851" t="inlineStr">
        <is>
          <t>991001357569702656</t>
        </is>
      </c>
      <c r="AY851" t="inlineStr">
        <is>
          <t>2271078860002656</t>
        </is>
      </c>
      <c r="AZ851" t="inlineStr">
        <is>
          <t>BOOK</t>
        </is>
      </c>
      <c r="BB851" t="inlineStr">
        <is>
          <t>9780894537387</t>
        </is>
      </c>
      <c r="BC851" t="inlineStr">
        <is>
          <t>32285000747799</t>
        </is>
      </c>
      <c r="BD851" t="inlineStr">
        <is>
          <t>893522513</t>
        </is>
      </c>
    </row>
    <row r="852">
      <c r="A852" t="inlineStr">
        <is>
          <t>No</t>
        </is>
      </c>
      <c r="B852" t="inlineStr">
        <is>
          <t>BT65 .A43 1983</t>
        </is>
      </c>
      <c r="C852" t="inlineStr">
        <is>
          <t>0                      BT 0065000A  43          1983</t>
        </is>
      </c>
      <c r="D852" t="inlineStr">
        <is>
          <t>Introductory theology / Zoltan Alszeghy and Maurizio Flick.</t>
        </is>
      </c>
      <c r="F852" t="inlineStr">
        <is>
          <t>No</t>
        </is>
      </c>
      <c r="G852" t="inlineStr">
        <is>
          <t>1</t>
        </is>
      </c>
      <c r="H852" t="inlineStr">
        <is>
          <t>No</t>
        </is>
      </c>
      <c r="I852" t="inlineStr">
        <is>
          <t>No</t>
        </is>
      </c>
      <c r="J852" t="inlineStr">
        <is>
          <t>0</t>
        </is>
      </c>
      <c r="K852" t="inlineStr">
        <is>
          <t>Alszeghy, Zoltán, 1915-</t>
        </is>
      </c>
      <c r="L852" t="inlineStr">
        <is>
          <t>Denville, N.J. : Dimension Books, 1983, c1982.</t>
        </is>
      </c>
      <c r="M852" t="inlineStr">
        <is>
          <t>1983</t>
        </is>
      </c>
      <c r="O852" t="inlineStr">
        <is>
          <t>eng</t>
        </is>
      </c>
      <c r="P852" t="inlineStr">
        <is>
          <t>nju</t>
        </is>
      </c>
      <c r="R852" t="inlineStr">
        <is>
          <t xml:space="preserve">BT </t>
        </is>
      </c>
      <c r="S852" t="n">
        <v>1</v>
      </c>
      <c r="T852" t="n">
        <v>1</v>
      </c>
      <c r="U852" t="inlineStr">
        <is>
          <t>2003-07-11</t>
        </is>
      </c>
      <c r="V852" t="inlineStr">
        <is>
          <t>2003-07-11</t>
        </is>
      </c>
      <c r="W852" t="inlineStr">
        <is>
          <t>1991-06-21</t>
        </is>
      </c>
      <c r="X852" t="inlineStr">
        <is>
          <t>1991-06-21</t>
        </is>
      </c>
      <c r="Y852" t="n">
        <v>45</v>
      </c>
      <c r="Z852" t="n">
        <v>40</v>
      </c>
      <c r="AA852" t="n">
        <v>373</v>
      </c>
      <c r="AB852" t="n">
        <v>2</v>
      </c>
      <c r="AC852" t="n">
        <v>4</v>
      </c>
      <c r="AD852" t="n">
        <v>5</v>
      </c>
      <c r="AE852" t="n">
        <v>14</v>
      </c>
      <c r="AF852" t="n">
        <v>0</v>
      </c>
      <c r="AG852" t="n">
        <v>3</v>
      </c>
      <c r="AH852" t="n">
        <v>1</v>
      </c>
      <c r="AI852" t="n">
        <v>2</v>
      </c>
      <c r="AJ852" t="n">
        <v>4</v>
      </c>
      <c r="AK852" t="n">
        <v>9</v>
      </c>
      <c r="AL852" t="n">
        <v>0</v>
      </c>
      <c r="AM852" t="n">
        <v>2</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HYPERLINK("https://creighton-primo.hosted.exlibrisgroup.com/primo-explore/search?tab=default_tab&amp;search_scope=EVERYTHING&amp;vid=01CRU&amp;lang=en_US&amp;offset=0&amp;query=any,contains,991000181869702656","Catalog Record")</f>
        <v/>
      </c>
      <c r="AT852">
        <f>HYPERLINK("http://www.worldcat.org/oclc/9391152","WorldCat Record")</f>
        <v/>
      </c>
      <c r="AU852" t="inlineStr">
        <is>
          <t>4495110481:eng</t>
        </is>
      </c>
      <c r="AV852" t="inlineStr">
        <is>
          <t>9391152</t>
        </is>
      </c>
      <c r="AW852" t="inlineStr">
        <is>
          <t>991000181869702656</t>
        </is>
      </c>
      <c r="AX852" t="inlineStr">
        <is>
          <t>991000181869702656</t>
        </is>
      </c>
      <c r="AY852" t="inlineStr">
        <is>
          <t>2266747820002656</t>
        </is>
      </c>
      <c r="AZ852" t="inlineStr">
        <is>
          <t>BOOK</t>
        </is>
      </c>
      <c r="BB852" t="inlineStr">
        <is>
          <t>9780871931986</t>
        </is>
      </c>
      <c r="BC852" t="inlineStr">
        <is>
          <t>32285000687490</t>
        </is>
      </c>
      <c r="BD852" t="inlineStr">
        <is>
          <t>893708188</t>
        </is>
      </c>
    </row>
    <row r="853">
      <c r="A853" t="inlineStr">
        <is>
          <t>No</t>
        </is>
      </c>
      <c r="B853" t="inlineStr">
        <is>
          <t>BT65 .B313</t>
        </is>
      </c>
      <c r="C853" t="inlineStr">
        <is>
          <t>0                      BT 0065000B  313</t>
        </is>
      </c>
      <c r="D853" t="inlineStr">
        <is>
          <t>Evangelical theology, an introduction / Karl Barth. Translated by Grover Foley.</t>
        </is>
      </c>
      <c r="F853" t="inlineStr">
        <is>
          <t>No</t>
        </is>
      </c>
      <c r="G853" t="inlineStr">
        <is>
          <t>1</t>
        </is>
      </c>
      <c r="H853" t="inlineStr">
        <is>
          <t>No</t>
        </is>
      </c>
      <c r="I853" t="inlineStr">
        <is>
          <t>No</t>
        </is>
      </c>
      <c r="J853" t="inlineStr">
        <is>
          <t>0</t>
        </is>
      </c>
      <c r="K853" t="inlineStr">
        <is>
          <t>Barth, Karl, 1886-1968.</t>
        </is>
      </c>
      <c r="L853" t="inlineStr">
        <is>
          <t>New York, Holt, Rinehart and Winston [1963]</t>
        </is>
      </c>
      <c r="M853" t="inlineStr">
        <is>
          <t>1963</t>
        </is>
      </c>
      <c r="N853" t="inlineStr">
        <is>
          <t>[1st ed.]</t>
        </is>
      </c>
      <c r="O853" t="inlineStr">
        <is>
          <t>eng</t>
        </is>
      </c>
      <c r="P853" t="inlineStr">
        <is>
          <t>nyu</t>
        </is>
      </c>
      <c r="R853" t="inlineStr">
        <is>
          <t xml:space="preserve">BT </t>
        </is>
      </c>
      <c r="S853" t="n">
        <v>3</v>
      </c>
      <c r="T853" t="n">
        <v>3</v>
      </c>
      <c r="U853" t="inlineStr">
        <is>
          <t>1994-01-27</t>
        </is>
      </c>
      <c r="V853" t="inlineStr">
        <is>
          <t>1994-01-27</t>
        </is>
      </c>
      <c r="W853" t="inlineStr">
        <is>
          <t>1991-06-21</t>
        </is>
      </c>
      <c r="X853" t="inlineStr">
        <is>
          <t>1991-06-21</t>
        </is>
      </c>
      <c r="Y853" t="n">
        <v>1163</v>
      </c>
      <c r="Z853" t="n">
        <v>1078</v>
      </c>
      <c r="AA853" t="n">
        <v>1304</v>
      </c>
      <c r="AB853" t="n">
        <v>8</v>
      </c>
      <c r="AC853" t="n">
        <v>10</v>
      </c>
      <c r="AD853" t="n">
        <v>48</v>
      </c>
      <c r="AE853" t="n">
        <v>54</v>
      </c>
      <c r="AF853" t="n">
        <v>23</v>
      </c>
      <c r="AG853" t="n">
        <v>24</v>
      </c>
      <c r="AH853" t="n">
        <v>8</v>
      </c>
      <c r="AI853" t="n">
        <v>10</v>
      </c>
      <c r="AJ853" t="n">
        <v>22</v>
      </c>
      <c r="AK853" t="n">
        <v>25</v>
      </c>
      <c r="AL853" t="n">
        <v>6</v>
      </c>
      <c r="AM853" t="n">
        <v>8</v>
      </c>
      <c r="AN853" t="n">
        <v>0</v>
      </c>
      <c r="AO853" t="n">
        <v>0</v>
      </c>
      <c r="AP853" t="inlineStr">
        <is>
          <t>No</t>
        </is>
      </c>
      <c r="AQ853" t="inlineStr">
        <is>
          <t>Yes</t>
        </is>
      </c>
      <c r="AR853">
        <f>HYPERLINK("http://catalog.hathitrust.org/Record/001411641","HathiTrust Record")</f>
        <v/>
      </c>
      <c r="AS853">
        <f>HYPERLINK("https://creighton-primo.hosted.exlibrisgroup.com/primo-explore/search?tab=default_tab&amp;search_scope=EVERYTHING&amp;vid=01CRU&amp;lang=en_US&amp;offset=0&amp;query=any,contains,991002643819702656","Catalog Record")</f>
        <v/>
      </c>
      <c r="AT853">
        <f>HYPERLINK("http://www.worldcat.org/oclc/385117","WorldCat Record")</f>
        <v/>
      </c>
      <c r="AU853" t="inlineStr">
        <is>
          <t>454594:eng</t>
        </is>
      </c>
      <c r="AV853" t="inlineStr">
        <is>
          <t>385117</t>
        </is>
      </c>
      <c r="AW853" t="inlineStr">
        <is>
          <t>991002643819702656</t>
        </is>
      </c>
      <c r="AX853" t="inlineStr">
        <is>
          <t>991002643819702656</t>
        </is>
      </c>
      <c r="AY853" t="inlineStr">
        <is>
          <t>2258851580002656</t>
        </is>
      </c>
      <c r="AZ853" t="inlineStr">
        <is>
          <t>BOOK</t>
        </is>
      </c>
      <c r="BC853" t="inlineStr">
        <is>
          <t>32285000687508</t>
        </is>
      </c>
      <c r="BD853" t="inlineStr">
        <is>
          <t>893873781</t>
        </is>
      </c>
    </row>
    <row r="854">
      <c r="A854" t="inlineStr">
        <is>
          <t>No</t>
        </is>
      </c>
      <c r="B854" t="inlineStr">
        <is>
          <t>BT65 .M77 1988</t>
        </is>
      </c>
      <c r="C854" t="inlineStr">
        <is>
          <t>0                      BT 0065000M  77          1988</t>
        </is>
      </c>
      <c r="D854" t="inlineStr">
        <is>
          <t>What is theology? / by J.J. Mueller.</t>
        </is>
      </c>
      <c r="F854" t="inlineStr">
        <is>
          <t>No</t>
        </is>
      </c>
      <c r="G854" t="inlineStr">
        <is>
          <t>1</t>
        </is>
      </c>
      <c r="H854" t="inlineStr">
        <is>
          <t>No</t>
        </is>
      </c>
      <c r="I854" t="inlineStr">
        <is>
          <t>No</t>
        </is>
      </c>
      <c r="J854" t="inlineStr">
        <is>
          <t>0</t>
        </is>
      </c>
      <c r="K854" t="inlineStr">
        <is>
          <t>Mueller, J. J. (John J.)</t>
        </is>
      </c>
      <c r="L854" t="inlineStr">
        <is>
          <t>Wilmington, Delaware : M. Glazier, 1988.</t>
        </is>
      </c>
      <c r="M854" t="inlineStr">
        <is>
          <t>1988</t>
        </is>
      </c>
      <c r="O854" t="inlineStr">
        <is>
          <t>eng</t>
        </is>
      </c>
      <c r="P854" t="inlineStr">
        <is>
          <t>deu</t>
        </is>
      </c>
      <c r="Q854" t="inlineStr">
        <is>
          <t>Zacchaeus studies. Theology</t>
        </is>
      </c>
      <c r="R854" t="inlineStr">
        <is>
          <t xml:space="preserve">BT </t>
        </is>
      </c>
      <c r="S854" t="n">
        <v>8</v>
      </c>
      <c r="T854" t="n">
        <v>8</v>
      </c>
      <c r="U854" t="inlineStr">
        <is>
          <t>2010-07-12</t>
        </is>
      </c>
      <c r="V854" t="inlineStr">
        <is>
          <t>2010-07-12</t>
        </is>
      </c>
      <c r="W854" t="inlineStr">
        <is>
          <t>1995-09-18</t>
        </is>
      </c>
      <c r="X854" t="inlineStr">
        <is>
          <t>1995-09-18</t>
        </is>
      </c>
      <c r="Y854" t="n">
        <v>99</v>
      </c>
      <c r="Z854" t="n">
        <v>82</v>
      </c>
      <c r="AA854" t="n">
        <v>122</v>
      </c>
      <c r="AB854" t="n">
        <v>2</v>
      </c>
      <c r="AC854" t="n">
        <v>2</v>
      </c>
      <c r="AD854" t="n">
        <v>15</v>
      </c>
      <c r="AE854" t="n">
        <v>21</v>
      </c>
      <c r="AF854" t="n">
        <v>3</v>
      </c>
      <c r="AG854" t="n">
        <v>5</v>
      </c>
      <c r="AH854" t="n">
        <v>4</v>
      </c>
      <c r="AI854" t="n">
        <v>6</v>
      </c>
      <c r="AJ854" t="n">
        <v>11</v>
      </c>
      <c r="AK854" t="n">
        <v>15</v>
      </c>
      <c r="AL854" t="n">
        <v>1</v>
      </c>
      <c r="AM854" t="n">
        <v>1</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HYPERLINK("https://creighton-primo.hosted.exlibrisgroup.com/primo-explore/search?tab=default_tab&amp;search_scope=EVERYTHING&amp;vid=01CRU&amp;lang=en_US&amp;offset=0&amp;query=any,contains,991001427199702656","Catalog Record")</f>
        <v/>
      </c>
      <c r="AT854">
        <f>HYPERLINK("http://www.worldcat.org/oclc/19056104","WorldCat Record")</f>
        <v/>
      </c>
      <c r="AU854" t="inlineStr">
        <is>
          <t>18364888:eng</t>
        </is>
      </c>
      <c r="AV854" t="inlineStr">
        <is>
          <t>19056104</t>
        </is>
      </c>
      <c r="AW854" t="inlineStr">
        <is>
          <t>991001427199702656</t>
        </is>
      </c>
      <c r="AX854" t="inlineStr">
        <is>
          <t>991001427199702656</t>
        </is>
      </c>
      <c r="AY854" t="inlineStr">
        <is>
          <t>2256957300002656</t>
        </is>
      </c>
      <c r="AZ854" t="inlineStr">
        <is>
          <t>BOOK</t>
        </is>
      </c>
      <c r="BB854" t="inlineStr">
        <is>
          <t>9780894536816</t>
        </is>
      </c>
      <c r="BC854" t="inlineStr">
        <is>
          <t>32285002093986</t>
        </is>
      </c>
      <c r="BD854" t="inlineStr">
        <is>
          <t>893340429</t>
        </is>
      </c>
    </row>
    <row r="855">
      <c r="A855" t="inlineStr">
        <is>
          <t>No</t>
        </is>
      </c>
      <c r="B855" t="inlineStr">
        <is>
          <t>BT650 .B43 1953</t>
        </is>
      </c>
      <c r="C855" t="inlineStr">
        <is>
          <t>0                      BT 0650000B  43          1953</t>
        </is>
      </c>
      <c r="D855" t="inlineStr">
        <is>
          <t>The sun her mantle / by John Beevers.</t>
        </is>
      </c>
      <c r="F855" t="inlineStr">
        <is>
          <t>No</t>
        </is>
      </c>
      <c r="G855" t="inlineStr">
        <is>
          <t>1</t>
        </is>
      </c>
      <c r="H855" t="inlineStr">
        <is>
          <t>No</t>
        </is>
      </c>
      <c r="I855" t="inlineStr">
        <is>
          <t>No</t>
        </is>
      </c>
      <c r="J855" t="inlineStr">
        <is>
          <t>0</t>
        </is>
      </c>
      <c r="K855" t="inlineStr">
        <is>
          <t>Beevers, John, 1911-1975.</t>
        </is>
      </c>
      <c r="L855" t="inlineStr">
        <is>
          <t>Westminster, Md. : Newman Press, 1953.</t>
        </is>
      </c>
      <c r="M855" t="inlineStr">
        <is>
          <t>1953</t>
        </is>
      </c>
      <c r="O855" t="inlineStr">
        <is>
          <t>eng</t>
        </is>
      </c>
      <c r="P855" t="inlineStr">
        <is>
          <t>mdu</t>
        </is>
      </c>
      <c r="R855" t="inlineStr">
        <is>
          <t xml:space="preserve">BT </t>
        </is>
      </c>
      <c r="S855" t="n">
        <v>3</v>
      </c>
      <c r="T855" t="n">
        <v>3</v>
      </c>
      <c r="U855" t="inlineStr">
        <is>
          <t>2000-11-29</t>
        </is>
      </c>
      <c r="V855" t="inlineStr">
        <is>
          <t>2000-11-29</t>
        </is>
      </c>
      <c r="W855" t="inlineStr">
        <is>
          <t>1991-09-18</t>
        </is>
      </c>
      <c r="X855" t="inlineStr">
        <is>
          <t>1991-09-18</t>
        </is>
      </c>
      <c r="Y855" t="n">
        <v>74</v>
      </c>
      <c r="Z855" t="n">
        <v>66</v>
      </c>
      <c r="AA855" t="n">
        <v>130</v>
      </c>
      <c r="AB855" t="n">
        <v>2</v>
      </c>
      <c r="AC855" t="n">
        <v>3</v>
      </c>
      <c r="AD855" t="n">
        <v>11</v>
      </c>
      <c r="AE855" t="n">
        <v>21</v>
      </c>
      <c r="AF855" t="n">
        <v>5</v>
      </c>
      <c r="AG855" t="n">
        <v>6</v>
      </c>
      <c r="AH855" t="n">
        <v>5</v>
      </c>
      <c r="AI855" t="n">
        <v>7</v>
      </c>
      <c r="AJ855" t="n">
        <v>8</v>
      </c>
      <c r="AK855" t="n">
        <v>17</v>
      </c>
      <c r="AL855" t="n">
        <v>0</v>
      </c>
      <c r="AM855" t="n">
        <v>0</v>
      </c>
      <c r="AN855" t="n">
        <v>0</v>
      </c>
      <c r="AO855" t="n">
        <v>0</v>
      </c>
      <c r="AP855" t="inlineStr">
        <is>
          <t>Yes</t>
        </is>
      </c>
      <c r="AQ855" t="inlineStr">
        <is>
          <t>No</t>
        </is>
      </c>
      <c r="AR855">
        <f>HYPERLINK("http://catalog.hathitrust.org/Record/102693136","HathiTrust Record")</f>
        <v/>
      </c>
      <c r="AS855">
        <f>HYPERLINK("https://creighton-primo.hosted.exlibrisgroup.com/primo-explore/search?tab=default_tab&amp;search_scope=EVERYTHING&amp;vid=01CRU&amp;lang=en_US&amp;offset=0&amp;query=any,contains,991000732379702656","Catalog Record")</f>
        <v/>
      </c>
      <c r="AT855">
        <f>HYPERLINK("http://www.worldcat.org/oclc/12742774","WorldCat Record")</f>
        <v/>
      </c>
      <c r="AU855" t="inlineStr">
        <is>
          <t>423487961:eng</t>
        </is>
      </c>
      <c r="AV855" t="inlineStr">
        <is>
          <t>12742774</t>
        </is>
      </c>
      <c r="AW855" t="inlineStr">
        <is>
          <t>991000732379702656</t>
        </is>
      </c>
      <c r="AX855" t="inlineStr">
        <is>
          <t>991000732379702656</t>
        </is>
      </c>
      <c r="AY855" t="inlineStr">
        <is>
          <t>2266290020002656</t>
        </is>
      </c>
      <c r="AZ855" t="inlineStr">
        <is>
          <t>BOOK</t>
        </is>
      </c>
      <c r="BC855" t="inlineStr">
        <is>
          <t>32285000747815</t>
        </is>
      </c>
      <c r="BD855" t="inlineStr">
        <is>
          <t>893237568</t>
        </is>
      </c>
    </row>
    <row r="856">
      <c r="A856" t="inlineStr">
        <is>
          <t>No</t>
        </is>
      </c>
      <c r="B856" t="inlineStr">
        <is>
          <t>BT650 .G55</t>
        </is>
      </c>
      <c r="C856" t="inlineStr">
        <is>
          <t>0                      BT 0650000G  55</t>
        </is>
      </c>
      <c r="D856" t="inlineStr">
        <is>
          <t>Famous shrines of Our Lady / by H. M. Gillett.</t>
        </is>
      </c>
      <c r="E856" t="inlineStr">
        <is>
          <t>V.2</t>
        </is>
      </c>
      <c r="F856" t="inlineStr">
        <is>
          <t>Yes</t>
        </is>
      </c>
      <c r="G856" t="inlineStr">
        <is>
          <t>1</t>
        </is>
      </c>
      <c r="H856" t="inlineStr">
        <is>
          <t>No</t>
        </is>
      </c>
      <c r="I856" t="inlineStr">
        <is>
          <t>No</t>
        </is>
      </c>
      <c r="J856" t="inlineStr">
        <is>
          <t>0</t>
        </is>
      </c>
      <c r="K856" t="inlineStr">
        <is>
          <t>Gillett, H. M. (Henry Martin), 1902-1980.</t>
        </is>
      </c>
      <c r="L856" t="inlineStr">
        <is>
          <t>Westminster, Md. : Carroll Press, 1950-</t>
        </is>
      </c>
      <c r="M856" t="inlineStr">
        <is>
          <t>1950</t>
        </is>
      </c>
      <c r="O856" t="inlineStr">
        <is>
          <t>eng</t>
        </is>
      </c>
      <c r="P856" t="inlineStr">
        <is>
          <t>mdu</t>
        </is>
      </c>
      <c r="R856" t="inlineStr">
        <is>
          <t xml:space="preserve">BT </t>
        </is>
      </c>
      <c r="S856" t="n">
        <v>5</v>
      </c>
      <c r="T856" t="n">
        <v>9</v>
      </c>
      <c r="U856" t="inlineStr">
        <is>
          <t>1997-04-05</t>
        </is>
      </c>
      <c r="V856" t="inlineStr">
        <is>
          <t>1997-04-05</t>
        </is>
      </c>
      <c r="W856" t="inlineStr">
        <is>
          <t>1990-03-21</t>
        </is>
      </c>
      <c r="X856" t="inlineStr">
        <is>
          <t>1991-09-18</t>
        </is>
      </c>
      <c r="Y856" t="n">
        <v>42</v>
      </c>
      <c r="Z856" t="n">
        <v>40</v>
      </c>
      <c r="AA856" t="n">
        <v>68</v>
      </c>
      <c r="AB856" t="n">
        <v>2</v>
      </c>
      <c r="AC856" t="n">
        <v>2</v>
      </c>
      <c r="AD856" t="n">
        <v>9</v>
      </c>
      <c r="AE856" t="n">
        <v>10</v>
      </c>
      <c r="AF856" t="n">
        <v>3</v>
      </c>
      <c r="AG856" t="n">
        <v>3</v>
      </c>
      <c r="AH856" t="n">
        <v>1</v>
      </c>
      <c r="AI856" t="n">
        <v>1</v>
      </c>
      <c r="AJ856" t="n">
        <v>7</v>
      </c>
      <c r="AK856" t="n">
        <v>8</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HYPERLINK("https://creighton-primo.hosted.exlibrisgroup.com/primo-explore/search?tab=default_tab&amp;search_scope=EVERYTHING&amp;vid=01CRU&amp;lang=en_US&amp;offset=0&amp;query=any,contains,991004063199702656","Catalog Record")</f>
        <v/>
      </c>
      <c r="AT856">
        <f>HYPERLINK("http://www.worldcat.org/oclc/2277893","WorldCat Record")</f>
        <v/>
      </c>
      <c r="AU856" t="inlineStr">
        <is>
          <t>4200954:eng</t>
        </is>
      </c>
      <c r="AV856" t="inlineStr">
        <is>
          <t>2277893</t>
        </is>
      </c>
      <c r="AW856" t="inlineStr">
        <is>
          <t>991004063199702656</t>
        </is>
      </c>
      <c r="AX856" t="inlineStr">
        <is>
          <t>991004063199702656</t>
        </is>
      </c>
      <c r="AY856" t="inlineStr">
        <is>
          <t>2269950010002656</t>
        </is>
      </c>
      <c r="AZ856" t="inlineStr">
        <is>
          <t>BOOK</t>
        </is>
      </c>
      <c r="BC856" t="inlineStr">
        <is>
          <t>32285000088970</t>
        </is>
      </c>
      <c r="BD856" t="inlineStr">
        <is>
          <t>893337296</t>
        </is>
      </c>
    </row>
    <row r="857">
      <c r="A857" t="inlineStr">
        <is>
          <t>No</t>
        </is>
      </c>
      <c r="B857" t="inlineStr">
        <is>
          <t>BT650 .G55</t>
        </is>
      </c>
      <c r="C857" t="inlineStr">
        <is>
          <t>0                      BT 0650000G  55</t>
        </is>
      </c>
      <c r="D857" t="inlineStr">
        <is>
          <t>Famous shrines of Our Lady / by H. M. Gillett.</t>
        </is>
      </c>
      <c r="E857" t="inlineStr">
        <is>
          <t>V.1</t>
        </is>
      </c>
      <c r="F857" t="inlineStr">
        <is>
          <t>Yes</t>
        </is>
      </c>
      <c r="G857" t="inlineStr">
        <is>
          <t>1</t>
        </is>
      </c>
      <c r="H857" t="inlineStr">
        <is>
          <t>No</t>
        </is>
      </c>
      <c r="I857" t="inlineStr">
        <is>
          <t>No</t>
        </is>
      </c>
      <c r="J857" t="inlineStr">
        <is>
          <t>0</t>
        </is>
      </c>
      <c r="K857" t="inlineStr">
        <is>
          <t>Gillett, H. M. (Henry Martin), 1902-1980.</t>
        </is>
      </c>
      <c r="L857" t="inlineStr">
        <is>
          <t>Westminster, Md. : Carroll Press, 1950-</t>
        </is>
      </c>
      <c r="M857" t="inlineStr">
        <is>
          <t>1950</t>
        </is>
      </c>
      <c r="O857" t="inlineStr">
        <is>
          <t>eng</t>
        </is>
      </c>
      <c r="P857" t="inlineStr">
        <is>
          <t>mdu</t>
        </is>
      </c>
      <c r="R857" t="inlineStr">
        <is>
          <t xml:space="preserve">BT </t>
        </is>
      </c>
      <c r="S857" t="n">
        <v>4</v>
      </c>
      <c r="T857" t="n">
        <v>9</v>
      </c>
      <c r="U857" t="inlineStr">
        <is>
          <t>1997-04-05</t>
        </is>
      </c>
      <c r="V857" t="inlineStr">
        <is>
          <t>1997-04-05</t>
        </is>
      </c>
      <c r="W857" t="inlineStr">
        <is>
          <t>1991-09-18</t>
        </is>
      </c>
      <c r="X857" t="inlineStr">
        <is>
          <t>1991-09-18</t>
        </is>
      </c>
      <c r="Y857" t="n">
        <v>42</v>
      </c>
      <c r="Z857" t="n">
        <v>40</v>
      </c>
      <c r="AA857" t="n">
        <v>68</v>
      </c>
      <c r="AB857" t="n">
        <v>2</v>
      </c>
      <c r="AC857" t="n">
        <v>2</v>
      </c>
      <c r="AD857" t="n">
        <v>9</v>
      </c>
      <c r="AE857" t="n">
        <v>10</v>
      </c>
      <c r="AF857" t="n">
        <v>3</v>
      </c>
      <c r="AG857" t="n">
        <v>3</v>
      </c>
      <c r="AH857" t="n">
        <v>1</v>
      </c>
      <c r="AI857" t="n">
        <v>1</v>
      </c>
      <c r="AJ857" t="n">
        <v>7</v>
      </c>
      <c r="AK857" t="n">
        <v>8</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HYPERLINK("https://creighton-primo.hosted.exlibrisgroup.com/primo-explore/search?tab=default_tab&amp;search_scope=EVERYTHING&amp;vid=01CRU&amp;lang=en_US&amp;offset=0&amp;query=any,contains,991004063199702656","Catalog Record")</f>
        <v/>
      </c>
      <c r="AT857">
        <f>HYPERLINK("http://www.worldcat.org/oclc/2277893","WorldCat Record")</f>
        <v/>
      </c>
      <c r="AU857" t="inlineStr">
        <is>
          <t>4200954:eng</t>
        </is>
      </c>
      <c r="AV857" t="inlineStr">
        <is>
          <t>2277893</t>
        </is>
      </c>
      <c r="AW857" t="inlineStr">
        <is>
          <t>991004063199702656</t>
        </is>
      </c>
      <c r="AX857" t="inlineStr">
        <is>
          <t>991004063199702656</t>
        </is>
      </c>
      <c r="AY857" t="inlineStr">
        <is>
          <t>2269950010002656</t>
        </is>
      </c>
      <c r="AZ857" t="inlineStr">
        <is>
          <t>BOOK</t>
        </is>
      </c>
      <c r="BC857" t="inlineStr">
        <is>
          <t>32285000747831</t>
        </is>
      </c>
      <c r="BD857" t="inlineStr">
        <is>
          <t>893337297</t>
        </is>
      </c>
    </row>
    <row r="858">
      <c r="A858" t="inlineStr">
        <is>
          <t>No</t>
        </is>
      </c>
      <c r="B858" t="inlineStr">
        <is>
          <t>BT650 .L573 1960a</t>
        </is>
      </c>
      <c r="C858" t="inlineStr">
        <is>
          <t>0                      BT 0650000L  573         1960a</t>
        </is>
      </c>
      <c r="D858" t="inlineStr">
        <is>
          <t>Apparitions of Our Lady : their place in the life of the Church / Louis Lochet. [Translation by John Dingle.</t>
        </is>
      </c>
      <c r="F858" t="inlineStr">
        <is>
          <t>No</t>
        </is>
      </c>
      <c r="G858" t="inlineStr">
        <is>
          <t>1</t>
        </is>
      </c>
      <c r="H858" t="inlineStr">
        <is>
          <t>No</t>
        </is>
      </c>
      <c r="I858" t="inlineStr">
        <is>
          <t>No</t>
        </is>
      </c>
      <c r="J858" t="inlineStr">
        <is>
          <t>0</t>
        </is>
      </c>
      <c r="K858" t="inlineStr">
        <is>
          <t>Lochet, Louis.</t>
        </is>
      </c>
      <c r="L858" t="inlineStr">
        <is>
          <t>New York] : Herder and Herder, [1960]</t>
        </is>
      </c>
      <c r="M858" t="inlineStr">
        <is>
          <t>1960</t>
        </is>
      </c>
      <c r="O858" t="inlineStr">
        <is>
          <t>eng</t>
        </is>
      </c>
      <c r="P858" t="inlineStr">
        <is>
          <t>nyu</t>
        </is>
      </c>
      <c r="R858" t="inlineStr">
        <is>
          <t xml:space="preserve">BT </t>
        </is>
      </c>
      <c r="S858" t="n">
        <v>7</v>
      </c>
      <c r="T858" t="n">
        <v>7</v>
      </c>
      <c r="U858" t="inlineStr">
        <is>
          <t>2000-11-29</t>
        </is>
      </c>
      <c r="V858" t="inlineStr">
        <is>
          <t>2000-11-29</t>
        </is>
      </c>
      <c r="W858" t="inlineStr">
        <is>
          <t>1990-03-21</t>
        </is>
      </c>
      <c r="X858" t="inlineStr">
        <is>
          <t>1990-03-21</t>
        </is>
      </c>
      <c r="Y858" t="n">
        <v>104</v>
      </c>
      <c r="Z858" t="n">
        <v>90</v>
      </c>
      <c r="AA858" t="n">
        <v>92</v>
      </c>
      <c r="AB858" t="n">
        <v>2</v>
      </c>
      <c r="AC858" t="n">
        <v>2</v>
      </c>
      <c r="AD858" t="n">
        <v>17</v>
      </c>
      <c r="AE858" t="n">
        <v>17</v>
      </c>
      <c r="AF858" t="n">
        <v>5</v>
      </c>
      <c r="AG858" t="n">
        <v>5</v>
      </c>
      <c r="AH858" t="n">
        <v>3</v>
      </c>
      <c r="AI858" t="n">
        <v>3</v>
      </c>
      <c r="AJ858" t="n">
        <v>15</v>
      </c>
      <c r="AK858" t="n">
        <v>15</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HYPERLINK("https://creighton-primo.hosted.exlibrisgroup.com/primo-explore/search?tab=default_tab&amp;search_scope=EVERYTHING&amp;vid=01CRU&amp;lang=en_US&amp;offset=0&amp;query=any,contains,991003980289702656","Catalog Record")</f>
        <v/>
      </c>
      <c r="AT858">
        <f>HYPERLINK("http://www.worldcat.org/oclc/2019573","WorldCat Record")</f>
        <v/>
      </c>
      <c r="AU858" t="inlineStr">
        <is>
          <t>4663639937:eng</t>
        </is>
      </c>
      <c r="AV858" t="inlineStr">
        <is>
          <t>2019573</t>
        </is>
      </c>
      <c r="AW858" t="inlineStr">
        <is>
          <t>991003980289702656</t>
        </is>
      </c>
      <c r="AX858" t="inlineStr">
        <is>
          <t>991003980289702656</t>
        </is>
      </c>
      <c r="AY858" t="inlineStr">
        <is>
          <t>2260139170002656</t>
        </is>
      </c>
      <c r="AZ858" t="inlineStr">
        <is>
          <t>BOOK</t>
        </is>
      </c>
      <c r="BC858" t="inlineStr">
        <is>
          <t>32285000088988</t>
        </is>
      </c>
      <c r="BD858" t="inlineStr">
        <is>
          <t>893512642</t>
        </is>
      </c>
    </row>
    <row r="859">
      <c r="A859" t="inlineStr">
        <is>
          <t>No</t>
        </is>
      </c>
      <c r="B859" t="inlineStr">
        <is>
          <t>BT650 .R66 1984</t>
        </is>
      </c>
      <c r="C859" t="inlineStr">
        <is>
          <t>0                      BT 0650000R  66          1984</t>
        </is>
      </c>
      <c r="D859" t="inlineStr">
        <is>
          <t>Mary, Queen of Peace : is the Mother of God appearing in Medjugorje? / Lucy Rooney, Robert Faricy.</t>
        </is>
      </c>
      <c r="F859" t="inlineStr">
        <is>
          <t>No</t>
        </is>
      </c>
      <c r="G859" t="inlineStr">
        <is>
          <t>1</t>
        </is>
      </c>
      <c r="H859" t="inlineStr">
        <is>
          <t>No</t>
        </is>
      </c>
      <c r="I859" t="inlineStr">
        <is>
          <t>No</t>
        </is>
      </c>
      <c r="J859" t="inlineStr">
        <is>
          <t>0</t>
        </is>
      </c>
      <c r="K859" t="inlineStr">
        <is>
          <t>Rooney, Lucy.</t>
        </is>
      </c>
      <c r="L859" t="inlineStr">
        <is>
          <t>New York : Alba House, c1984,</t>
        </is>
      </c>
      <c r="M859" t="inlineStr">
        <is>
          <t>1984</t>
        </is>
      </c>
      <c r="O859" t="inlineStr">
        <is>
          <t>eng</t>
        </is>
      </c>
      <c r="P859" t="inlineStr">
        <is>
          <t>nyu</t>
        </is>
      </c>
      <c r="R859" t="inlineStr">
        <is>
          <t xml:space="preserve">BT </t>
        </is>
      </c>
      <c r="S859" t="n">
        <v>9</v>
      </c>
      <c r="T859" t="n">
        <v>9</v>
      </c>
      <c r="U859" t="inlineStr">
        <is>
          <t>2007-09-26</t>
        </is>
      </c>
      <c r="V859" t="inlineStr">
        <is>
          <t>2007-09-26</t>
        </is>
      </c>
      <c r="W859" t="inlineStr">
        <is>
          <t>1993-08-09</t>
        </is>
      </c>
      <c r="X859" t="inlineStr">
        <is>
          <t>1993-08-09</t>
        </is>
      </c>
      <c r="Y859" t="n">
        <v>76</v>
      </c>
      <c r="Z859" t="n">
        <v>72</v>
      </c>
      <c r="AA859" t="n">
        <v>79</v>
      </c>
      <c r="AB859" t="n">
        <v>1</v>
      </c>
      <c r="AC859" t="n">
        <v>1</v>
      </c>
      <c r="AD859" t="n">
        <v>9</v>
      </c>
      <c r="AE859" t="n">
        <v>9</v>
      </c>
      <c r="AF859" t="n">
        <v>1</v>
      </c>
      <c r="AG859" t="n">
        <v>1</v>
      </c>
      <c r="AH859" t="n">
        <v>2</v>
      </c>
      <c r="AI859" t="n">
        <v>2</v>
      </c>
      <c r="AJ859" t="n">
        <v>7</v>
      </c>
      <c r="AK859" t="n">
        <v>7</v>
      </c>
      <c r="AL859" t="n">
        <v>0</v>
      </c>
      <c r="AM859" t="n">
        <v>0</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HYPERLINK("https://creighton-primo.hosted.exlibrisgroup.com/primo-explore/search?tab=default_tab&amp;search_scope=EVERYTHING&amp;vid=01CRU&amp;lang=en_US&amp;offset=0&amp;query=any,contains,991000715559702656","Catalog Record")</f>
        <v/>
      </c>
      <c r="AT859">
        <f>HYPERLINK("http://www.worldcat.org/oclc/12621524","WorldCat Record")</f>
        <v/>
      </c>
      <c r="AU859" t="inlineStr">
        <is>
          <t>5160339:eng</t>
        </is>
      </c>
      <c r="AV859" t="inlineStr">
        <is>
          <t>12621524</t>
        </is>
      </c>
      <c r="AW859" t="inlineStr">
        <is>
          <t>991000715559702656</t>
        </is>
      </c>
      <c r="AX859" t="inlineStr">
        <is>
          <t>991000715559702656</t>
        </is>
      </c>
      <c r="AY859" t="inlineStr">
        <is>
          <t>2257413850002656</t>
        </is>
      </c>
      <c r="AZ859" t="inlineStr">
        <is>
          <t>BOOK</t>
        </is>
      </c>
      <c r="BB859" t="inlineStr">
        <is>
          <t>9780818904752</t>
        </is>
      </c>
      <c r="BC859" t="inlineStr">
        <is>
          <t>32285001755973</t>
        </is>
      </c>
      <c r="BD859" t="inlineStr">
        <is>
          <t>893255660</t>
        </is>
      </c>
    </row>
    <row r="860">
      <c r="A860" t="inlineStr">
        <is>
          <t>No</t>
        </is>
      </c>
      <c r="B860" t="inlineStr">
        <is>
          <t>BT653 .B45 1914</t>
        </is>
      </c>
      <c r="C860" t="inlineStr">
        <is>
          <t>0                      BT 0653000B  45          1914</t>
        </is>
      </c>
      <c r="D860" t="inlineStr">
        <is>
          <t>Lourdes / by Robert Hugh Benson.</t>
        </is>
      </c>
      <c r="F860" t="inlineStr">
        <is>
          <t>No</t>
        </is>
      </c>
      <c r="G860" t="inlineStr">
        <is>
          <t>1</t>
        </is>
      </c>
      <c r="H860" t="inlineStr">
        <is>
          <t>No</t>
        </is>
      </c>
      <c r="I860" t="inlineStr">
        <is>
          <t>No</t>
        </is>
      </c>
      <c r="J860" t="inlineStr">
        <is>
          <t>0</t>
        </is>
      </c>
      <c r="K860" t="inlineStr">
        <is>
          <t>Benson, Robert Hugh, 1871-1914.</t>
        </is>
      </c>
      <c r="L860" t="inlineStr">
        <is>
          <t>St. Louis : Herder ; London : Manresa, 1914.</t>
        </is>
      </c>
      <c r="M860" t="inlineStr">
        <is>
          <t>1914</t>
        </is>
      </c>
      <c r="O860" t="inlineStr">
        <is>
          <t>eng</t>
        </is>
      </c>
      <c r="P860" t="inlineStr">
        <is>
          <t>mou</t>
        </is>
      </c>
      <c r="Q860" t="inlineStr">
        <is>
          <t>The Catholic library : 12.</t>
        </is>
      </c>
      <c r="R860" t="inlineStr">
        <is>
          <t xml:space="preserve">BT </t>
        </is>
      </c>
      <c r="S860" t="n">
        <v>1</v>
      </c>
      <c r="T860" t="n">
        <v>1</v>
      </c>
      <c r="U860" t="inlineStr">
        <is>
          <t>1995-05-26</t>
        </is>
      </c>
      <c r="V860" t="inlineStr">
        <is>
          <t>1995-05-26</t>
        </is>
      </c>
      <c r="W860" t="inlineStr">
        <is>
          <t>1991-09-30</t>
        </is>
      </c>
      <c r="X860" t="inlineStr">
        <is>
          <t>1991-09-30</t>
        </is>
      </c>
      <c r="Y860" t="n">
        <v>82</v>
      </c>
      <c r="Z860" t="n">
        <v>71</v>
      </c>
      <c r="AA860" t="n">
        <v>143</v>
      </c>
      <c r="AB860" t="n">
        <v>1</v>
      </c>
      <c r="AC860" t="n">
        <v>1</v>
      </c>
      <c r="AD860" t="n">
        <v>15</v>
      </c>
      <c r="AE860" t="n">
        <v>15</v>
      </c>
      <c r="AF860" t="n">
        <v>4</v>
      </c>
      <c r="AG860" t="n">
        <v>4</v>
      </c>
      <c r="AH860" t="n">
        <v>5</v>
      </c>
      <c r="AI860" t="n">
        <v>5</v>
      </c>
      <c r="AJ860" t="n">
        <v>11</v>
      </c>
      <c r="AK860" t="n">
        <v>11</v>
      </c>
      <c r="AL860" t="n">
        <v>0</v>
      </c>
      <c r="AM860" t="n">
        <v>0</v>
      </c>
      <c r="AN860" t="n">
        <v>0</v>
      </c>
      <c r="AO860" t="n">
        <v>0</v>
      </c>
      <c r="AP860" t="inlineStr">
        <is>
          <t>Yes</t>
        </is>
      </c>
      <c r="AQ860" t="inlineStr">
        <is>
          <t>No</t>
        </is>
      </c>
      <c r="AR860">
        <f>HYPERLINK("http://catalog.hathitrust.org/Record/008625773","HathiTrust Record")</f>
        <v/>
      </c>
      <c r="AS860">
        <f>HYPERLINK("https://creighton-primo.hosted.exlibrisgroup.com/primo-explore/search?tab=default_tab&amp;search_scope=EVERYTHING&amp;vid=01CRU&amp;lang=en_US&amp;offset=0&amp;query=any,contains,991005041519702656","Catalog Record")</f>
        <v/>
      </c>
      <c r="AT860">
        <f>HYPERLINK("http://www.worldcat.org/oclc/6796703","WorldCat Record")</f>
        <v/>
      </c>
      <c r="AU860" t="inlineStr">
        <is>
          <t>24476381:eng</t>
        </is>
      </c>
      <c r="AV860" t="inlineStr">
        <is>
          <t>6796703</t>
        </is>
      </c>
      <c r="AW860" t="inlineStr">
        <is>
          <t>991005041519702656</t>
        </is>
      </c>
      <c r="AX860" t="inlineStr">
        <is>
          <t>991005041519702656</t>
        </is>
      </c>
      <c r="AY860" t="inlineStr">
        <is>
          <t>2266438230002656</t>
        </is>
      </c>
      <c r="AZ860" t="inlineStr">
        <is>
          <t>BOOK</t>
        </is>
      </c>
      <c r="BC860" t="inlineStr">
        <is>
          <t>32285000747864</t>
        </is>
      </c>
      <c r="BD860" t="inlineStr">
        <is>
          <t>893782941</t>
        </is>
      </c>
    </row>
    <row r="861">
      <c r="A861" t="inlineStr">
        <is>
          <t>No</t>
        </is>
      </c>
      <c r="B861" t="inlineStr">
        <is>
          <t>BT653 .C6 1920</t>
        </is>
      </c>
      <c r="C861" t="inlineStr">
        <is>
          <t>0                      BT 0653000C  6           1920</t>
        </is>
      </c>
      <c r="D861" t="inlineStr">
        <is>
          <t>The logic of Lourdes / by Rev. John J. Clifford.</t>
        </is>
      </c>
      <c r="F861" t="inlineStr">
        <is>
          <t>No</t>
        </is>
      </c>
      <c r="G861" t="inlineStr">
        <is>
          <t>1</t>
        </is>
      </c>
      <c r="H861" t="inlineStr">
        <is>
          <t>No</t>
        </is>
      </c>
      <c r="I861" t="inlineStr">
        <is>
          <t>No</t>
        </is>
      </c>
      <c r="J861" t="inlineStr">
        <is>
          <t>0</t>
        </is>
      </c>
      <c r="K861" t="inlineStr">
        <is>
          <t>Clifford, John Joseph.</t>
        </is>
      </c>
      <c r="L861" t="inlineStr">
        <is>
          <t>New York : The American press, c1920.</t>
        </is>
      </c>
      <c r="M861" t="inlineStr">
        <is>
          <t>1920</t>
        </is>
      </c>
      <c r="O861" t="inlineStr">
        <is>
          <t>eng</t>
        </is>
      </c>
      <c r="P861" t="inlineStr">
        <is>
          <t>nyu</t>
        </is>
      </c>
      <c r="R861" t="inlineStr">
        <is>
          <t xml:space="preserve">BT </t>
        </is>
      </c>
      <c r="S861" t="n">
        <v>2</v>
      </c>
      <c r="T861" t="n">
        <v>2</v>
      </c>
      <c r="U861" t="inlineStr">
        <is>
          <t>1994-05-05</t>
        </is>
      </c>
      <c r="V861" t="inlineStr">
        <is>
          <t>1994-05-05</t>
        </is>
      </c>
      <c r="W861" t="inlineStr">
        <is>
          <t>1991-09-18</t>
        </is>
      </c>
      <c r="X861" t="inlineStr">
        <is>
          <t>1991-09-18</t>
        </is>
      </c>
      <c r="Y861" t="n">
        <v>22</v>
      </c>
      <c r="Z861" t="n">
        <v>22</v>
      </c>
      <c r="AA861" t="n">
        <v>43</v>
      </c>
      <c r="AB861" t="n">
        <v>1</v>
      </c>
      <c r="AC861" t="n">
        <v>1</v>
      </c>
      <c r="AD861" t="n">
        <v>9</v>
      </c>
      <c r="AE861" t="n">
        <v>11</v>
      </c>
      <c r="AF861" t="n">
        <v>2</v>
      </c>
      <c r="AG861" t="n">
        <v>2</v>
      </c>
      <c r="AH861" t="n">
        <v>3</v>
      </c>
      <c r="AI861" t="n">
        <v>5</v>
      </c>
      <c r="AJ861" t="n">
        <v>6</v>
      </c>
      <c r="AK861" t="n">
        <v>8</v>
      </c>
      <c r="AL861" t="n">
        <v>0</v>
      </c>
      <c r="AM861" t="n">
        <v>0</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HYPERLINK("https://creighton-primo.hosted.exlibrisgroup.com/primo-explore/search?tab=default_tab&amp;search_scope=EVERYTHING&amp;vid=01CRU&amp;lang=en_US&amp;offset=0&amp;query=any,contains,991000352309702656","Catalog Record")</f>
        <v/>
      </c>
      <c r="AT861">
        <f>HYPERLINK("http://www.worldcat.org/oclc/10318286","WorldCat Record")</f>
        <v/>
      </c>
      <c r="AU861" t="inlineStr">
        <is>
          <t>9176044:eng</t>
        </is>
      </c>
      <c r="AV861" t="inlineStr">
        <is>
          <t>10318286</t>
        </is>
      </c>
      <c r="AW861" t="inlineStr">
        <is>
          <t>991000352309702656</t>
        </is>
      </c>
      <c r="AX861" t="inlineStr">
        <is>
          <t>991000352309702656</t>
        </is>
      </c>
      <c r="AY861" t="inlineStr">
        <is>
          <t>2269669230002656</t>
        </is>
      </c>
      <c r="AZ861" t="inlineStr">
        <is>
          <t>BOOK</t>
        </is>
      </c>
      <c r="BC861" t="inlineStr">
        <is>
          <t>32285000747872</t>
        </is>
      </c>
      <c r="BD861" t="inlineStr">
        <is>
          <t>893695763</t>
        </is>
      </c>
    </row>
    <row r="862">
      <c r="A862" t="inlineStr">
        <is>
          <t>No</t>
        </is>
      </c>
      <c r="B862" t="inlineStr">
        <is>
          <t>BT653 .F6 1957</t>
        </is>
      </c>
      <c r="C862" t="inlineStr">
        <is>
          <t>0                      BT 0653000F  6           1957</t>
        </is>
      </c>
      <c r="D862" t="inlineStr">
        <is>
          <t>This place called Lourdes / by Sister Maureen Flynn.</t>
        </is>
      </c>
      <c r="F862" t="inlineStr">
        <is>
          <t>No</t>
        </is>
      </c>
      <c r="G862" t="inlineStr">
        <is>
          <t>1</t>
        </is>
      </c>
      <c r="H862" t="inlineStr">
        <is>
          <t>No</t>
        </is>
      </c>
      <c r="I862" t="inlineStr">
        <is>
          <t>No</t>
        </is>
      </c>
      <c r="J862" t="inlineStr">
        <is>
          <t>0</t>
        </is>
      </c>
      <c r="K862" t="inlineStr">
        <is>
          <t>Flynn, Maureen, 1900-</t>
        </is>
      </c>
      <c r="L862" t="inlineStr">
        <is>
          <t>Chicago : H. Regnery Co., 1957.</t>
        </is>
      </c>
      <c r="M862" t="inlineStr">
        <is>
          <t>1957</t>
        </is>
      </c>
      <c r="O862" t="inlineStr">
        <is>
          <t>eng</t>
        </is>
      </c>
      <c r="P862" t="inlineStr">
        <is>
          <t>___</t>
        </is>
      </c>
      <c r="R862" t="inlineStr">
        <is>
          <t xml:space="preserve">BT </t>
        </is>
      </c>
      <c r="S862" t="n">
        <v>4</v>
      </c>
      <c r="T862" t="n">
        <v>4</v>
      </c>
      <c r="U862" t="inlineStr">
        <is>
          <t>1995-04-03</t>
        </is>
      </c>
      <c r="V862" t="inlineStr">
        <is>
          <t>1995-04-03</t>
        </is>
      </c>
      <c r="W862" t="inlineStr">
        <is>
          <t>1991-09-18</t>
        </is>
      </c>
      <c r="X862" t="inlineStr">
        <is>
          <t>1991-09-18</t>
        </is>
      </c>
      <c r="Y862" t="n">
        <v>134</v>
      </c>
      <c r="Z862" t="n">
        <v>128</v>
      </c>
      <c r="AA862" t="n">
        <v>136</v>
      </c>
      <c r="AB862" t="n">
        <v>1</v>
      </c>
      <c r="AC862" t="n">
        <v>1</v>
      </c>
      <c r="AD862" t="n">
        <v>13</v>
      </c>
      <c r="AE862" t="n">
        <v>14</v>
      </c>
      <c r="AF862" t="n">
        <v>2</v>
      </c>
      <c r="AG862" t="n">
        <v>2</v>
      </c>
      <c r="AH862" t="n">
        <v>3</v>
      </c>
      <c r="AI862" t="n">
        <v>3</v>
      </c>
      <c r="AJ862" t="n">
        <v>12</v>
      </c>
      <c r="AK862" t="n">
        <v>13</v>
      </c>
      <c r="AL862" t="n">
        <v>0</v>
      </c>
      <c r="AM862" t="n">
        <v>0</v>
      </c>
      <c r="AN862" t="n">
        <v>0</v>
      </c>
      <c r="AO862" t="n">
        <v>0</v>
      </c>
      <c r="AP862" t="inlineStr">
        <is>
          <t>No</t>
        </is>
      </c>
      <c r="AQ862" t="inlineStr">
        <is>
          <t>Yes</t>
        </is>
      </c>
      <c r="AR862">
        <f>HYPERLINK("http://catalog.hathitrust.org/Record/009809658","HathiTrust Record")</f>
        <v/>
      </c>
      <c r="AS862">
        <f>HYPERLINK("https://creighton-primo.hosted.exlibrisgroup.com/primo-explore/search?tab=default_tab&amp;search_scope=EVERYTHING&amp;vid=01CRU&amp;lang=en_US&amp;offset=0&amp;query=any,contains,991002746399702656","Catalog Record")</f>
        <v/>
      </c>
      <c r="AT862">
        <f>HYPERLINK("http://www.worldcat.org/oclc/422925","WorldCat Record")</f>
        <v/>
      </c>
      <c r="AU862" t="inlineStr">
        <is>
          <t>1510476:eng</t>
        </is>
      </c>
      <c r="AV862" t="inlineStr">
        <is>
          <t>422925</t>
        </is>
      </c>
      <c r="AW862" t="inlineStr">
        <is>
          <t>991002746399702656</t>
        </is>
      </c>
      <c r="AX862" t="inlineStr">
        <is>
          <t>991002746399702656</t>
        </is>
      </c>
      <c r="AY862" t="inlineStr">
        <is>
          <t>2267045490002656</t>
        </is>
      </c>
      <c r="AZ862" t="inlineStr">
        <is>
          <t>BOOK</t>
        </is>
      </c>
      <c r="BC862" t="inlineStr">
        <is>
          <t>32285000747906</t>
        </is>
      </c>
      <c r="BD862" t="inlineStr">
        <is>
          <t>893434248</t>
        </is>
      </c>
    </row>
    <row r="863">
      <c r="A863" t="inlineStr">
        <is>
          <t>No</t>
        </is>
      </c>
      <c r="B863" t="inlineStr">
        <is>
          <t>BT653 .G7 1920</t>
        </is>
      </c>
      <c r="C863" t="inlineStr">
        <is>
          <t>0                      BT 0653000G  7           1920</t>
        </is>
      </c>
      <c r="D863" t="inlineStr">
        <is>
          <t>Twenty cures at Lourdes, medically discussed / by F. De Grandmaison De Bruno ; authorised translation by Hugo G. Bévenot and Luke Izard ; preface by Bertram Windle.</t>
        </is>
      </c>
      <c r="F863" t="inlineStr">
        <is>
          <t>No</t>
        </is>
      </c>
      <c r="G863" t="inlineStr">
        <is>
          <t>1</t>
        </is>
      </c>
      <c r="H863" t="inlineStr">
        <is>
          <t>No</t>
        </is>
      </c>
      <c r="I863" t="inlineStr">
        <is>
          <t>No</t>
        </is>
      </c>
      <c r="J863" t="inlineStr">
        <is>
          <t>0</t>
        </is>
      </c>
      <c r="K863" t="inlineStr">
        <is>
          <t>Grandmaison de Bruno, F. de.</t>
        </is>
      </c>
      <c r="L863" t="inlineStr">
        <is>
          <t>London : Sands, 1920.</t>
        </is>
      </c>
      <c r="M863" t="inlineStr">
        <is>
          <t>1920</t>
        </is>
      </c>
      <c r="O863" t="inlineStr">
        <is>
          <t>eng</t>
        </is>
      </c>
      <c r="P863" t="inlineStr">
        <is>
          <t>enk</t>
        </is>
      </c>
      <c r="R863" t="inlineStr">
        <is>
          <t xml:space="preserve">BT </t>
        </is>
      </c>
      <c r="S863" t="n">
        <v>1</v>
      </c>
      <c r="T863" t="n">
        <v>1</v>
      </c>
      <c r="U863" t="inlineStr">
        <is>
          <t>1993-11-06</t>
        </is>
      </c>
      <c r="V863" t="inlineStr">
        <is>
          <t>1993-11-06</t>
        </is>
      </c>
      <c r="W863" t="inlineStr">
        <is>
          <t>1990-04-25</t>
        </is>
      </c>
      <c r="X863" t="inlineStr">
        <is>
          <t>1990-04-25</t>
        </is>
      </c>
      <c r="Y863" t="n">
        <v>21</v>
      </c>
      <c r="Z863" t="n">
        <v>11</v>
      </c>
      <c r="AA863" t="n">
        <v>32</v>
      </c>
      <c r="AB863" t="n">
        <v>1</v>
      </c>
      <c r="AC863" t="n">
        <v>1</v>
      </c>
      <c r="AD863" t="n">
        <v>1</v>
      </c>
      <c r="AE863" t="n">
        <v>6</v>
      </c>
      <c r="AF863" t="n">
        <v>0</v>
      </c>
      <c r="AG863" t="n">
        <v>0</v>
      </c>
      <c r="AH863" t="n">
        <v>0</v>
      </c>
      <c r="AI863" t="n">
        <v>1</v>
      </c>
      <c r="AJ863" t="n">
        <v>1</v>
      </c>
      <c r="AK863" t="n">
        <v>5</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HYPERLINK("https://creighton-primo.hosted.exlibrisgroup.com/primo-explore/search?tab=default_tab&amp;search_scope=EVERYTHING&amp;vid=01CRU&amp;lang=en_US&amp;offset=0&amp;query=any,contains,991000946109702656","Catalog Record")</f>
        <v/>
      </c>
      <c r="AT863">
        <f>HYPERLINK("http://www.worldcat.org/oclc/14581789","WorldCat Record")</f>
        <v/>
      </c>
      <c r="AU863" t="inlineStr">
        <is>
          <t>8880517:eng</t>
        </is>
      </c>
      <c r="AV863" t="inlineStr">
        <is>
          <t>14581789</t>
        </is>
      </c>
      <c r="AW863" t="inlineStr">
        <is>
          <t>991000946109702656</t>
        </is>
      </c>
      <c r="AX863" t="inlineStr">
        <is>
          <t>991000946109702656</t>
        </is>
      </c>
      <c r="AY863" t="inlineStr">
        <is>
          <t>2254798970002656</t>
        </is>
      </c>
      <c r="AZ863" t="inlineStr">
        <is>
          <t>BOOK</t>
        </is>
      </c>
      <c r="BC863" t="inlineStr">
        <is>
          <t>32285000132224</t>
        </is>
      </c>
      <c r="BD863" t="inlineStr">
        <is>
          <t>893872162</t>
        </is>
      </c>
    </row>
    <row r="864">
      <c r="A864" t="inlineStr">
        <is>
          <t>No</t>
        </is>
      </c>
      <c r="B864" t="inlineStr">
        <is>
          <t>BT653 .J6 1914</t>
        </is>
      </c>
      <c r="C864" t="inlineStr">
        <is>
          <t>0                      BT 0653000J  6           1914</t>
        </is>
      </c>
      <c r="D864" t="inlineStr">
        <is>
          <t>Lourdes / by Johannes Jörgensen, translated with the author's sanction from the original Danish, by Ingeborg Lund. With a preface by Hilaire Belloc.</t>
        </is>
      </c>
      <c r="F864" t="inlineStr">
        <is>
          <t>No</t>
        </is>
      </c>
      <c r="G864" t="inlineStr">
        <is>
          <t>1</t>
        </is>
      </c>
      <c r="H864" t="inlineStr">
        <is>
          <t>No</t>
        </is>
      </c>
      <c r="I864" t="inlineStr">
        <is>
          <t>No</t>
        </is>
      </c>
      <c r="J864" t="inlineStr">
        <is>
          <t>0</t>
        </is>
      </c>
      <c r="K864" t="inlineStr">
        <is>
          <t>Jørgensen, Johannes, 1866-1956.</t>
        </is>
      </c>
      <c r="L864" t="inlineStr">
        <is>
          <t>London ; New York [etc.] : Longmans, Green and co., 1914.</t>
        </is>
      </c>
      <c r="M864" t="inlineStr">
        <is>
          <t>1914</t>
        </is>
      </c>
      <c r="O864" t="inlineStr">
        <is>
          <t>eng</t>
        </is>
      </c>
      <c r="P864" t="inlineStr">
        <is>
          <t>enk</t>
        </is>
      </c>
      <c r="R864" t="inlineStr">
        <is>
          <t xml:space="preserve">BT </t>
        </is>
      </c>
      <c r="S864" t="n">
        <v>4</v>
      </c>
      <c r="T864" t="n">
        <v>4</v>
      </c>
      <c r="U864" t="inlineStr">
        <is>
          <t>1994-05-25</t>
        </is>
      </c>
      <c r="V864" t="inlineStr">
        <is>
          <t>1994-05-25</t>
        </is>
      </c>
      <c r="W864" t="inlineStr">
        <is>
          <t>1991-09-18</t>
        </is>
      </c>
      <c r="X864" t="inlineStr">
        <is>
          <t>1991-09-18</t>
        </is>
      </c>
      <c r="Y864" t="n">
        <v>86</v>
      </c>
      <c r="Z864" t="n">
        <v>66</v>
      </c>
      <c r="AA864" t="n">
        <v>75</v>
      </c>
      <c r="AB864" t="n">
        <v>1</v>
      </c>
      <c r="AC864" t="n">
        <v>1</v>
      </c>
      <c r="AD864" t="n">
        <v>18</v>
      </c>
      <c r="AE864" t="n">
        <v>18</v>
      </c>
      <c r="AF864" t="n">
        <v>3</v>
      </c>
      <c r="AG864" t="n">
        <v>3</v>
      </c>
      <c r="AH864" t="n">
        <v>5</v>
      </c>
      <c r="AI864" t="n">
        <v>5</v>
      </c>
      <c r="AJ864" t="n">
        <v>15</v>
      </c>
      <c r="AK864" t="n">
        <v>15</v>
      </c>
      <c r="AL864" t="n">
        <v>0</v>
      </c>
      <c r="AM864" t="n">
        <v>0</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HYPERLINK("https://creighton-primo.hosted.exlibrisgroup.com/primo-explore/search?tab=default_tab&amp;search_scope=EVERYTHING&amp;vid=01CRU&amp;lang=en_US&amp;offset=0&amp;query=any,contains,991004788299702656","Catalog Record")</f>
        <v/>
      </c>
      <c r="AT864">
        <f>HYPERLINK("http://www.worldcat.org/oclc/5160961","WorldCat Record")</f>
        <v/>
      </c>
      <c r="AU864" t="inlineStr">
        <is>
          <t>6761742:eng</t>
        </is>
      </c>
      <c r="AV864" t="inlineStr">
        <is>
          <t>5160961</t>
        </is>
      </c>
      <c r="AW864" t="inlineStr">
        <is>
          <t>991004788299702656</t>
        </is>
      </c>
      <c r="AX864" t="inlineStr">
        <is>
          <t>991004788299702656</t>
        </is>
      </c>
      <c r="AY864" t="inlineStr">
        <is>
          <t>2261515810002656</t>
        </is>
      </c>
      <c r="AZ864" t="inlineStr">
        <is>
          <t>BOOK</t>
        </is>
      </c>
      <c r="BC864" t="inlineStr">
        <is>
          <t>32285000747914</t>
        </is>
      </c>
      <c r="BD864" t="inlineStr">
        <is>
          <t>893688146</t>
        </is>
      </c>
    </row>
    <row r="865">
      <c r="A865" t="inlineStr">
        <is>
          <t>No</t>
        </is>
      </c>
      <c r="B865" t="inlineStr">
        <is>
          <t>BT653 .L33 1885</t>
        </is>
      </c>
      <c r="C865" t="inlineStr">
        <is>
          <t>0                      BT 0653000L  33          1885</t>
        </is>
      </c>
      <c r="D865" t="inlineStr">
        <is>
          <t>Our Lady of Lourdes / by Henri Lasserre ; translated from the French.</t>
        </is>
      </c>
      <c r="F865" t="inlineStr">
        <is>
          <t>No</t>
        </is>
      </c>
      <c r="G865" t="inlineStr">
        <is>
          <t>1</t>
        </is>
      </c>
      <c r="H865" t="inlineStr">
        <is>
          <t>No</t>
        </is>
      </c>
      <c r="I865" t="inlineStr">
        <is>
          <t>No</t>
        </is>
      </c>
      <c r="J865" t="inlineStr">
        <is>
          <t>0</t>
        </is>
      </c>
      <c r="K865" t="inlineStr">
        <is>
          <t>Lasserre, Henri, 1828-1900.</t>
        </is>
      </c>
      <c r="L865" t="inlineStr">
        <is>
          <t>New York : D. &amp; J. Sadlier, c1885.</t>
        </is>
      </c>
      <c r="M865" t="inlineStr">
        <is>
          <t>1885</t>
        </is>
      </c>
      <c r="N865" t="inlineStr">
        <is>
          <t>7th ed.</t>
        </is>
      </c>
      <c r="O865" t="inlineStr">
        <is>
          <t>eng</t>
        </is>
      </c>
      <c r="P865" t="inlineStr">
        <is>
          <t>nyu</t>
        </is>
      </c>
      <c r="R865" t="inlineStr">
        <is>
          <t xml:space="preserve">BT </t>
        </is>
      </c>
      <c r="S865" t="n">
        <v>4</v>
      </c>
      <c r="T865" t="n">
        <v>4</v>
      </c>
      <c r="U865" t="inlineStr">
        <is>
          <t>2001-09-14</t>
        </is>
      </c>
      <c r="V865" t="inlineStr">
        <is>
          <t>2001-09-14</t>
        </is>
      </c>
      <c r="W865" t="inlineStr">
        <is>
          <t>1991-09-18</t>
        </is>
      </c>
      <c r="X865" t="inlineStr">
        <is>
          <t>1991-09-18</t>
        </is>
      </c>
      <c r="Y865" t="n">
        <v>13</v>
      </c>
      <c r="Z865" t="n">
        <v>11</v>
      </c>
      <c r="AA865" t="n">
        <v>104</v>
      </c>
      <c r="AB865" t="n">
        <v>1</v>
      </c>
      <c r="AC865" t="n">
        <v>2</v>
      </c>
      <c r="AD865" t="n">
        <v>1</v>
      </c>
      <c r="AE865" t="n">
        <v>17</v>
      </c>
      <c r="AF865" t="n">
        <v>0</v>
      </c>
      <c r="AG865" t="n">
        <v>3</v>
      </c>
      <c r="AH865" t="n">
        <v>0</v>
      </c>
      <c r="AI865" t="n">
        <v>5</v>
      </c>
      <c r="AJ865" t="n">
        <v>1</v>
      </c>
      <c r="AK865" t="n">
        <v>12</v>
      </c>
      <c r="AL865" t="n">
        <v>0</v>
      </c>
      <c r="AM865" t="n">
        <v>1</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HYPERLINK("https://creighton-primo.hosted.exlibrisgroup.com/primo-explore/search?tab=default_tab&amp;search_scope=EVERYTHING&amp;vid=01CRU&amp;lang=en_US&amp;offset=0&amp;query=any,contains,991005250059702656","Catalog Record")</f>
        <v/>
      </c>
      <c r="AT865">
        <f>HYPERLINK("http://www.worldcat.org/oclc/8478923","WorldCat Record")</f>
        <v/>
      </c>
      <c r="AU865" t="inlineStr">
        <is>
          <t>2397622:eng</t>
        </is>
      </c>
      <c r="AV865" t="inlineStr">
        <is>
          <t>8478923</t>
        </is>
      </c>
      <c r="AW865" t="inlineStr">
        <is>
          <t>991005250059702656</t>
        </is>
      </c>
      <c r="AX865" t="inlineStr">
        <is>
          <t>991005250059702656</t>
        </is>
      </c>
      <c r="AY865" t="inlineStr">
        <is>
          <t>2255286930002656</t>
        </is>
      </c>
      <c r="AZ865" t="inlineStr">
        <is>
          <t>BOOK</t>
        </is>
      </c>
      <c r="BC865" t="inlineStr">
        <is>
          <t>32285000747922</t>
        </is>
      </c>
      <c r="BD865" t="inlineStr">
        <is>
          <t>893514333</t>
        </is>
      </c>
    </row>
    <row r="866">
      <c r="A866" t="inlineStr">
        <is>
          <t>No</t>
        </is>
      </c>
      <c r="B866" t="inlineStr">
        <is>
          <t>BT660.E6 D4</t>
        </is>
      </c>
      <c r="C866" t="inlineStr">
        <is>
          <t>0                      BT 0660000E  6                  D  4</t>
        </is>
      </c>
      <c r="D866" t="inlineStr">
        <is>
          <t>Our Lady of Ephesus / [by] Bernard F. Deutsch.</t>
        </is>
      </c>
      <c r="F866" t="inlineStr">
        <is>
          <t>No</t>
        </is>
      </c>
      <c r="G866" t="inlineStr">
        <is>
          <t>1</t>
        </is>
      </c>
      <c r="H866" t="inlineStr">
        <is>
          <t>No</t>
        </is>
      </c>
      <c r="I866" t="inlineStr">
        <is>
          <t>No</t>
        </is>
      </c>
      <c r="J866" t="inlineStr">
        <is>
          <t>0</t>
        </is>
      </c>
      <c r="K866" t="inlineStr">
        <is>
          <t>Deutsch, Bernard Francis, 1925-</t>
        </is>
      </c>
      <c r="L866" t="inlineStr">
        <is>
          <t>Milwaukee : Bruce Pub. Co., 1965.</t>
        </is>
      </c>
      <c r="M866" t="inlineStr">
        <is>
          <t>1965</t>
        </is>
      </c>
      <c r="O866" t="inlineStr">
        <is>
          <t>eng</t>
        </is>
      </c>
      <c r="P866" t="inlineStr">
        <is>
          <t>wiu</t>
        </is>
      </c>
      <c r="R866" t="inlineStr">
        <is>
          <t xml:space="preserve">BT </t>
        </is>
      </c>
      <c r="S866" t="n">
        <v>1</v>
      </c>
      <c r="T866" t="n">
        <v>1</v>
      </c>
      <c r="U866" t="inlineStr">
        <is>
          <t>1992-11-24</t>
        </is>
      </c>
      <c r="V866" t="inlineStr">
        <is>
          <t>1992-11-24</t>
        </is>
      </c>
      <c r="W866" t="inlineStr">
        <is>
          <t>1991-09-18</t>
        </is>
      </c>
      <c r="X866" t="inlineStr">
        <is>
          <t>1991-09-18</t>
        </is>
      </c>
      <c r="Y866" t="n">
        <v>124</v>
      </c>
      <c r="Z866" t="n">
        <v>109</v>
      </c>
      <c r="AA866" t="n">
        <v>114</v>
      </c>
      <c r="AB866" t="n">
        <v>3</v>
      </c>
      <c r="AC866" t="n">
        <v>3</v>
      </c>
      <c r="AD866" t="n">
        <v>18</v>
      </c>
      <c r="AE866" t="n">
        <v>18</v>
      </c>
      <c r="AF866" t="n">
        <v>4</v>
      </c>
      <c r="AG866" t="n">
        <v>4</v>
      </c>
      <c r="AH866" t="n">
        <v>4</v>
      </c>
      <c r="AI866" t="n">
        <v>4</v>
      </c>
      <c r="AJ866" t="n">
        <v>16</v>
      </c>
      <c r="AK866" t="n">
        <v>16</v>
      </c>
      <c r="AL866" t="n">
        <v>0</v>
      </c>
      <c r="AM866" t="n">
        <v>0</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HYPERLINK("https://creighton-primo.hosted.exlibrisgroup.com/primo-explore/search?tab=default_tab&amp;search_scope=EVERYTHING&amp;vid=01CRU&amp;lang=en_US&amp;offset=0&amp;query=any,contains,991003967519702656","Catalog Record")</f>
        <v/>
      </c>
      <c r="AT866">
        <f>HYPERLINK("http://www.worldcat.org/oclc/1988747","WorldCat Record")</f>
        <v/>
      </c>
      <c r="AU866" t="inlineStr">
        <is>
          <t>473956042:eng</t>
        </is>
      </c>
      <c r="AV866" t="inlineStr">
        <is>
          <t>1988747</t>
        </is>
      </c>
      <c r="AW866" t="inlineStr">
        <is>
          <t>991003967519702656</t>
        </is>
      </c>
      <c r="AX866" t="inlineStr">
        <is>
          <t>991003967519702656</t>
        </is>
      </c>
      <c r="AY866" t="inlineStr">
        <is>
          <t>2268314540002656</t>
        </is>
      </c>
      <c r="AZ866" t="inlineStr">
        <is>
          <t>BOOK</t>
        </is>
      </c>
      <c r="BC866" t="inlineStr">
        <is>
          <t>32285000747948</t>
        </is>
      </c>
      <c r="BD866" t="inlineStr">
        <is>
          <t>893343306</t>
        </is>
      </c>
    </row>
    <row r="867">
      <c r="A867" t="inlineStr">
        <is>
          <t>No</t>
        </is>
      </c>
      <c r="B867" t="inlineStr">
        <is>
          <t>BT660.F3 D374 1948</t>
        </is>
      </c>
      <c r="C867" t="inlineStr">
        <is>
          <t>0                      BT 0660000F  3                  D  374         1948</t>
        </is>
      </c>
      <c r="D867" t="inlineStr">
        <is>
          <t>Our Lady of Fatima, Queen of Peace / by Joseph Delabays ; tr. by John H. Askin.</t>
        </is>
      </c>
      <c r="F867" t="inlineStr">
        <is>
          <t>No</t>
        </is>
      </c>
      <c r="G867" t="inlineStr">
        <is>
          <t>1</t>
        </is>
      </c>
      <c r="H867" t="inlineStr">
        <is>
          <t>No</t>
        </is>
      </c>
      <c r="I867" t="inlineStr">
        <is>
          <t>No</t>
        </is>
      </c>
      <c r="J867" t="inlineStr">
        <is>
          <t>0</t>
        </is>
      </c>
      <c r="K867" t="inlineStr">
        <is>
          <t>Delabays, Joseph.</t>
        </is>
      </c>
      <c r="L867" t="inlineStr">
        <is>
          <t>New York : Benziger Bros., 1948.</t>
        </is>
      </c>
      <c r="M867" t="inlineStr">
        <is>
          <t>1948</t>
        </is>
      </c>
      <c r="O867" t="inlineStr">
        <is>
          <t>eng</t>
        </is>
      </c>
      <c r="P867" t="inlineStr">
        <is>
          <t>nyu</t>
        </is>
      </c>
      <c r="R867" t="inlineStr">
        <is>
          <t xml:space="preserve">BT </t>
        </is>
      </c>
      <c r="S867" t="n">
        <v>5</v>
      </c>
      <c r="T867" t="n">
        <v>5</v>
      </c>
      <c r="U867" t="inlineStr">
        <is>
          <t>2009-11-30</t>
        </is>
      </c>
      <c r="V867" t="inlineStr">
        <is>
          <t>2009-11-30</t>
        </is>
      </c>
      <c r="W867" t="inlineStr">
        <is>
          <t>1991-09-18</t>
        </is>
      </c>
      <c r="X867" t="inlineStr">
        <is>
          <t>1991-09-18</t>
        </is>
      </c>
      <c r="Y867" t="n">
        <v>42</v>
      </c>
      <c r="Z867" t="n">
        <v>42</v>
      </c>
      <c r="AA867" t="n">
        <v>42</v>
      </c>
      <c r="AB867" t="n">
        <v>2</v>
      </c>
      <c r="AC867" t="n">
        <v>2</v>
      </c>
      <c r="AD867" t="n">
        <v>12</v>
      </c>
      <c r="AE867" t="n">
        <v>12</v>
      </c>
      <c r="AF867" t="n">
        <v>4</v>
      </c>
      <c r="AG867" t="n">
        <v>4</v>
      </c>
      <c r="AH867" t="n">
        <v>3</v>
      </c>
      <c r="AI867" t="n">
        <v>3</v>
      </c>
      <c r="AJ867" t="n">
        <v>10</v>
      </c>
      <c r="AK867" t="n">
        <v>10</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HYPERLINK("https://creighton-primo.hosted.exlibrisgroup.com/primo-explore/search?tab=default_tab&amp;search_scope=EVERYTHING&amp;vid=01CRU&amp;lang=en_US&amp;offset=0&amp;query=any,contains,991003948039702656","Catalog Record")</f>
        <v/>
      </c>
      <c r="AT867">
        <f>HYPERLINK("http://www.worldcat.org/oclc/1949668","WorldCat Record")</f>
        <v/>
      </c>
      <c r="AU867" t="inlineStr">
        <is>
          <t>3399372:eng</t>
        </is>
      </c>
      <c r="AV867" t="inlineStr">
        <is>
          <t>1949668</t>
        </is>
      </c>
      <c r="AW867" t="inlineStr">
        <is>
          <t>991003948039702656</t>
        </is>
      </c>
      <c r="AX867" t="inlineStr">
        <is>
          <t>991003948039702656</t>
        </is>
      </c>
      <c r="AY867" t="inlineStr">
        <is>
          <t>2260822110002656</t>
        </is>
      </c>
      <c r="AZ867" t="inlineStr">
        <is>
          <t>BOOK</t>
        </is>
      </c>
      <c r="BC867" t="inlineStr">
        <is>
          <t>32285000747963</t>
        </is>
      </c>
      <c r="BD867" t="inlineStr">
        <is>
          <t>893775417</t>
        </is>
      </c>
    </row>
    <row r="868">
      <c r="A868" t="inlineStr">
        <is>
          <t>No</t>
        </is>
      </c>
      <c r="B868" t="inlineStr">
        <is>
          <t>BT660.F3 M24 1951</t>
        </is>
      </c>
      <c r="C868" t="inlineStr">
        <is>
          <t>0                      BT 0660000F  3                  M  24          1951</t>
        </is>
      </c>
      <c r="D868" t="inlineStr">
        <is>
          <t>Vision of Fatima / by Thomas McGlynn.</t>
        </is>
      </c>
      <c r="F868" t="inlineStr">
        <is>
          <t>No</t>
        </is>
      </c>
      <c r="G868" t="inlineStr">
        <is>
          <t>1</t>
        </is>
      </c>
      <c r="H868" t="inlineStr">
        <is>
          <t>No</t>
        </is>
      </c>
      <c r="I868" t="inlineStr">
        <is>
          <t>No</t>
        </is>
      </c>
      <c r="J868" t="inlineStr">
        <is>
          <t>0</t>
        </is>
      </c>
      <c r="K868" t="inlineStr">
        <is>
          <t>McGlynn, Thomas Matthew, 1906-</t>
        </is>
      </c>
      <c r="L868" t="inlineStr">
        <is>
          <t>Garden City, N. Y. : Garden City Books, [1951, c1948]</t>
        </is>
      </c>
      <c r="M868" t="inlineStr">
        <is>
          <t>1951</t>
        </is>
      </c>
      <c r="O868" t="inlineStr">
        <is>
          <t>eng</t>
        </is>
      </c>
      <c r="P868" t="inlineStr">
        <is>
          <t>nyu</t>
        </is>
      </c>
      <c r="R868" t="inlineStr">
        <is>
          <t xml:space="preserve">BT </t>
        </is>
      </c>
      <c r="S868" t="n">
        <v>3</v>
      </c>
      <c r="T868" t="n">
        <v>3</v>
      </c>
      <c r="U868" t="inlineStr">
        <is>
          <t>1992-01-14</t>
        </is>
      </c>
      <c r="V868" t="inlineStr">
        <is>
          <t>1992-01-14</t>
        </is>
      </c>
      <c r="W868" t="inlineStr">
        <is>
          <t>1990-04-09</t>
        </is>
      </c>
      <c r="X868" t="inlineStr">
        <is>
          <t>1990-04-09</t>
        </is>
      </c>
      <c r="Y868" t="n">
        <v>41</v>
      </c>
      <c r="Z868" t="n">
        <v>36</v>
      </c>
      <c r="AA868" t="n">
        <v>211</v>
      </c>
      <c r="AB868" t="n">
        <v>2</v>
      </c>
      <c r="AC868" t="n">
        <v>3</v>
      </c>
      <c r="AD868" t="n">
        <v>5</v>
      </c>
      <c r="AE868" t="n">
        <v>26</v>
      </c>
      <c r="AF868" t="n">
        <v>2</v>
      </c>
      <c r="AG868" t="n">
        <v>10</v>
      </c>
      <c r="AH868" t="n">
        <v>3</v>
      </c>
      <c r="AI868" t="n">
        <v>6</v>
      </c>
      <c r="AJ868" t="n">
        <v>2</v>
      </c>
      <c r="AK868" t="n">
        <v>19</v>
      </c>
      <c r="AL868" t="n">
        <v>0</v>
      </c>
      <c r="AM868" t="n">
        <v>0</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HYPERLINK("https://creighton-primo.hosted.exlibrisgroup.com/primo-explore/search?tab=default_tab&amp;search_scope=EVERYTHING&amp;vid=01CRU&amp;lang=en_US&amp;offset=0&amp;query=any,contains,991003968349702656","Catalog Record")</f>
        <v/>
      </c>
      <c r="AT868">
        <f>HYPERLINK("http://www.worldcat.org/oclc/1990828","WorldCat Record")</f>
        <v/>
      </c>
      <c r="AU868" t="inlineStr">
        <is>
          <t>2332719:eng</t>
        </is>
      </c>
      <c r="AV868" t="inlineStr">
        <is>
          <t>1990828</t>
        </is>
      </c>
      <c r="AW868" t="inlineStr">
        <is>
          <t>991003968349702656</t>
        </is>
      </c>
      <c r="AX868" t="inlineStr">
        <is>
          <t>991003968349702656</t>
        </is>
      </c>
      <c r="AY868" t="inlineStr">
        <is>
          <t>2262038700002656</t>
        </is>
      </c>
      <c r="AZ868" t="inlineStr">
        <is>
          <t>BOOK</t>
        </is>
      </c>
      <c r="BC868" t="inlineStr">
        <is>
          <t>32285000113778</t>
        </is>
      </c>
      <c r="BD868" t="inlineStr">
        <is>
          <t>893775439</t>
        </is>
      </c>
    </row>
    <row r="869">
      <c r="A869" t="inlineStr">
        <is>
          <t>No</t>
        </is>
      </c>
      <c r="B869" t="inlineStr">
        <is>
          <t>BT660.G8 D4 1956</t>
        </is>
      </c>
      <c r="C869" t="inlineStr">
        <is>
          <t>0                      BT 0660000G  8                  D  4           1956</t>
        </is>
      </c>
      <c r="D869" t="inlineStr">
        <is>
          <t>The dark Virgin : the book of Our Lady of Guadalupe, a documentary anthology / edited by Donald Demarest &amp; Coley Taylor.</t>
        </is>
      </c>
      <c r="F869" t="inlineStr">
        <is>
          <t>No</t>
        </is>
      </c>
      <c r="G869" t="inlineStr">
        <is>
          <t>1</t>
        </is>
      </c>
      <c r="H869" t="inlineStr">
        <is>
          <t>No</t>
        </is>
      </c>
      <c r="I869" t="inlineStr">
        <is>
          <t>No</t>
        </is>
      </c>
      <c r="J869" t="inlineStr">
        <is>
          <t>0</t>
        </is>
      </c>
      <c r="K869" t="inlineStr">
        <is>
          <t>Demarest, Donald, editor.</t>
        </is>
      </c>
      <c r="L869" t="inlineStr">
        <is>
          <t>Freeport, Me.,] : C. Taylor, [1956]</t>
        </is>
      </c>
      <c r="M869" t="inlineStr">
        <is>
          <t>1956</t>
        </is>
      </c>
      <c r="N869" t="inlineStr">
        <is>
          <t>[1st ed.</t>
        </is>
      </c>
      <c r="O869" t="inlineStr">
        <is>
          <t>eng</t>
        </is>
      </c>
      <c r="P869" t="inlineStr">
        <is>
          <t>___</t>
        </is>
      </c>
      <c r="R869" t="inlineStr">
        <is>
          <t xml:space="preserve">BT </t>
        </is>
      </c>
      <c r="S869" t="n">
        <v>8</v>
      </c>
      <c r="T869" t="n">
        <v>8</v>
      </c>
      <c r="U869" t="inlineStr">
        <is>
          <t>1997-03-18</t>
        </is>
      </c>
      <c r="V869" t="inlineStr">
        <is>
          <t>1997-03-18</t>
        </is>
      </c>
      <c r="W869" t="inlineStr">
        <is>
          <t>1990-02-13</t>
        </is>
      </c>
      <c r="X869" t="inlineStr">
        <is>
          <t>1990-02-13</t>
        </is>
      </c>
      <c r="Y869" t="n">
        <v>253</v>
      </c>
      <c r="Z869" t="n">
        <v>240</v>
      </c>
      <c r="AA869" t="n">
        <v>269</v>
      </c>
      <c r="AB869" t="n">
        <v>3</v>
      </c>
      <c r="AC869" t="n">
        <v>3</v>
      </c>
      <c r="AD869" t="n">
        <v>26</v>
      </c>
      <c r="AE869" t="n">
        <v>28</v>
      </c>
      <c r="AF869" t="n">
        <v>7</v>
      </c>
      <c r="AG869" t="n">
        <v>9</v>
      </c>
      <c r="AH869" t="n">
        <v>7</v>
      </c>
      <c r="AI869" t="n">
        <v>7</v>
      </c>
      <c r="AJ869" t="n">
        <v>19</v>
      </c>
      <c r="AK869" t="n">
        <v>21</v>
      </c>
      <c r="AL869" t="n">
        <v>0</v>
      </c>
      <c r="AM869" t="n">
        <v>0</v>
      </c>
      <c r="AN869" t="n">
        <v>0</v>
      </c>
      <c r="AO869" t="n">
        <v>0</v>
      </c>
      <c r="AP869" t="inlineStr">
        <is>
          <t>No</t>
        </is>
      </c>
      <c r="AQ869" t="inlineStr">
        <is>
          <t>Yes</t>
        </is>
      </c>
      <c r="AR869">
        <f>HYPERLINK("http://catalog.hathitrust.org/Record/006017027","HathiTrust Record")</f>
        <v/>
      </c>
      <c r="AS869">
        <f>HYPERLINK("https://creighton-primo.hosted.exlibrisgroup.com/primo-explore/search?tab=default_tab&amp;search_scope=EVERYTHING&amp;vid=01CRU&amp;lang=en_US&amp;offset=0&amp;query=any,contains,991003391379702656","Catalog Record")</f>
        <v/>
      </c>
      <c r="AT869">
        <f>HYPERLINK("http://www.worldcat.org/oclc/929450","WorldCat Record")</f>
        <v/>
      </c>
      <c r="AU869" t="inlineStr">
        <is>
          <t>3901509843:eng</t>
        </is>
      </c>
      <c r="AV869" t="inlineStr">
        <is>
          <t>929450</t>
        </is>
      </c>
      <c r="AW869" t="inlineStr">
        <is>
          <t>991003391379702656</t>
        </is>
      </c>
      <c r="AX869" t="inlineStr">
        <is>
          <t>991003391379702656</t>
        </is>
      </c>
      <c r="AY869" t="inlineStr">
        <is>
          <t>2267948660002656</t>
        </is>
      </c>
      <c r="AZ869" t="inlineStr">
        <is>
          <t>BOOK</t>
        </is>
      </c>
      <c r="BC869" t="inlineStr">
        <is>
          <t>32285000051341</t>
        </is>
      </c>
      <c r="BD869" t="inlineStr">
        <is>
          <t>893441246</t>
        </is>
      </c>
    </row>
    <row r="870">
      <c r="A870" t="inlineStr">
        <is>
          <t>No</t>
        </is>
      </c>
      <c r="B870" t="inlineStr">
        <is>
          <t>BT660.G8 G59 1996</t>
        </is>
      </c>
      <c r="C870" t="inlineStr">
        <is>
          <t>0                      BT 0660000G  8                  G  59          1996</t>
        </is>
      </c>
      <c r="D870" t="inlineStr">
        <is>
          <t>Goddess of the Americas = La diosa de las Américas / edited by Ana Castillo.</t>
        </is>
      </c>
      <c r="F870" t="inlineStr">
        <is>
          <t>No</t>
        </is>
      </c>
      <c r="G870" t="inlineStr">
        <is>
          <t>1</t>
        </is>
      </c>
      <c r="H870" t="inlineStr">
        <is>
          <t>No</t>
        </is>
      </c>
      <c r="I870" t="inlineStr">
        <is>
          <t>No</t>
        </is>
      </c>
      <c r="J870" t="inlineStr">
        <is>
          <t>0</t>
        </is>
      </c>
      <c r="L870" t="inlineStr">
        <is>
          <t>New York : Riverhead Books, 1996.</t>
        </is>
      </c>
      <c r="M870" t="inlineStr">
        <is>
          <t>1996</t>
        </is>
      </c>
      <c r="O870" t="inlineStr">
        <is>
          <t>eng</t>
        </is>
      </c>
      <c r="P870" t="inlineStr">
        <is>
          <t>nyu</t>
        </is>
      </c>
      <c r="R870" t="inlineStr">
        <is>
          <t xml:space="preserve">BT </t>
        </is>
      </c>
      <c r="S870" t="n">
        <v>8</v>
      </c>
      <c r="T870" t="n">
        <v>8</v>
      </c>
      <c r="U870" t="inlineStr">
        <is>
          <t>2010-11-15</t>
        </is>
      </c>
      <c r="V870" t="inlineStr">
        <is>
          <t>2010-11-15</t>
        </is>
      </c>
      <c r="W870" t="inlineStr">
        <is>
          <t>1996-11-27</t>
        </is>
      </c>
      <c r="X870" t="inlineStr">
        <is>
          <t>1996-11-27</t>
        </is>
      </c>
      <c r="Y870" t="n">
        <v>483</v>
      </c>
      <c r="Z870" t="n">
        <v>469</v>
      </c>
      <c r="AA870" t="n">
        <v>594</v>
      </c>
      <c r="AB870" t="n">
        <v>4</v>
      </c>
      <c r="AC870" t="n">
        <v>4</v>
      </c>
      <c r="AD870" t="n">
        <v>15</v>
      </c>
      <c r="AE870" t="n">
        <v>17</v>
      </c>
      <c r="AF870" t="n">
        <v>7</v>
      </c>
      <c r="AG870" t="n">
        <v>7</v>
      </c>
      <c r="AH870" t="n">
        <v>2</v>
      </c>
      <c r="AI870" t="n">
        <v>2</v>
      </c>
      <c r="AJ870" t="n">
        <v>8</v>
      </c>
      <c r="AK870" t="n">
        <v>10</v>
      </c>
      <c r="AL870" t="n">
        <v>2</v>
      </c>
      <c r="AM870" t="n">
        <v>2</v>
      </c>
      <c r="AN870" t="n">
        <v>0</v>
      </c>
      <c r="AO870" t="n">
        <v>0</v>
      </c>
      <c r="AP870" t="inlineStr">
        <is>
          <t>No</t>
        </is>
      </c>
      <c r="AQ870" t="inlineStr">
        <is>
          <t>Yes</t>
        </is>
      </c>
      <c r="AR870">
        <f>HYPERLINK("http://catalog.hathitrust.org/Record/004132071","HathiTrust Record")</f>
        <v/>
      </c>
      <c r="AS870">
        <f>HYPERLINK("https://creighton-primo.hosted.exlibrisgroup.com/primo-explore/search?tab=default_tab&amp;search_scope=EVERYTHING&amp;vid=01CRU&amp;lang=en_US&amp;offset=0&amp;query=any,contains,991002672119702656","Catalog Record")</f>
        <v/>
      </c>
      <c r="AT870">
        <f>HYPERLINK("http://www.worldcat.org/oclc/34943292","WorldCat Record")</f>
        <v/>
      </c>
      <c r="AU870" t="inlineStr">
        <is>
          <t>56080689:eng</t>
        </is>
      </c>
      <c r="AV870" t="inlineStr">
        <is>
          <t>34943292</t>
        </is>
      </c>
      <c r="AW870" t="inlineStr">
        <is>
          <t>991002672119702656</t>
        </is>
      </c>
      <c r="AX870" t="inlineStr">
        <is>
          <t>991002672119702656</t>
        </is>
      </c>
      <c r="AY870" t="inlineStr">
        <is>
          <t>2255775260002656</t>
        </is>
      </c>
      <c r="AZ870" t="inlineStr">
        <is>
          <t>BOOK</t>
        </is>
      </c>
      <c r="BB870" t="inlineStr">
        <is>
          <t>9781573220293</t>
        </is>
      </c>
      <c r="BC870" t="inlineStr">
        <is>
          <t>32285002386679</t>
        </is>
      </c>
      <c r="BD870" t="inlineStr">
        <is>
          <t>893886566</t>
        </is>
      </c>
    </row>
    <row r="871">
      <c r="A871" t="inlineStr">
        <is>
          <t>No</t>
        </is>
      </c>
      <c r="B871" t="inlineStr">
        <is>
          <t>BT660.G8 K4 1953</t>
        </is>
      </c>
      <c r="C871" t="inlineStr">
        <is>
          <t>0                      BT 0660000G  8                  K  4           1953</t>
        </is>
      </c>
      <c r="D871" t="inlineStr">
        <is>
          <t>The grace of Guadalupe / by Frances Parkison Keyes.</t>
        </is>
      </c>
      <c r="F871" t="inlineStr">
        <is>
          <t>No</t>
        </is>
      </c>
      <c r="G871" t="inlineStr">
        <is>
          <t>1</t>
        </is>
      </c>
      <c r="H871" t="inlineStr">
        <is>
          <t>No</t>
        </is>
      </c>
      <c r="I871" t="inlineStr">
        <is>
          <t>No</t>
        </is>
      </c>
      <c r="J871" t="inlineStr">
        <is>
          <t>0</t>
        </is>
      </c>
      <c r="K871" t="inlineStr">
        <is>
          <t>Keyes, Frances Parkinson, 1885-1970.</t>
        </is>
      </c>
      <c r="L871" t="inlineStr">
        <is>
          <t>New York : J. Messner, [1953]</t>
        </is>
      </c>
      <c r="M871" t="inlineStr">
        <is>
          <t>1953</t>
        </is>
      </c>
      <c r="O871" t="inlineStr">
        <is>
          <t>eng</t>
        </is>
      </c>
      <c r="P871" t="inlineStr">
        <is>
          <t>nyu</t>
        </is>
      </c>
      <c r="R871" t="inlineStr">
        <is>
          <t xml:space="preserve">BT </t>
        </is>
      </c>
      <c r="S871" t="n">
        <v>6</v>
      </c>
      <c r="T871" t="n">
        <v>6</v>
      </c>
      <c r="U871" t="inlineStr">
        <is>
          <t>2002-01-25</t>
        </is>
      </c>
      <c r="V871" t="inlineStr">
        <is>
          <t>2002-01-25</t>
        </is>
      </c>
      <c r="W871" t="inlineStr">
        <is>
          <t>1991-09-18</t>
        </is>
      </c>
      <c r="X871" t="inlineStr">
        <is>
          <t>1991-09-18</t>
        </is>
      </c>
      <c r="Y871" t="n">
        <v>86</v>
      </c>
      <c r="Z871" t="n">
        <v>84</v>
      </c>
      <c r="AA871" t="n">
        <v>329</v>
      </c>
      <c r="AB871" t="n">
        <v>1</v>
      </c>
      <c r="AC871" t="n">
        <v>2</v>
      </c>
      <c r="AD871" t="n">
        <v>1</v>
      </c>
      <c r="AE871" t="n">
        <v>30</v>
      </c>
      <c r="AF871" t="n">
        <v>0</v>
      </c>
      <c r="AG871" t="n">
        <v>11</v>
      </c>
      <c r="AH871" t="n">
        <v>0</v>
      </c>
      <c r="AI871" t="n">
        <v>7</v>
      </c>
      <c r="AJ871" t="n">
        <v>1</v>
      </c>
      <c r="AK871" t="n">
        <v>23</v>
      </c>
      <c r="AL871" t="n">
        <v>0</v>
      </c>
      <c r="AM871" t="n">
        <v>1</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HYPERLINK("https://creighton-primo.hosted.exlibrisgroup.com/primo-explore/search?tab=default_tab&amp;search_scope=EVERYTHING&amp;vid=01CRU&amp;lang=en_US&amp;offset=0&amp;query=any,contains,991003893559702656","Catalog Record")</f>
        <v/>
      </c>
      <c r="AT871">
        <f>HYPERLINK("http://www.worldcat.org/oclc/1803525","WorldCat Record")</f>
        <v/>
      </c>
      <c r="AU871" t="inlineStr">
        <is>
          <t>2517539:eng</t>
        </is>
      </c>
      <c r="AV871" t="inlineStr">
        <is>
          <t>1803525</t>
        </is>
      </c>
      <c r="AW871" t="inlineStr">
        <is>
          <t>991003893559702656</t>
        </is>
      </c>
      <c r="AX871" t="inlineStr">
        <is>
          <t>991003893559702656</t>
        </is>
      </c>
      <c r="AY871" t="inlineStr">
        <is>
          <t>2270667680002656</t>
        </is>
      </c>
      <c r="AZ871" t="inlineStr">
        <is>
          <t>BOOK</t>
        </is>
      </c>
      <c r="BC871" t="inlineStr">
        <is>
          <t>32285000748003</t>
        </is>
      </c>
      <c r="BD871" t="inlineStr">
        <is>
          <t>893699549</t>
        </is>
      </c>
    </row>
    <row r="872">
      <c r="A872" t="inlineStr">
        <is>
          <t>No</t>
        </is>
      </c>
      <c r="B872" t="inlineStr">
        <is>
          <t>BT660.K7 C6 1948</t>
        </is>
      </c>
      <c r="C872" t="inlineStr">
        <is>
          <t>0                      BT 0660000K  7                  C  6           1948</t>
        </is>
      </c>
      <c r="D872" t="inlineStr">
        <is>
          <t>Our Lady of Knock : in picture and story / by William D. Coyne.</t>
        </is>
      </c>
      <c r="F872" t="inlineStr">
        <is>
          <t>No</t>
        </is>
      </c>
      <c r="G872" t="inlineStr">
        <is>
          <t>1</t>
        </is>
      </c>
      <c r="H872" t="inlineStr">
        <is>
          <t>No</t>
        </is>
      </c>
      <c r="I872" t="inlineStr">
        <is>
          <t>No</t>
        </is>
      </c>
      <c r="J872" t="inlineStr">
        <is>
          <t>0</t>
        </is>
      </c>
      <c r="K872" t="inlineStr">
        <is>
          <t>Coyne, William D.</t>
        </is>
      </c>
      <c r="L872" t="inlineStr">
        <is>
          <t>New York : Catholic Book Pub. Co., [1948].</t>
        </is>
      </c>
      <c r="M872" t="inlineStr">
        <is>
          <t>1948</t>
        </is>
      </c>
      <c r="O872" t="inlineStr">
        <is>
          <t>eng</t>
        </is>
      </c>
      <c r="P872" t="inlineStr">
        <is>
          <t>nyu</t>
        </is>
      </c>
      <c r="R872" t="inlineStr">
        <is>
          <t xml:space="preserve">BT </t>
        </is>
      </c>
      <c r="S872" t="n">
        <v>5</v>
      </c>
      <c r="T872" t="n">
        <v>5</v>
      </c>
      <c r="U872" t="inlineStr">
        <is>
          <t>1995-03-18</t>
        </is>
      </c>
      <c r="V872" t="inlineStr">
        <is>
          <t>1995-03-18</t>
        </is>
      </c>
      <c r="W872" t="inlineStr">
        <is>
          <t>1991-09-18</t>
        </is>
      </c>
      <c r="X872" t="inlineStr">
        <is>
          <t>1991-09-18</t>
        </is>
      </c>
      <c r="Y872" t="n">
        <v>91</v>
      </c>
      <c r="Z872" t="n">
        <v>80</v>
      </c>
      <c r="AA872" t="n">
        <v>80</v>
      </c>
      <c r="AB872" t="n">
        <v>2</v>
      </c>
      <c r="AC872" t="n">
        <v>2</v>
      </c>
      <c r="AD872" t="n">
        <v>10</v>
      </c>
      <c r="AE872" t="n">
        <v>10</v>
      </c>
      <c r="AF872" t="n">
        <v>1</v>
      </c>
      <c r="AG872" t="n">
        <v>1</v>
      </c>
      <c r="AH872" t="n">
        <v>3</v>
      </c>
      <c r="AI872" t="n">
        <v>3</v>
      </c>
      <c r="AJ872" t="n">
        <v>7</v>
      </c>
      <c r="AK872" t="n">
        <v>7</v>
      </c>
      <c r="AL872" t="n">
        <v>0</v>
      </c>
      <c r="AM872" t="n">
        <v>0</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HYPERLINK("https://creighton-primo.hosted.exlibrisgroup.com/primo-explore/search?tab=default_tab&amp;search_scope=EVERYTHING&amp;vid=01CRU&amp;lang=en_US&amp;offset=0&amp;query=any,contains,991005009599702656","Catalog Record")</f>
        <v/>
      </c>
      <c r="AT872">
        <f>HYPERLINK("http://www.worldcat.org/oclc/6591691","WorldCat Record")</f>
        <v/>
      </c>
      <c r="AU872" t="inlineStr">
        <is>
          <t>23291603:eng</t>
        </is>
      </c>
      <c r="AV872" t="inlineStr">
        <is>
          <t>6591691</t>
        </is>
      </c>
      <c r="AW872" t="inlineStr">
        <is>
          <t>991005009599702656</t>
        </is>
      </c>
      <c r="AX872" t="inlineStr">
        <is>
          <t>991005009599702656</t>
        </is>
      </c>
      <c r="AY872" t="inlineStr">
        <is>
          <t>2258866980002656</t>
        </is>
      </c>
      <c r="AZ872" t="inlineStr">
        <is>
          <t>BOOK</t>
        </is>
      </c>
      <c r="BC872" t="inlineStr">
        <is>
          <t>32285000748011</t>
        </is>
      </c>
      <c r="BD872" t="inlineStr">
        <is>
          <t>893628458</t>
        </is>
      </c>
    </row>
    <row r="873">
      <c r="A873" t="inlineStr">
        <is>
          <t>No</t>
        </is>
      </c>
      <c r="B873" t="inlineStr">
        <is>
          <t>BT660.S33 K4 1953</t>
        </is>
      </c>
      <c r="C873" t="inlineStr">
        <is>
          <t>0                      BT 0660000S  33                 K  4           1953</t>
        </is>
      </c>
      <c r="D873" t="inlineStr">
        <is>
          <t>Light on the mountain : the story of LaSalette / John S. Kennedy.</t>
        </is>
      </c>
      <c r="F873" t="inlineStr">
        <is>
          <t>No</t>
        </is>
      </c>
      <c r="G873" t="inlineStr">
        <is>
          <t>1</t>
        </is>
      </c>
      <c r="H873" t="inlineStr">
        <is>
          <t>No</t>
        </is>
      </c>
      <c r="I873" t="inlineStr">
        <is>
          <t>No</t>
        </is>
      </c>
      <c r="J873" t="inlineStr">
        <is>
          <t>0</t>
        </is>
      </c>
      <c r="K873" t="inlineStr">
        <is>
          <t>Kennedy, John S.</t>
        </is>
      </c>
      <c r="L873" t="inlineStr">
        <is>
          <t>New York : McMullen Books, [1953]</t>
        </is>
      </c>
      <c r="M873" t="inlineStr">
        <is>
          <t>1953</t>
        </is>
      </c>
      <c r="O873" t="inlineStr">
        <is>
          <t>eng</t>
        </is>
      </c>
      <c r="P873" t="inlineStr">
        <is>
          <t>nyu</t>
        </is>
      </c>
      <c r="R873" t="inlineStr">
        <is>
          <t xml:space="preserve">BT </t>
        </is>
      </c>
      <c r="S873" t="n">
        <v>7</v>
      </c>
      <c r="T873" t="n">
        <v>7</v>
      </c>
      <c r="U873" t="inlineStr">
        <is>
          <t>1996-03-25</t>
        </is>
      </c>
      <c r="V873" t="inlineStr">
        <is>
          <t>1996-03-25</t>
        </is>
      </c>
      <c r="W873" t="inlineStr">
        <is>
          <t>1990-08-02</t>
        </is>
      </c>
      <c r="X873" t="inlineStr">
        <is>
          <t>1990-08-02</t>
        </is>
      </c>
      <c r="Y873" t="n">
        <v>106</v>
      </c>
      <c r="Z873" t="n">
        <v>100</v>
      </c>
      <c r="AA873" t="n">
        <v>129</v>
      </c>
      <c r="AB873" t="n">
        <v>3</v>
      </c>
      <c r="AC873" t="n">
        <v>3</v>
      </c>
      <c r="AD873" t="n">
        <v>14</v>
      </c>
      <c r="AE873" t="n">
        <v>17</v>
      </c>
      <c r="AF873" t="n">
        <v>5</v>
      </c>
      <c r="AG873" t="n">
        <v>5</v>
      </c>
      <c r="AH873" t="n">
        <v>5</v>
      </c>
      <c r="AI873" t="n">
        <v>6</v>
      </c>
      <c r="AJ873" t="n">
        <v>10</v>
      </c>
      <c r="AK873" t="n">
        <v>13</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HYPERLINK("https://creighton-primo.hosted.exlibrisgroup.com/primo-explore/search?tab=default_tab&amp;search_scope=EVERYTHING&amp;vid=01CRU&amp;lang=en_US&amp;offset=0&amp;query=any,contains,991004746509702656","Catalog Record")</f>
        <v/>
      </c>
      <c r="AT873">
        <f>HYPERLINK("http://www.worldcat.org/oclc/4910882","WorldCat Record")</f>
        <v/>
      </c>
      <c r="AU873" t="inlineStr">
        <is>
          <t>902540794:eng</t>
        </is>
      </c>
      <c r="AV873" t="inlineStr">
        <is>
          <t>4910882</t>
        </is>
      </c>
      <c r="AW873" t="inlineStr">
        <is>
          <t>991004746509702656</t>
        </is>
      </c>
      <c r="AX873" t="inlineStr">
        <is>
          <t>991004746509702656</t>
        </is>
      </c>
      <c r="AY873" t="inlineStr">
        <is>
          <t>2268873630002656</t>
        </is>
      </c>
      <c r="AZ873" t="inlineStr">
        <is>
          <t>BOOK</t>
        </is>
      </c>
      <c r="BC873" t="inlineStr">
        <is>
          <t>32285000263078</t>
        </is>
      </c>
      <c r="BD873" t="inlineStr">
        <is>
          <t>893628352</t>
        </is>
      </c>
    </row>
    <row r="874">
      <c r="A874" t="inlineStr">
        <is>
          <t>No</t>
        </is>
      </c>
      <c r="B874" t="inlineStr">
        <is>
          <t>BT660.S33 U4 1936</t>
        </is>
      </c>
      <c r="C874" t="inlineStr">
        <is>
          <t>0                      BT 0660000S  33                 U  4           1936</t>
        </is>
      </c>
      <c r="D874" t="inlineStr">
        <is>
          <t>The holy mountain of La Salette / William Ullathorne.</t>
        </is>
      </c>
      <c r="F874" t="inlineStr">
        <is>
          <t>No</t>
        </is>
      </c>
      <c r="G874" t="inlineStr">
        <is>
          <t>1</t>
        </is>
      </c>
      <c r="H874" t="inlineStr">
        <is>
          <t>No</t>
        </is>
      </c>
      <c r="I874" t="inlineStr">
        <is>
          <t>No</t>
        </is>
      </c>
      <c r="J874" t="inlineStr">
        <is>
          <t>0</t>
        </is>
      </c>
      <c r="K874" t="inlineStr">
        <is>
          <t>Ullathorne, William, Reverend.</t>
        </is>
      </c>
      <c r="L874" t="inlineStr">
        <is>
          <t>Almont, N.Y. : The La Salette Press, [1936]</t>
        </is>
      </c>
      <c r="M874" t="inlineStr">
        <is>
          <t>1936</t>
        </is>
      </c>
      <c r="N874" t="inlineStr">
        <is>
          <t>Eighth edition.</t>
        </is>
      </c>
      <c r="O874" t="inlineStr">
        <is>
          <t>eng</t>
        </is>
      </c>
      <c r="P874" t="inlineStr">
        <is>
          <t>___</t>
        </is>
      </c>
      <c r="R874" t="inlineStr">
        <is>
          <t xml:space="preserve">BT </t>
        </is>
      </c>
      <c r="S874" t="n">
        <v>4</v>
      </c>
      <c r="T874" t="n">
        <v>4</v>
      </c>
      <c r="U874" t="inlineStr">
        <is>
          <t>1996-10-03</t>
        </is>
      </c>
      <c r="V874" t="inlineStr">
        <is>
          <t>1996-10-03</t>
        </is>
      </c>
      <c r="W874" t="inlineStr">
        <is>
          <t>1991-09-18</t>
        </is>
      </c>
      <c r="X874" t="inlineStr">
        <is>
          <t>1991-09-18</t>
        </is>
      </c>
      <c r="Y874" t="n">
        <v>30</v>
      </c>
      <c r="Z874" t="n">
        <v>30</v>
      </c>
      <c r="AA874" t="n">
        <v>59</v>
      </c>
      <c r="AB874" t="n">
        <v>1</v>
      </c>
      <c r="AC874" t="n">
        <v>1</v>
      </c>
      <c r="AD874" t="n">
        <v>5</v>
      </c>
      <c r="AE874" t="n">
        <v>7</v>
      </c>
      <c r="AF874" t="n">
        <v>1</v>
      </c>
      <c r="AG874" t="n">
        <v>1</v>
      </c>
      <c r="AH874" t="n">
        <v>1</v>
      </c>
      <c r="AI874" t="n">
        <v>1</v>
      </c>
      <c r="AJ874" t="n">
        <v>3</v>
      </c>
      <c r="AK874" t="n">
        <v>5</v>
      </c>
      <c r="AL874" t="n">
        <v>0</v>
      </c>
      <c r="AM874" t="n">
        <v>0</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HYPERLINK("https://creighton-primo.hosted.exlibrisgroup.com/primo-explore/search?tab=default_tab&amp;search_scope=EVERYTHING&amp;vid=01CRU&amp;lang=en_US&amp;offset=0&amp;query=any,contains,991003679709702656","Catalog Record")</f>
        <v/>
      </c>
      <c r="AT874">
        <f>HYPERLINK("http://www.worldcat.org/oclc/1304394","WorldCat Record")</f>
        <v/>
      </c>
      <c r="AU874" t="inlineStr">
        <is>
          <t>25796479:eng</t>
        </is>
      </c>
      <c r="AV874" t="inlineStr">
        <is>
          <t>1304394</t>
        </is>
      </c>
      <c r="AW874" t="inlineStr">
        <is>
          <t>991003679709702656</t>
        </is>
      </c>
      <c r="AX874" t="inlineStr">
        <is>
          <t>991003679709702656</t>
        </is>
      </c>
      <c r="AY874" t="inlineStr">
        <is>
          <t>2268109050002656</t>
        </is>
      </c>
      <c r="AZ874" t="inlineStr">
        <is>
          <t>BOOK</t>
        </is>
      </c>
      <c r="BC874" t="inlineStr">
        <is>
          <t>32285000748037</t>
        </is>
      </c>
      <c r="BD874" t="inlineStr">
        <is>
          <t>893518752</t>
        </is>
      </c>
    </row>
    <row r="875">
      <c r="A875" t="inlineStr">
        <is>
          <t>No</t>
        </is>
      </c>
      <c r="B875" t="inlineStr">
        <is>
          <t>BT660.S343 S2</t>
        </is>
      </c>
      <c r="C875" t="inlineStr">
        <is>
          <t>0                      BT 0660000S  343                S  2</t>
        </is>
      </c>
      <c r="D875" t="inlineStr">
        <is>
          <t>The apparitions of Garabandal / [by] F. Sanchez-Ventura y Pascual. Translated from the Spanish by A. de Bertodano.</t>
        </is>
      </c>
      <c r="F875" t="inlineStr">
        <is>
          <t>No</t>
        </is>
      </c>
      <c r="G875" t="inlineStr">
        <is>
          <t>1</t>
        </is>
      </c>
      <c r="H875" t="inlineStr">
        <is>
          <t>No</t>
        </is>
      </c>
      <c r="I875" t="inlineStr">
        <is>
          <t>No</t>
        </is>
      </c>
      <c r="J875" t="inlineStr">
        <is>
          <t>0</t>
        </is>
      </c>
      <c r="K875" t="inlineStr">
        <is>
          <t>Sánchez-Ventura y Pascual, Francisco.</t>
        </is>
      </c>
      <c r="L875" t="inlineStr">
        <is>
          <t>Detroit : San Miguel Pub. Co., c1966, 1967 printing.</t>
        </is>
      </c>
      <c r="M875" t="inlineStr">
        <is>
          <t>1966</t>
        </is>
      </c>
      <c r="O875" t="inlineStr">
        <is>
          <t>eng</t>
        </is>
      </c>
      <c r="P875" t="inlineStr">
        <is>
          <t>miu</t>
        </is>
      </c>
      <c r="R875" t="inlineStr">
        <is>
          <t xml:space="preserve">BT </t>
        </is>
      </c>
      <c r="S875" t="n">
        <v>8</v>
      </c>
      <c r="T875" t="n">
        <v>8</v>
      </c>
      <c r="U875" t="inlineStr">
        <is>
          <t>2008-05-27</t>
        </is>
      </c>
      <c r="V875" t="inlineStr">
        <is>
          <t>2008-05-27</t>
        </is>
      </c>
      <c r="W875" t="inlineStr">
        <is>
          <t>1991-09-18</t>
        </is>
      </c>
      <c r="X875" t="inlineStr">
        <is>
          <t>1991-09-18</t>
        </is>
      </c>
      <c r="Y875" t="n">
        <v>108</v>
      </c>
      <c r="Z875" t="n">
        <v>93</v>
      </c>
      <c r="AA875" t="n">
        <v>100</v>
      </c>
      <c r="AB875" t="n">
        <v>2</v>
      </c>
      <c r="AC875" t="n">
        <v>2</v>
      </c>
      <c r="AD875" t="n">
        <v>14</v>
      </c>
      <c r="AE875" t="n">
        <v>14</v>
      </c>
      <c r="AF875" t="n">
        <v>3</v>
      </c>
      <c r="AG875" t="n">
        <v>3</v>
      </c>
      <c r="AH875" t="n">
        <v>4</v>
      </c>
      <c r="AI875" t="n">
        <v>4</v>
      </c>
      <c r="AJ875" t="n">
        <v>10</v>
      </c>
      <c r="AK875" t="n">
        <v>10</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HYPERLINK("https://creighton-primo.hosted.exlibrisgroup.com/primo-explore/search?tab=default_tab&amp;search_scope=EVERYTHING&amp;vid=01CRU&amp;lang=en_US&amp;offset=0&amp;query=any,contains,991002763799702656","Catalog Record")</f>
        <v/>
      </c>
      <c r="AT875">
        <f>HYPERLINK("http://www.worldcat.org/oclc/431346","WorldCat Record")</f>
        <v/>
      </c>
      <c r="AU875" t="inlineStr">
        <is>
          <t>1536956:eng</t>
        </is>
      </c>
      <c r="AV875" t="inlineStr">
        <is>
          <t>431346</t>
        </is>
      </c>
      <c r="AW875" t="inlineStr">
        <is>
          <t>991002763799702656</t>
        </is>
      </c>
      <c r="AX875" t="inlineStr">
        <is>
          <t>991002763799702656</t>
        </is>
      </c>
      <c r="AY875" t="inlineStr">
        <is>
          <t>2271273980002656</t>
        </is>
      </c>
      <c r="AZ875" t="inlineStr">
        <is>
          <t>BOOK</t>
        </is>
      </c>
      <c r="BC875" t="inlineStr">
        <is>
          <t>32285000748045</t>
        </is>
      </c>
      <c r="BD875" t="inlineStr">
        <is>
          <t>893805005</t>
        </is>
      </c>
    </row>
    <row r="876">
      <c r="A876" t="inlineStr">
        <is>
          <t>No</t>
        </is>
      </c>
      <c r="B876" t="inlineStr">
        <is>
          <t>BT670.T5 B5 1954</t>
        </is>
      </c>
      <c r="C876" t="inlineStr">
        <is>
          <t>0                      BT 0670000T  5                  B  5           1954</t>
        </is>
      </c>
      <c r="D876" t="inlineStr">
        <is>
          <t>Our Lady's litany : readings and reflections / by A. Biskupek.</t>
        </is>
      </c>
      <c r="F876" t="inlineStr">
        <is>
          <t>No</t>
        </is>
      </c>
      <c r="G876" t="inlineStr">
        <is>
          <t>1</t>
        </is>
      </c>
      <c r="H876" t="inlineStr">
        <is>
          <t>No</t>
        </is>
      </c>
      <c r="I876" t="inlineStr">
        <is>
          <t>No</t>
        </is>
      </c>
      <c r="J876" t="inlineStr">
        <is>
          <t>0</t>
        </is>
      </c>
      <c r="K876" t="inlineStr">
        <is>
          <t>Biskupek, Aloysius, 1884-1955.</t>
        </is>
      </c>
      <c r="L876" t="inlineStr">
        <is>
          <t>Milwaukee : Bruce Pub. Co., [1954]</t>
        </is>
      </c>
      <c r="M876" t="inlineStr">
        <is>
          <t>1954</t>
        </is>
      </c>
      <c r="O876" t="inlineStr">
        <is>
          <t>eng</t>
        </is>
      </c>
      <c r="P876" t="inlineStr">
        <is>
          <t>wiu</t>
        </is>
      </c>
      <c r="R876" t="inlineStr">
        <is>
          <t xml:space="preserve">BT </t>
        </is>
      </c>
      <c r="S876" t="n">
        <v>3</v>
      </c>
      <c r="T876" t="n">
        <v>3</v>
      </c>
      <c r="U876" t="inlineStr">
        <is>
          <t>1996-12-12</t>
        </is>
      </c>
      <c r="V876" t="inlineStr">
        <is>
          <t>1996-12-12</t>
        </is>
      </c>
      <c r="W876" t="inlineStr">
        <is>
          <t>1991-09-18</t>
        </is>
      </c>
      <c r="X876" t="inlineStr">
        <is>
          <t>1991-09-18</t>
        </is>
      </c>
      <c r="Y876" t="n">
        <v>121</v>
      </c>
      <c r="Z876" t="n">
        <v>108</v>
      </c>
      <c r="AA876" t="n">
        <v>114</v>
      </c>
      <c r="AB876" t="n">
        <v>2</v>
      </c>
      <c r="AC876" t="n">
        <v>2</v>
      </c>
      <c r="AD876" t="n">
        <v>19</v>
      </c>
      <c r="AE876" t="n">
        <v>19</v>
      </c>
      <c r="AF876" t="n">
        <v>6</v>
      </c>
      <c r="AG876" t="n">
        <v>6</v>
      </c>
      <c r="AH876" t="n">
        <v>4</v>
      </c>
      <c r="AI876" t="n">
        <v>4</v>
      </c>
      <c r="AJ876" t="n">
        <v>15</v>
      </c>
      <c r="AK876" t="n">
        <v>15</v>
      </c>
      <c r="AL876" t="n">
        <v>0</v>
      </c>
      <c r="AM876" t="n">
        <v>0</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HYPERLINK("https://creighton-primo.hosted.exlibrisgroup.com/primo-explore/search?tab=default_tab&amp;search_scope=EVERYTHING&amp;vid=01CRU&amp;lang=en_US&amp;offset=0&amp;query=any,contains,991003980089702656","Catalog Record")</f>
        <v/>
      </c>
      <c r="AT876">
        <f>HYPERLINK("http://www.worldcat.org/oclc/2019474","WorldCat Record")</f>
        <v/>
      </c>
      <c r="AU876" t="inlineStr">
        <is>
          <t>2694743:eng</t>
        </is>
      </c>
      <c r="AV876" t="inlineStr">
        <is>
          <t>2019474</t>
        </is>
      </c>
      <c r="AW876" t="inlineStr">
        <is>
          <t>991003980089702656</t>
        </is>
      </c>
      <c r="AX876" t="inlineStr">
        <is>
          <t>991003980089702656</t>
        </is>
      </c>
      <c r="AY876" t="inlineStr">
        <is>
          <t>2260060350002656</t>
        </is>
      </c>
      <c r="AZ876" t="inlineStr">
        <is>
          <t>BOOK</t>
        </is>
      </c>
      <c r="BC876" t="inlineStr">
        <is>
          <t>32285000748052</t>
        </is>
      </c>
      <c r="BD876" t="inlineStr">
        <is>
          <t>893881903</t>
        </is>
      </c>
    </row>
    <row r="877">
      <c r="A877" t="inlineStr">
        <is>
          <t>No</t>
        </is>
      </c>
      <c r="B877" t="inlineStr">
        <is>
          <t>BT695 .B68 1991</t>
        </is>
      </c>
      <c r="C877" t="inlineStr">
        <is>
          <t>0                      BT 0695000B  68          1991</t>
        </is>
      </c>
      <c r="D877" t="inlineStr">
        <is>
          <t>Society and spirit : a trinitarian cosmology / Joseph A. Bracken ; with a foreword by John B. Cobb, Jr.</t>
        </is>
      </c>
      <c r="F877" t="inlineStr">
        <is>
          <t>No</t>
        </is>
      </c>
      <c r="G877" t="inlineStr">
        <is>
          <t>1</t>
        </is>
      </c>
      <c r="H877" t="inlineStr">
        <is>
          <t>No</t>
        </is>
      </c>
      <c r="I877" t="inlineStr">
        <is>
          <t>No</t>
        </is>
      </c>
      <c r="J877" t="inlineStr">
        <is>
          <t>0</t>
        </is>
      </c>
      <c r="K877" t="inlineStr">
        <is>
          <t>Bracken, Joseph A.</t>
        </is>
      </c>
      <c r="L877" t="inlineStr">
        <is>
          <t>Selinsgrove : Susquehanna University Press, c1991.</t>
        </is>
      </c>
      <c r="M877" t="inlineStr">
        <is>
          <t>1991</t>
        </is>
      </c>
      <c r="O877" t="inlineStr">
        <is>
          <t>eng</t>
        </is>
      </c>
      <c r="P877" t="inlineStr">
        <is>
          <t>pau</t>
        </is>
      </c>
      <c r="R877" t="inlineStr">
        <is>
          <t xml:space="preserve">BT </t>
        </is>
      </c>
      <c r="S877" t="n">
        <v>5</v>
      </c>
      <c r="T877" t="n">
        <v>5</v>
      </c>
      <c r="U877" t="inlineStr">
        <is>
          <t>2006-12-13</t>
        </is>
      </c>
      <c r="V877" t="inlineStr">
        <is>
          <t>2006-12-13</t>
        </is>
      </c>
      <c r="W877" t="inlineStr">
        <is>
          <t>1992-01-21</t>
        </is>
      </c>
      <c r="X877" t="inlineStr">
        <is>
          <t>1992-01-21</t>
        </is>
      </c>
      <c r="Y877" t="n">
        <v>244</v>
      </c>
      <c r="Z877" t="n">
        <v>204</v>
      </c>
      <c r="AA877" t="n">
        <v>205</v>
      </c>
      <c r="AB877" t="n">
        <v>1</v>
      </c>
      <c r="AC877" t="n">
        <v>1</v>
      </c>
      <c r="AD877" t="n">
        <v>20</v>
      </c>
      <c r="AE877" t="n">
        <v>20</v>
      </c>
      <c r="AF877" t="n">
        <v>5</v>
      </c>
      <c r="AG877" t="n">
        <v>5</v>
      </c>
      <c r="AH877" t="n">
        <v>6</v>
      </c>
      <c r="AI877" t="n">
        <v>6</v>
      </c>
      <c r="AJ877" t="n">
        <v>16</v>
      </c>
      <c r="AK877" t="n">
        <v>16</v>
      </c>
      <c r="AL877" t="n">
        <v>0</v>
      </c>
      <c r="AM877" t="n">
        <v>0</v>
      </c>
      <c r="AN877" t="n">
        <v>0</v>
      </c>
      <c r="AO877" t="n">
        <v>0</v>
      </c>
      <c r="AP877" t="inlineStr">
        <is>
          <t>No</t>
        </is>
      </c>
      <c r="AQ877" t="inlineStr">
        <is>
          <t>Yes</t>
        </is>
      </c>
      <c r="AR877">
        <f>HYPERLINK("http://catalog.hathitrust.org/Record/002481934","HathiTrust Record")</f>
        <v/>
      </c>
      <c r="AS877">
        <f>HYPERLINK("https://creighton-primo.hosted.exlibrisgroup.com/primo-explore/search?tab=default_tab&amp;search_scope=EVERYTHING&amp;vid=01CRU&amp;lang=en_US&amp;offset=0&amp;query=any,contains,991001824559702656","Catalog Record")</f>
        <v/>
      </c>
      <c r="AT877">
        <f>HYPERLINK("http://www.worldcat.org/oclc/22911214","WorldCat Record")</f>
        <v/>
      </c>
      <c r="AU877" t="inlineStr">
        <is>
          <t>364267471:eng</t>
        </is>
      </c>
      <c r="AV877" t="inlineStr">
        <is>
          <t>22911214</t>
        </is>
      </c>
      <c r="AW877" t="inlineStr">
        <is>
          <t>991001824559702656</t>
        </is>
      </c>
      <c r="AX877" t="inlineStr">
        <is>
          <t>991001824559702656</t>
        </is>
      </c>
      <c r="AY877" t="inlineStr">
        <is>
          <t>2268590140002656</t>
        </is>
      </c>
      <c r="AZ877" t="inlineStr">
        <is>
          <t>BOOK</t>
        </is>
      </c>
      <c r="BB877" t="inlineStr">
        <is>
          <t>9780945636212</t>
        </is>
      </c>
      <c r="BC877" t="inlineStr">
        <is>
          <t>32285000864651</t>
        </is>
      </c>
      <c r="BD877" t="inlineStr">
        <is>
          <t>893621654</t>
        </is>
      </c>
    </row>
    <row r="878">
      <c r="A878" t="inlineStr">
        <is>
          <t>No</t>
        </is>
      </c>
      <c r="B878" t="inlineStr">
        <is>
          <t>BT695 .C58 1991</t>
        </is>
      </c>
      <c r="C878" t="inlineStr">
        <is>
          <t>0                      BT 0695000C  58          1991</t>
        </is>
      </c>
      <c r="D878" t="inlineStr">
        <is>
          <t>Covenant for a new creation : ethics, religion, and public policy / edited by Carol S. Robb and Carl J. Casebolt.</t>
        </is>
      </c>
      <c r="F878" t="inlineStr">
        <is>
          <t>No</t>
        </is>
      </c>
      <c r="G878" t="inlineStr">
        <is>
          <t>1</t>
        </is>
      </c>
      <c r="H878" t="inlineStr">
        <is>
          <t>No</t>
        </is>
      </c>
      <c r="I878" t="inlineStr">
        <is>
          <t>No</t>
        </is>
      </c>
      <c r="J878" t="inlineStr">
        <is>
          <t>0</t>
        </is>
      </c>
      <c r="L878" t="inlineStr">
        <is>
          <t>Maryknoll, N.Y. : Orbis Books, Graduate Theological Union, 1991.</t>
        </is>
      </c>
      <c r="M878" t="inlineStr">
        <is>
          <t>1991</t>
        </is>
      </c>
      <c r="O878" t="inlineStr">
        <is>
          <t>eng</t>
        </is>
      </c>
      <c r="P878" t="inlineStr">
        <is>
          <t>nyu</t>
        </is>
      </c>
      <c r="R878" t="inlineStr">
        <is>
          <t xml:space="preserve">BT </t>
        </is>
      </c>
      <c r="S878" t="n">
        <v>3</v>
      </c>
      <c r="T878" t="n">
        <v>3</v>
      </c>
      <c r="U878" t="inlineStr">
        <is>
          <t>2004-03-29</t>
        </is>
      </c>
      <c r="V878" t="inlineStr">
        <is>
          <t>2004-03-29</t>
        </is>
      </c>
      <c r="W878" t="inlineStr">
        <is>
          <t>1993-09-28</t>
        </is>
      </c>
      <c r="X878" t="inlineStr">
        <is>
          <t>1993-09-28</t>
        </is>
      </c>
      <c r="Y878" t="n">
        <v>298</v>
      </c>
      <c r="Z878" t="n">
        <v>260</v>
      </c>
      <c r="AA878" t="n">
        <v>267</v>
      </c>
      <c r="AB878" t="n">
        <v>2</v>
      </c>
      <c r="AC878" t="n">
        <v>2</v>
      </c>
      <c r="AD878" t="n">
        <v>22</v>
      </c>
      <c r="AE878" t="n">
        <v>22</v>
      </c>
      <c r="AF878" t="n">
        <v>7</v>
      </c>
      <c r="AG878" t="n">
        <v>7</v>
      </c>
      <c r="AH878" t="n">
        <v>7</v>
      </c>
      <c r="AI878" t="n">
        <v>7</v>
      </c>
      <c r="AJ878" t="n">
        <v>15</v>
      </c>
      <c r="AK878" t="n">
        <v>15</v>
      </c>
      <c r="AL878" t="n">
        <v>1</v>
      </c>
      <c r="AM878" t="n">
        <v>1</v>
      </c>
      <c r="AN878" t="n">
        <v>0</v>
      </c>
      <c r="AO878" t="n">
        <v>0</v>
      </c>
      <c r="AP878" t="inlineStr">
        <is>
          <t>No</t>
        </is>
      </c>
      <c r="AQ878" t="inlineStr">
        <is>
          <t>Yes</t>
        </is>
      </c>
      <c r="AR878">
        <f>HYPERLINK("http://catalog.hathitrust.org/Record/002455296","HathiTrust Record")</f>
        <v/>
      </c>
      <c r="AS878">
        <f>HYPERLINK("https://creighton-primo.hosted.exlibrisgroup.com/primo-explore/search?tab=default_tab&amp;search_scope=EVERYTHING&amp;vid=01CRU&amp;lang=en_US&amp;offset=0&amp;query=any,contains,991001824059702656","Catalog Record")</f>
        <v/>
      </c>
      <c r="AT878">
        <f>HYPERLINK("http://www.worldcat.org/oclc/22909846","WorldCat Record")</f>
        <v/>
      </c>
      <c r="AU878" t="inlineStr">
        <is>
          <t>865283178:eng</t>
        </is>
      </c>
      <c r="AV878" t="inlineStr">
        <is>
          <t>22909846</t>
        </is>
      </c>
      <c r="AW878" t="inlineStr">
        <is>
          <t>991001824059702656</t>
        </is>
      </c>
      <c r="AX878" t="inlineStr">
        <is>
          <t>991001824059702656</t>
        </is>
      </c>
      <c r="AY878" t="inlineStr">
        <is>
          <t>2260706460002656</t>
        </is>
      </c>
      <c r="AZ878" t="inlineStr">
        <is>
          <t>BOOK</t>
        </is>
      </c>
      <c r="BB878" t="inlineStr">
        <is>
          <t>9780883447406</t>
        </is>
      </c>
      <c r="BC878" t="inlineStr">
        <is>
          <t>32285001768158</t>
        </is>
      </c>
      <c r="BD878" t="inlineStr">
        <is>
          <t>893590676</t>
        </is>
      </c>
    </row>
    <row r="879">
      <c r="A879" t="inlineStr">
        <is>
          <t>No</t>
        </is>
      </c>
      <c r="B879" t="inlineStr">
        <is>
          <t>BT695 .D35 1989</t>
        </is>
      </c>
      <c r="C879" t="inlineStr">
        <is>
          <t>0                      BT 0695000D  35          1989</t>
        </is>
      </c>
      <c r="D879" t="inlineStr">
        <is>
          <t>Creation and redemption / Gabriel Daly.</t>
        </is>
      </c>
      <c r="F879" t="inlineStr">
        <is>
          <t>No</t>
        </is>
      </c>
      <c r="G879" t="inlineStr">
        <is>
          <t>1</t>
        </is>
      </c>
      <c r="H879" t="inlineStr">
        <is>
          <t>No</t>
        </is>
      </c>
      <c r="I879" t="inlineStr">
        <is>
          <t>No</t>
        </is>
      </c>
      <c r="J879" t="inlineStr">
        <is>
          <t>0</t>
        </is>
      </c>
      <c r="K879" t="inlineStr">
        <is>
          <t>Daly, Gabriel.</t>
        </is>
      </c>
      <c r="L879" t="inlineStr">
        <is>
          <t>Wilmington, Del. : M. Glazier, 1989, c1988.</t>
        </is>
      </c>
      <c r="M879" t="inlineStr">
        <is>
          <t>1989</t>
        </is>
      </c>
      <c r="O879" t="inlineStr">
        <is>
          <t>eng</t>
        </is>
      </c>
      <c r="P879" t="inlineStr">
        <is>
          <t>deu</t>
        </is>
      </c>
      <c r="Q879" t="inlineStr">
        <is>
          <t>Theology and life series ; 25</t>
        </is>
      </c>
      <c r="R879" t="inlineStr">
        <is>
          <t xml:space="preserve">BT </t>
        </is>
      </c>
      <c r="S879" t="n">
        <v>9</v>
      </c>
      <c r="T879" t="n">
        <v>9</v>
      </c>
      <c r="U879" t="inlineStr">
        <is>
          <t>2007-11-08</t>
        </is>
      </c>
      <c r="V879" t="inlineStr">
        <is>
          <t>2007-11-08</t>
        </is>
      </c>
      <c r="W879" t="inlineStr">
        <is>
          <t>1990-08-02</t>
        </is>
      </c>
      <c r="X879" t="inlineStr">
        <is>
          <t>1990-08-02</t>
        </is>
      </c>
      <c r="Y879" t="n">
        <v>154</v>
      </c>
      <c r="Z879" t="n">
        <v>130</v>
      </c>
      <c r="AA879" t="n">
        <v>143</v>
      </c>
      <c r="AB879" t="n">
        <v>2</v>
      </c>
      <c r="AC879" t="n">
        <v>2</v>
      </c>
      <c r="AD879" t="n">
        <v>20</v>
      </c>
      <c r="AE879" t="n">
        <v>21</v>
      </c>
      <c r="AF879" t="n">
        <v>6</v>
      </c>
      <c r="AG879" t="n">
        <v>6</v>
      </c>
      <c r="AH879" t="n">
        <v>6</v>
      </c>
      <c r="AI879" t="n">
        <v>6</v>
      </c>
      <c r="AJ879" t="n">
        <v>14</v>
      </c>
      <c r="AK879" t="n">
        <v>15</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HYPERLINK("https://creighton-primo.hosted.exlibrisgroup.com/primo-explore/search?tab=default_tab&amp;search_scope=EVERYTHING&amp;vid=01CRU&amp;lang=en_US&amp;offset=0&amp;query=any,contains,991001355209702656","Catalog Record")</f>
        <v/>
      </c>
      <c r="AT879">
        <f>HYPERLINK("http://www.worldcat.org/oclc/18464570","WorldCat Record")</f>
        <v/>
      </c>
      <c r="AU879" t="inlineStr">
        <is>
          <t>17481729:eng</t>
        </is>
      </c>
      <c r="AV879" t="inlineStr">
        <is>
          <t>18464570</t>
        </is>
      </c>
      <c r="AW879" t="inlineStr">
        <is>
          <t>991001355209702656</t>
        </is>
      </c>
      <c r="AX879" t="inlineStr">
        <is>
          <t>991001355209702656</t>
        </is>
      </c>
      <c r="AY879" t="inlineStr">
        <is>
          <t>2268890230002656</t>
        </is>
      </c>
      <c r="AZ879" t="inlineStr">
        <is>
          <t>BOOK</t>
        </is>
      </c>
      <c r="BB879" t="inlineStr">
        <is>
          <t>9780894537486</t>
        </is>
      </c>
      <c r="BC879" t="inlineStr">
        <is>
          <t>32285000263094</t>
        </is>
      </c>
      <c r="BD879" t="inlineStr">
        <is>
          <t>893321858</t>
        </is>
      </c>
    </row>
    <row r="880">
      <c r="A880" t="inlineStr">
        <is>
          <t>No</t>
        </is>
      </c>
      <c r="B880" t="inlineStr">
        <is>
          <t>BT695 .D66 1985</t>
        </is>
      </c>
      <c r="C880" t="inlineStr">
        <is>
          <t>0                      BT 0695000D  66          1985</t>
        </is>
      </c>
      <c r="D880" t="inlineStr">
        <is>
          <t>Creation &amp; human dynamism : a spirituality for life / Joseph G. Donders.</t>
        </is>
      </c>
      <c r="F880" t="inlineStr">
        <is>
          <t>No</t>
        </is>
      </c>
      <c r="G880" t="inlineStr">
        <is>
          <t>1</t>
        </is>
      </c>
      <c r="H880" t="inlineStr">
        <is>
          <t>No</t>
        </is>
      </c>
      <c r="I880" t="inlineStr">
        <is>
          <t>No</t>
        </is>
      </c>
      <c r="J880" t="inlineStr">
        <is>
          <t>0</t>
        </is>
      </c>
      <c r="K880" t="inlineStr">
        <is>
          <t>Donders, Joseph G.</t>
        </is>
      </c>
      <c r="L880" t="inlineStr">
        <is>
          <t>Mystic, Conn. : Twenty-Third Publications, c1985.</t>
        </is>
      </c>
      <c r="M880" t="inlineStr">
        <is>
          <t>1985</t>
        </is>
      </c>
      <c r="O880" t="inlineStr">
        <is>
          <t>eng</t>
        </is>
      </c>
      <c r="P880" t="inlineStr">
        <is>
          <t>ctu</t>
        </is>
      </c>
      <c r="R880" t="inlineStr">
        <is>
          <t xml:space="preserve">BT </t>
        </is>
      </c>
      <c r="S880" t="n">
        <v>1</v>
      </c>
      <c r="T880" t="n">
        <v>1</v>
      </c>
      <c r="U880" t="inlineStr">
        <is>
          <t>2007-11-08</t>
        </is>
      </c>
      <c r="V880" t="inlineStr">
        <is>
          <t>2007-11-08</t>
        </is>
      </c>
      <c r="W880" t="inlineStr">
        <is>
          <t>1989-10-19</t>
        </is>
      </c>
      <c r="X880" t="inlineStr">
        <is>
          <t>1989-10-19</t>
        </is>
      </c>
      <c r="Y880" t="n">
        <v>115</v>
      </c>
      <c r="Z880" t="n">
        <v>93</v>
      </c>
      <c r="AA880" t="n">
        <v>98</v>
      </c>
      <c r="AB880" t="n">
        <v>1</v>
      </c>
      <c r="AC880" t="n">
        <v>1</v>
      </c>
      <c r="AD880" t="n">
        <v>11</v>
      </c>
      <c r="AE880" t="n">
        <v>11</v>
      </c>
      <c r="AF880" t="n">
        <v>2</v>
      </c>
      <c r="AG880" t="n">
        <v>2</v>
      </c>
      <c r="AH880" t="n">
        <v>4</v>
      </c>
      <c r="AI880" t="n">
        <v>4</v>
      </c>
      <c r="AJ880" t="n">
        <v>7</v>
      </c>
      <c r="AK880" t="n">
        <v>7</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HYPERLINK("https://creighton-primo.hosted.exlibrisgroup.com/primo-explore/search?tab=default_tab&amp;search_scope=EVERYTHING&amp;vid=01CRU&amp;lang=en_US&amp;offset=0&amp;query=any,contains,991000776759702656","Catalog Record")</f>
        <v/>
      </c>
      <c r="AT880">
        <f>HYPERLINK("http://www.worldcat.org/oclc/13085303","WorldCat Record")</f>
        <v/>
      </c>
      <c r="AU880" t="inlineStr">
        <is>
          <t>5743085:eng</t>
        </is>
      </c>
      <c r="AV880" t="inlineStr">
        <is>
          <t>13085303</t>
        </is>
      </c>
      <c r="AW880" t="inlineStr">
        <is>
          <t>991000776759702656</t>
        </is>
      </c>
      <c r="AX880" t="inlineStr">
        <is>
          <t>991000776759702656</t>
        </is>
      </c>
      <c r="AY880" t="inlineStr">
        <is>
          <t>2261002230002656</t>
        </is>
      </c>
      <c r="AZ880" t="inlineStr">
        <is>
          <t>BOOK</t>
        </is>
      </c>
      <c r="BB880" t="inlineStr">
        <is>
          <t>9780896222274</t>
        </is>
      </c>
      <c r="BC880" t="inlineStr">
        <is>
          <t>32285000000181</t>
        </is>
      </c>
      <c r="BD880" t="inlineStr">
        <is>
          <t>893897199</t>
        </is>
      </c>
    </row>
    <row r="881">
      <c r="A881" t="inlineStr">
        <is>
          <t>No</t>
        </is>
      </c>
      <c r="B881" t="inlineStr">
        <is>
          <t>BT695 .G5 1985</t>
        </is>
      </c>
      <c r="C881" t="inlineStr">
        <is>
          <t>0                      BT 0695000G  5           1985</t>
        </is>
      </c>
      <c r="D881" t="inlineStr">
        <is>
          <t>Maker of heaven and earth : the Christian doctrine of creation in the light of modern knowledge / Langdon Gilkey.</t>
        </is>
      </c>
      <c r="F881" t="inlineStr">
        <is>
          <t>No</t>
        </is>
      </c>
      <c r="G881" t="inlineStr">
        <is>
          <t>1</t>
        </is>
      </c>
      <c r="H881" t="inlineStr">
        <is>
          <t>No</t>
        </is>
      </c>
      <c r="I881" t="inlineStr">
        <is>
          <t>No</t>
        </is>
      </c>
      <c r="J881" t="inlineStr">
        <is>
          <t>0</t>
        </is>
      </c>
      <c r="K881" t="inlineStr">
        <is>
          <t>Gilkey, Langdon, 1919-2004.</t>
        </is>
      </c>
      <c r="L881" t="inlineStr">
        <is>
          <t>Lanham, MD : University Press of America, 1985, c1959.</t>
        </is>
      </c>
      <c r="M881" t="inlineStr">
        <is>
          <t>1985</t>
        </is>
      </c>
      <c r="O881" t="inlineStr">
        <is>
          <t>eng</t>
        </is>
      </c>
      <c r="P881" t="inlineStr">
        <is>
          <t>mdu</t>
        </is>
      </c>
      <c r="R881" t="inlineStr">
        <is>
          <t xml:space="preserve">BT </t>
        </is>
      </c>
      <c r="S881" t="n">
        <v>5</v>
      </c>
      <c r="T881" t="n">
        <v>5</v>
      </c>
      <c r="U881" t="inlineStr">
        <is>
          <t>2007-11-08</t>
        </is>
      </c>
      <c r="V881" t="inlineStr">
        <is>
          <t>2007-11-08</t>
        </is>
      </c>
      <c r="W881" t="inlineStr">
        <is>
          <t>1992-01-28</t>
        </is>
      </c>
      <c r="X881" t="inlineStr">
        <is>
          <t>1992-01-28</t>
        </is>
      </c>
      <c r="Y881" t="n">
        <v>168</v>
      </c>
      <c r="Z881" t="n">
        <v>132</v>
      </c>
      <c r="AA881" t="n">
        <v>743</v>
      </c>
      <c r="AB881" t="n">
        <v>3</v>
      </c>
      <c r="AC881" t="n">
        <v>10</v>
      </c>
      <c r="AD881" t="n">
        <v>14</v>
      </c>
      <c r="AE881" t="n">
        <v>44</v>
      </c>
      <c r="AF881" t="n">
        <v>7</v>
      </c>
      <c r="AG881" t="n">
        <v>18</v>
      </c>
      <c r="AH881" t="n">
        <v>2</v>
      </c>
      <c r="AI881" t="n">
        <v>8</v>
      </c>
      <c r="AJ881" t="n">
        <v>8</v>
      </c>
      <c r="AK881" t="n">
        <v>22</v>
      </c>
      <c r="AL881" t="n">
        <v>1</v>
      </c>
      <c r="AM881" t="n">
        <v>7</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HYPERLINK("https://creighton-primo.hosted.exlibrisgroup.com/primo-explore/search?tab=default_tab&amp;search_scope=EVERYTHING&amp;vid=01CRU&amp;lang=en_US&amp;offset=0&amp;query=any,contains,991000725999702656","Catalog Record")</f>
        <v/>
      </c>
      <c r="AT881">
        <f>HYPERLINK("http://www.worldcat.org/oclc/12695584","WorldCat Record")</f>
        <v/>
      </c>
      <c r="AU881" t="inlineStr">
        <is>
          <t>377852521:eng</t>
        </is>
      </c>
      <c r="AV881" t="inlineStr">
        <is>
          <t>12695584</t>
        </is>
      </c>
      <c r="AW881" t="inlineStr">
        <is>
          <t>991000725999702656</t>
        </is>
      </c>
      <c r="AX881" t="inlineStr">
        <is>
          <t>991000725999702656</t>
        </is>
      </c>
      <c r="AY881" t="inlineStr">
        <is>
          <t>2254724590002656</t>
        </is>
      </c>
      <c r="AZ881" t="inlineStr">
        <is>
          <t>BOOK</t>
        </is>
      </c>
      <c r="BB881" t="inlineStr">
        <is>
          <t>9780819149763</t>
        </is>
      </c>
      <c r="BC881" t="inlineStr">
        <is>
          <t>32285000867456</t>
        </is>
      </c>
      <c r="BD881" t="inlineStr">
        <is>
          <t>893444442</t>
        </is>
      </c>
    </row>
    <row r="882">
      <c r="A882" t="inlineStr">
        <is>
          <t>No</t>
        </is>
      </c>
      <c r="B882" t="inlineStr">
        <is>
          <t>BT695 .G86 1998</t>
        </is>
      </c>
      <c r="C882" t="inlineStr">
        <is>
          <t>0                      BT 0695000G  86          1998</t>
        </is>
      </c>
      <c r="D882" t="inlineStr">
        <is>
          <t>The triune creator : a historical and systematic study / Colin E. Gunton.</t>
        </is>
      </c>
      <c r="F882" t="inlineStr">
        <is>
          <t>No</t>
        </is>
      </c>
      <c r="G882" t="inlineStr">
        <is>
          <t>1</t>
        </is>
      </c>
      <c r="H882" t="inlineStr">
        <is>
          <t>No</t>
        </is>
      </c>
      <c r="I882" t="inlineStr">
        <is>
          <t>No</t>
        </is>
      </c>
      <c r="J882" t="inlineStr">
        <is>
          <t>0</t>
        </is>
      </c>
      <c r="K882" t="inlineStr">
        <is>
          <t>Gunton, Colin E.</t>
        </is>
      </c>
      <c r="L882" t="inlineStr">
        <is>
          <t>Grand Rapids, Mich. : Eerdmans, c1998.</t>
        </is>
      </c>
      <c r="M882" t="inlineStr">
        <is>
          <t>1998</t>
        </is>
      </c>
      <c r="O882" t="inlineStr">
        <is>
          <t>eng</t>
        </is>
      </c>
      <c r="P882" t="inlineStr">
        <is>
          <t>miu</t>
        </is>
      </c>
      <c r="Q882" t="inlineStr">
        <is>
          <t>Edinburgh studies in constructive theology</t>
        </is>
      </c>
      <c r="R882" t="inlineStr">
        <is>
          <t xml:space="preserve">BT </t>
        </is>
      </c>
      <c r="S882" t="n">
        <v>5</v>
      </c>
      <c r="T882" t="n">
        <v>5</v>
      </c>
      <c r="U882" t="inlineStr">
        <is>
          <t>2006-02-07</t>
        </is>
      </c>
      <c r="V882" t="inlineStr">
        <is>
          <t>2006-02-07</t>
        </is>
      </c>
      <c r="W882" t="inlineStr">
        <is>
          <t>2000-09-05</t>
        </is>
      </c>
      <c r="X882" t="inlineStr">
        <is>
          <t>2000-09-05</t>
        </is>
      </c>
      <c r="Y882" t="n">
        <v>279</v>
      </c>
      <c r="Z882" t="n">
        <v>221</v>
      </c>
      <c r="AA882" t="n">
        <v>1032</v>
      </c>
      <c r="AB882" t="n">
        <v>2</v>
      </c>
      <c r="AC882" t="n">
        <v>5</v>
      </c>
      <c r="AD882" t="n">
        <v>17</v>
      </c>
      <c r="AE882" t="n">
        <v>31</v>
      </c>
      <c r="AF882" t="n">
        <v>7</v>
      </c>
      <c r="AG882" t="n">
        <v>14</v>
      </c>
      <c r="AH882" t="n">
        <v>2</v>
      </c>
      <c r="AI882" t="n">
        <v>6</v>
      </c>
      <c r="AJ882" t="n">
        <v>10</v>
      </c>
      <c r="AK882" t="n">
        <v>14</v>
      </c>
      <c r="AL882" t="n">
        <v>1</v>
      </c>
      <c r="AM882" t="n">
        <v>4</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HYPERLINK("https://creighton-primo.hosted.exlibrisgroup.com/primo-explore/search?tab=default_tab&amp;search_scope=EVERYTHING&amp;vid=01CRU&amp;lang=en_US&amp;offset=0&amp;query=any,contains,991003218439702656","Catalog Record")</f>
        <v/>
      </c>
      <c r="AT882">
        <f>HYPERLINK("http://www.worldcat.org/oclc/40350079","WorldCat Record")</f>
        <v/>
      </c>
      <c r="AU882" t="inlineStr">
        <is>
          <t>799473744:eng</t>
        </is>
      </c>
      <c r="AV882" t="inlineStr">
        <is>
          <t>40350079</t>
        </is>
      </c>
      <c r="AW882" t="inlineStr">
        <is>
          <t>991003218439702656</t>
        </is>
      </c>
      <c r="AX882" t="inlineStr">
        <is>
          <t>991003218439702656</t>
        </is>
      </c>
      <c r="AY882" t="inlineStr">
        <is>
          <t>2269746840002656</t>
        </is>
      </c>
      <c r="AZ882" t="inlineStr">
        <is>
          <t>BOOK</t>
        </is>
      </c>
      <c r="BB882" t="inlineStr">
        <is>
          <t>9780802845757</t>
        </is>
      </c>
      <c r="BC882" t="inlineStr">
        <is>
          <t>32285003749883</t>
        </is>
      </c>
      <c r="BD882" t="inlineStr">
        <is>
          <t>893505341</t>
        </is>
      </c>
    </row>
    <row r="883">
      <c r="A883" t="inlineStr">
        <is>
          <t>No</t>
        </is>
      </c>
      <c r="B883" t="inlineStr">
        <is>
          <t>BT695 .M3813 1994</t>
        </is>
      </c>
      <c r="C883" t="inlineStr">
        <is>
          <t>0                      BT 0695000M  3813        1994</t>
        </is>
      </c>
      <c r="D883" t="inlineStr">
        <is>
          <t>Creatio ex nihilo : the doctrine of 'Creation out of Nothing' in early Christian thought / Gerhard May ; translated by A. S. Worrall.</t>
        </is>
      </c>
      <c r="F883" t="inlineStr">
        <is>
          <t>No</t>
        </is>
      </c>
      <c r="G883" t="inlineStr">
        <is>
          <t>1</t>
        </is>
      </c>
      <c r="H883" t="inlineStr">
        <is>
          <t>No</t>
        </is>
      </c>
      <c r="I883" t="inlineStr">
        <is>
          <t>No</t>
        </is>
      </c>
      <c r="J883" t="inlineStr">
        <is>
          <t>0</t>
        </is>
      </c>
      <c r="K883" t="inlineStr">
        <is>
          <t>May, Gerhard, 1940-2007.</t>
        </is>
      </c>
      <c r="L883" t="inlineStr">
        <is>
          <t>Edinburgh : T&amp;T Clark, 1994.</t>
        </is>
      </c>
      <c r="M883" t="inlineStr">
        <is>
          <t>1994</t>
        </is>
      </c>
      <c r="O883" t="inlineStr">
        <is>
          <t>eng</t>
        </is>
      </c>
      <c r="P883" t="inlineStr">
        <is>
          <t>stk</t>
        </is>
      </c>
      <c r="R883" t="inlineStr">
        <is>
          <t xml:space="preserve">BT </t>
        </is>
      </c>
      <c r="S883" t="n">
        <v>6</v>
      </c>
      <c r="T883" t="n">
        <v>6</v>
      </c>
      <c r="U883" t="inlineStr">
        <is>
          <t>2005-04-07</t>
        </is>
      </c>
      <c r="V883" t="inlineStr">
        <is>
          <t>2005-04-07</t>
        </is>
      </c>
      <c r="W883" t="inlineStr">
        <is>
          <t>1995-02-08</t>
        </is>
      </c>
      <c r="X883" t="inlineStr">
        <is>
          <t>1995-02-08</t>
        </is>
      </c>
      <c r="Y883" t="n">
        <v>254</v>
      </c>
      <c r="Z883" t="n">
        <v>185</v>
      </c>
      <c r="AA883" t="n">
        <v>901</v>
      </c>
      <c r="AB883" t="n">
        <v>1</v>
      </c>
      <c r="AC883" t="n">
        <v>14</v>
      </c>
      <c r="AD883" t="n">
        <v>12</v>
      </c>
      <c r="AE883" t="n">
        <v>39</v>
      </c>
      <c r="AF883" t="n">
        <v>4</v>
      </c>
      <c r="AG883" t="n">
        <v>12</v>
      </c>
      <c r="AH883" t="n">
        <v>3</v>
      </c>
      <c r="AI883" t="n">
        <v>7</v>
      </c>
      <c r="AJ883" t="n">
        <v>6</v>
      </c>
      <c r="AK883" t="n">
        <v>13</v>
      </c>
      <c r="AL883" t="n">
        <v>0</v>
      </c>
      <c r="AM883" t="n">
        <v>12</v>
      </c>
      <c r="AN883" t="n">
        <v>0</v>
      </c>
      <c r="AO883" t="n">
        <v>1</v>
      </c>
      <c r="AP883" t="inlineStr">
        <is>
          <t>No</t>
        </is>
      </c>
      <c r="AQ883" t="inlineStr">
        <is>
          <t>Yes</t>
        </is>
      </c>
      <c r="AR883">
        <f>HYPERLINK("http://catalog.hathitrust.org/Record/002902672","HathiTrust Record")</f>
        <v/>
      </c>
      <c r="AS883">
        <f>HYPERLINK("https://creighton-primo.hosted.exlibrisgroup.com/primo-explore/search?tab=default_tab&amp;search_scope=EVERYTHING&amp;vid=01CRU&amp;lang=en_US&amp;offset=0&amp;query=any,contains,991002418789702656","Catalog Record")</f>
        <v/>
      </c>
      <c r="AT883">
        <f>HYPERLINK("http://www.worldcat.org/oclc/31502192","WorldCat Record")</f>
        <v/>
      </c>
      <c r="AU883" t="inlineStr">
        <is>
          <t>3901264820:eng</t>
        </is>
      </c>
      <c r="AV883" t="inlineStr">
        <is>
          <t>31502192</t>
        </is>
      </c>
      <c r="AW883" t="inlineStr">
        <is>
          <t>991002418789702656</t>
        </is>
      </c>
      <c r="AX883" t="inlineStr">
        <is>
          <t>991002418789702656</t>
        </is>
      </c>
      <c r="AY883" t="inlineStr">
        <is>
          <t>2267346890002656</t>
        </is>
      </c>
      <c r="AZ883" t="inlineStr">
        <is>
          <t>BOOK</t>
        </is>
      </c>
      <c r="BB883" t="inlineStr">
        <is>
          <t>9780567096951</t>
        </is>
      </c>
      <c r="BC883" t="inlineStr">
        <is>
          <t>32285001997831</t>
        </is>
      </c>
      <c r="BD883" t="inlineStr">
        <is>
          <t>893773604</t>
        </is>
      </c>
    </row>
    <row r="884">
      <c r="A884" t="inlineStr">
        <is>
          <t>No</t>
        </is>
      </c>
      <c r="B884" t="inlineStr">
        <is>
          <t>BT695 .M8</t>
        </is>
      </c>
      <c r="C884" t="inlineStr">
        <is>
          <t>0                      BT 0695000M  8</t>
        </is>
      </c>
      <c r="D884" t="inlineStr">
        <is>
          <t>The image of God in creation / M. Charles Borromeo Muckenhirn.</t>
        </is>
      </c>
      <c r="F884" t="inlineStr">
        <is>
          <t>No</t>
        </is>
      </c>
      <c r="G884" t="inlineStr">
        <is>
          <t>1</t>
        </is>
      </c>
      <c r="H884" t="inlineStr">
        <is>
          <t>No</t>
        </is>
      </c>
      <c r="I884" t="inlineStr">
        <is>
          <t>No</t>
        </is>
      </c>
      <c r="J884" t="inlineStr">
        <is>
          <t>0</t>
        </is>
      </c>
      <c r="K884" t="inlineStr">
        <is>
          <t>Muckenhirn, M. Charles Borromeo (Mary Charles Borromeo)</t>
        </is>
      </c>
      <c r="L884" t="inlineStr">
        <is>
          <t>Englewood Cliffs, N.J., Prentice-Hall, 1963.</t>
        </is>
      </c>
      <c r="M884" t="inlineStr">
        <is>
          <t>1963</t>
        </is>
      </c>
      <c r="O884" t="inlineStr">
        <is>
          <t>eng</t>
        </is>
      </c>
      <c r="P884" t="inlineStr">
        <is>
          <t>___</t>
        </is>
      </c>
      <c r="Q884" t="inlineStr">
        <is>
          <t>Foundations of Catholic theology series</t>
        </is>
      </c>
      <c r="R884" t="inlineStr">
        <is>
          <t xml:space="preserve">BT </t>
        </is>
      </c>
      <c r="S884" t="n">
        <v>3</v>
      </c>
      <c r="T884" t="n">
        <v>3</v>
      </c>
      <c r="U884" t="inlineStr">
        <is>
          <t>2008-03-10</t>
        </is>
      </c>
      <c r="V884" t="inlineStr">
        <is>
          <t>2008-03-10</t>
        </is>
      </c>
      <c r="W884" t="inlineStr">
        <is>
          <t>1990-08-02</t>
        </is>
      </c>
      <c r="X884" t="inlineStr">
        <is>
          <t>1990-08-02</t>
        </is>
      </c>
      <c r="Y884" t="n">
        <v>312</v>
      </c>
      <c r="Z884" t="n">
        <v>259</v>
      </c>
      <c r="AA884" t="n">
        <v>259</v>
      </c>
      <c r="AB884" t="n">
        <v>4</v>
      </c>
      <c r="AC884" t="n">
        <v>4</v>
      </c>
      <c r="AD884" t="n">
        <v>31</v>
      </c>
      <c r="AE884" t="n">
        <v>31</v>
      </c>
      <c r="AF884" t="n">
        <v>10</v>
      </c>
      <c r="AG884" t="n">
        <v>10</v>
      </c>
      <c r="AH884" t="n">
        <v>7</v>
      </c>
      <c r="AI884" t="n">
        <v>7</v>
      </c>
      <c r="AJ884" t="n">
        <v>22</v>
      </c>
      <c r="AK884" t="n">
        <v>22</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HYPERLINK("https://creighton-primo.hosted.exlibrisgroup.com/primo-explore/search?tab=default_tab&amp;search_scope=EVERYTHING&amp;vid=01CRU&amp;lang=en_US&amp;offset=0&amp;query=any,contains,991003223049702656","Catalog Record")</f>
        <v/>
      </c>
      <c r="AT884">
        <f>HYPERLINK("http://www.worldcat.org/oclc/748436","WorldCat Record")</f>
        <v/>
      </c>
      <c r="AU884" t="inlineStr">
        <is>
          <t>433595240:eng</t>
        </is>
      </c>
      <c r="AV884" t="inlineStr">
        <is>
          <t>748436</t>
        </is>
      </c>
      <c r="AW884" t="inlineStr">
        <is>
          <t>991003223049702656</t>
        </is>
      </c>
      <c r="AX884" t="inlineStr">
        <is>
          <t>991003223049702656</t>
        </is>
      </c>
      <c r="AY884" t="inlineStr">
        <is>
          <t>2254723130002656</t>
        </is>
      </c>
      <c r="AZ884" t="inlineStr">
        <is>
          <t>BOOK</t>
        </is>
      </c>
      <c r="BC884" t="inlineStr">
        <is>
          <t>32285000263110</t>
        </is>
      </c>
      <c r="BD884" t="inlineStr">
        <is>
          <t>893441033</t>
        </is>
      </c>
    </row>
    <row r="885">
      <c r="A885" t="inlineStr">
        <is>
          <t>No</t>
        </is>
      </c>
      <c r="B885" t="inlineStr">
        <is>
          <t>BT695 .R44 1981</t>
        </is>
      </c>
      <c r="C885" t="inlineStr">
        <is>
          <t>0                      BT 0695000R  44          1981</t>
        </is>
      </c>
      <c r="D885" t="inlineStr">
        <is>
          <t>The potter's touch : God calls us to life / by William Reiser.</t>
        </is>
      </c>
      <c r="F885" t="inlineStr">
        <is>
          <t>No</t>
        </is>
      </c>
      <c r="G885" t="inlineStr">
        <is>
          <t>1</t>
        </is>
      </c>
      <c r="H885" t="inlineStr">
        <is>
          <t>No</t>
        </is>
      </c>
      <c r="I885" t="inlineStr">
        <is>
          <t>No</t>
        </is>
      </c>
      <c r="J885" t="inlineStr">
        <is>
          <t>0</t>
        </is>
      </c>
      <c r="K885" t="inlineStr">
        <is>
          <t>Reiser, William E.</t>
        </is>
      </c>
      <c r="L885" t="inlineStr">
        <is>
          <t>New York : Paulist Press, c1981.</t>
        </is>
      </c>
      <c r="M885" t="inlineStr">
        <is>
          <t>1981</t>
        </is>
      </c>
      <c r="O885" t="inlineStr">
        <is>
          <t>eng</t>
        </is>
      </c>
      <c r="P885" t="inlineStr">
        <is>
          <t>nyu</t>
        </is>
      </c>
      <c r="R885" t="inlineStr">
        <is>
          <t xml:space="preserve">BT </t>
        </is>
      </c>
      <c r="S885" t="n">
        <v>6</v>
      </c>
      <c r="T885" t="n">
        <v>6</v>
      </c>
      <c r="U885" t="inlineStr">
        <is>
          <t>2006-07-23</t>
        </is>
      </c>
      <c r="V885" t="inlineStr">
        <is>
          <t>2006-07-23</t>
        </is>
      </c>
      <c r="W885" t="inlineStr">
        <is>
          <t>1990-08-02</t>
        </is>
      </c>
      <c r="X885" t="inlineStr">
        <is>
          <t>1990-08-02</t>
        </is>
      </c>
      <c r="Y885" t="n">
        <v>77</v>
      </c>
      <c r="Z885" t="n">
        <v>69</v>
      </c>
      <c r="AA885" t="n">
        <v>69</v>
      </c>
      <c r="AB885" t="n">
        <v>1</v>
      </c>
      <c r="AC885" t="n">
        <v>1</v>
      </c>
      <c r="AD885" t="n">
        <v>10</v>
      </c>
      <c r="AE885" t="n">
        <v>10</v>
      </c>
      <c r="AF885" t="n">
        <v>2</v>
      </c>
      <c r="AG885" t="n">
        <v>2</v>
      </c>
      <c r="AH885" t="n">
        <v>2</v>
      </c>
      <c r="AI885" t="n">
        <v>2</v>
      </c>
      <c r="AJ885" t="n">
        <v>8</v>
      </c>
      <c r="AK885" t="n">
        <v>8</v>
      </c>
      <c r="AL885" t="n">
        <v>0</v>
      </c>
      <c r="AM885" t="n">
        <v>0</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HYPERLINK("https://creighton-primo.hosted.exlibrisgroup.com/primo-explore/search?tab=default_tab&amp;search_scope=EVERYTHING&amp;vid=01CRU&amp;lang=en_US&amp;offset=0&amp;query=any,contains,991005202899702656","Catalog Record")</f>
        <v/>
      </c>
      <c r="AT885">
        <f>HYPERLINK("http://www.worldcat.org/oclc/8106917","WorldCat Record")</f>
        <v/>
      </c>
      <c r="AU885" t="inlineStr">
        <is>
          <t>30758246:eng</t>
        </is>
      </c>
      <c r="AV885" t="inlineStr">
        <is>
          <t>8106917</t>
        </is>
      </c>
      <c r="AW885" t="inlineStr">
        <is>
          <t>991005202899702656</t>
        </is>
      </c>
      <c r="AX885" t="inlineStr">
        <is>
          <t>991005202899702656</t>
        </is>
      </c>
      <c r="AY885" t="inlineStr">
        <is>
          <t>2263159160002656</t>
        </is>
      </c>
      <c r="AZ885" t="inlineStr">
        <is>
          <t>BOOK</t>
        </is>
      </c>
      <c r="BB885" t="inlineStr">
        <is>
          <t>9780809124046</t>
        </is>
      </c>
      <c r="BC885" t="inlineStr">
        <is>
          <t>32285000263128</t>
        </is>
      </c>
      <c r="BD885" t="inlineStr">
        <is>
          <t>893260719</t>
        </is>
      </c>
    </row>
    <row r="886">
      <c r="A886" t="inlineStr">
        <is>
          <t>No</t>
        </is>
      </c>
      <c r="B886" t="inlineStr">
        <is>
          <t>BT695 .S35 1997</t>
        </is>
      </c>
      <c r="C886" t="inlineStr">
        <is>
          <t>0                      BT 0695000S  35          1997</t>
        </is>
      </c>
      <c r="D886" t="inlineStr">
        <is>
          <t>Theology of creation in an evolutionary world / Karl Schmitz-Moormann ; in collaboration with James F. Salmon.</t>
        </is>
      </c>
      <c r="F886" t="inlineStr">
        <is>
          <t>No</t>
        </is>
      </c>
      <c r="G886" t="inlineStr">
        <is>
          <t>1</t>
        </is>
      </c>
      <c r="H886" t="inlineStr">
        <is>
          <t>No</t>
        </is>
      </c>
      <c r="I886" t="inlineStr">
        <is>
          <t>No</t>
        </is>
      </c>
      <c r="J886" t="inlineStr">
        <is>
          <t>0</t>
        </is>
      </c>
      <c r="K886" t="inlineStr">
        <is>
          <t>Schmitz-Moormann, Karl.</t>
        </is>
      </c>
      <c r="L886" t="inlineStr">
        <is>
          <t>Cleveland, Ohio : Pilgrim Press, 1997.</t>
        </is>
      </c>
      <c r="M886" t="inlineStr">
        <is>
          <t>1997</t>
        </is>
      </c>
      <c r="O886" t="inlineStr">
        <is>
          <t>eng</t>
        </is>
      </c>
      <c r="P886" t="inlineStr">
        <is>
          <t>ohu</t>
        </is>
      </c>
      <c r="R886" t="inlineStr">
        <is>
          <t xml:space="preserve">BT </t>
        </is>
      </c>
      <c r="S886" t="n">
        <v>4</v>
      </c>
      <c r="T886" t="n">
        <v>4</v>
      </c>
      <c r="U886" t="inlineStr">
        <is>
          <t>1999-09-26</t>
        </is>
      </c>
      <c r="V886" t="inlineStr">
        <is>
          <t>1999-09-26</t>
        </is>
      </c>
      <c r="W886" t="inlineStr">
        <is>
          <t>1998-08-13</t>
        </is>
      </c>
      <c r="X886" t="inlineStr">
        <is>
          <t>1998-08-13</t>
        </is>
      </c>
      <c r="Y886" t="n">
        <v>212</v>
      </c>
      <c r="Z886" t="n">
        <v>178</v>
      </c>
      <c r="AA886" t="n">
        <v>185</v>
      </c>
      <c r="AB886" t="n">
        <v>2</v>
      </c>
      <c r="AC886" t="n">
        <v>2</v>
      </c>
      <c r="AD886" t="n">
        <v>21</v>
      </c>
      <c r="AE886" t="n">
        <v>21</v>
      </c>
      <c r="AF886" t="n">
        <v>7</v>
      </c>
      <c r="AG886" t="n">
        <v>7</v>
      </c>
      <c r="AH886" t="n">
        <v>4</v>
      </c>
      <c r="AI886" t="n">
        <v>4</v>
      </c>
      <c r="AJ886" t="n">
        <v>15</v>
      </c>
      <c r="AK886" t="n">
        <v>15</v>
      </c>
      <c r="AL886" t="n">
        <v>1</v>
      </c>
      <c r="AM886" t="n">
        <v>1</v>
      </c>
      <c r="AN886" t="n">
        <v>0</v>
      </c>
      <c r="AO886" t="n">
        <v>0</v>
      </c>
      <c r="AP886" t="inlineStr">
        <is>
          <t>No</t>
        </is>
      </c>
      <c r="AQ886" t="inlineStr">
        <is>
          <t>Yes</t>
        </is>
      </c>
      <c r="AR886">
        <f>HYPERLINK("http://catalog.hathitrust.org/Record/003957396","HathiTrust Record")</f>
        <v/>
      </c>
      <c r="AS886">
        <f>HYPERLINK("https://creighton-primo.hosted.exlibrisgroup.com/primo-explore/search?tab=default_tab&amp;search_scope=EVERYTHING&amp;vid=01CRU&amp;lang=en_US&amp;offset=0&amp;query=any,contains,991002837719702656","Catalog Record")</f>
        <v/>
      </c>
      <c r="AT886">
        <f>HYPERLINK("http://www.worldcat.org/oclc/37373391","WorldCat Record")</f>
        <v/>
      </c>
      <c r="AU886" t="inlineStr">
        <is>
          <t>630080:eng</t>
        </is>
      </c>
      <c r="AV886" t="inlineStr">
        <is>
          <t>37373391</t>
        </is>
      </c>
      <c r="AW886" t="inlineStr">
        <is>
          <t>991002837719702656</t>
        </is>
      </c>
      <c r="AX886" t="inlineStr">
        <is>
          <t>991002837719702656</t>
        </is>
      </c>
      <c r="AY886" t="inlineStr">
        <is>
          <t>2268744200002656</t>
        </is>
      </c>
      <c r="AZ886" t="inlineStr">
        <is>
          <t>BOOK</t>
        </is>
      </c>
      <c r="BB886" t="inlineStr">
        <is>
          <t>9780829812152</t>
        </is>
      </c>
      <c r="BC886" t="inlineStr">
        <is>
          <t>32285003453494</t>
        </is>
      </c>
      <c r="BD886" t="inlineStr">
        <is>
          <t>893805112</t>
        </is>
      </c>
    </row>
    <row r="887">
      <c r="A887" t="inlineStr">
        <is>
          <t>No</t>
        </is>
      </c>
      <c r="B887" t="inlineStr">
        <is>
          <t>BT695 .S64 1984</t>
        </is>
      </c>
      <c r="C887" t="inlineStr">
        <is>
          <t>0                      BT 0695000S  64          1984</t>
        </is>
      </c>
      <c r="D887" t="inlineStr">
        <is>
          <t>To work and to love : a theology of creation / Dorothee Soelle with Shirley A. Cloyes.</t>
        </is>
      </c>
      <c r="F887" t="inlineStr">
        <is>
          <t>No</t>
        </is>
      </c>
      <c r="G887" t="inlineStr">
        <is>
          <t>1</t>
        </is>
      </c>
      <c r="H887" t="inlineStr">
        <is>
          <t>No</t>
        </is>
      </c>
      <c r="I887" t="inlineStr">
        <is>
          <t>No</t>
        </is>
      </c>
      <c r="J887" t="inlineStr">
        <is>
          <t>0</t>
        </is>
      </c>
      <c r="K887" t="inlineStr">
        <is>
          <t>Sölle, Dorothee.</t>
        </is>
      </c>
      <c r="L887" t="inlineStr">
        <is>
          <t>Philadelphia : Fortress Press, c1984, 1986 printing.</t>
        </is>
      </c>
      <c r="M887" t="inlineStr">
        <is>
          <t>1984</t>
        </is>
      </c>
      <c r="O887" t="inlineStr">
        <is>
          <t>eng</t>
        </is>
      </c>
      <c r="P887" t="inlineStr">
        <is>
          <t>pau</t>
        </is>
      </c>
      <c r="R887" t="inlineStr">
        <is>
          <t xml:space="preserve">BT </t>
        </is>
      </c>
      <c r="S887" t="n">
        <v>2</v>
      </c>
      <c r="T887" t="n">
        <v>2</v>
      </c>
      <c r="U887" t="inlineStr">
        <is>
          <t>1995-11-07</t>
        </is>
      </c>
      <c r="V887" t="inlineStr">
        <is>
          <t>1995-11-07</t>
        </is>
      </c>
      <c r="W887" t="inlineStr">
        <is>
          <t>1991-05-22</t>
        </is>
      </c>
      <c r="X887" t="inlineStr">
        <is>
          <t>1991-05-22</t>
        </is>
      </c>
      <c r="Y887" t="n">
        <v>444</v>
      </c>
      <c r="Z887" t="n">
        <v>359</v>
      </c>
      <c r="AA887" t="n">
        <v>367</v>
      </c>
      <c r="AB887" t="n">
        <v>4</v>
      </c>
      <c r="AC887" t="n">
        <v>4</v>
      </c>
      <c r="AD887" t="n">
        <v>29</v>
      </c>
      <c r="AE887" t="n">
        <v>29</v>
      </c>
      <c r="AF887" t="n">
        <v>9</v>
      </c>
      <c r="AG887" t="n">
        <v>9</v>
      </c>
      <c r="AH887" t="n">
        <v>8</v>
      </c>
      <c r="AI887" t="n">
        <v>8</v>
      </c>
      <c r="AJ887" t="n">
        <v>19</v>
      </c>
      <c r="AK887" t="n">
        <v>19</v>
      </c>
      <c r="AL887" t="n">
        <v>3</v>
      </c>
      <c r="AM887" t="n">
        <v>3</v>
      </c>
      <c r="AN887" t="n">
        <v>0</v>
      </c>
      <c r="AO887" t="n">
        <v>0</v>
      </c>
      <c r="AP887" t="inlineStr">
        <is>
          <t>No</t>
        </is>
      </c>
      <c r="AQ887" t="inlineStr">
        <is>
          <t>Yes</t>
        </is>
      </c>
      <c r="AR887">
        <f>HYPERLINK("http://catalog.hathitrust.org/Record/000409572","HathiTrust Record")</f>
        <v/>
      </c>
      <c r="AS887">
        <f>HYPERLINK("https://creighton-primo.hosted.exlibrisgroup.com/primo-explore/search?tab=default_tab&amp;search_scope=EVERYTHING&amp;vid=01CRU&amp;lang=en_US&amp;offset=0&amp;query=any,contains,991000432239702656","Catalog Record")</f>
        <v/>
      </c>
      <c r="AT887">
        <f>HYPERLINK("http://www.worldcat.org/oclc/10779514","WorldCat Record")</f>
        <v/>
      </c>
      <c r="AU887" t="inlineStr">
        <is>
          <t>3506957:eng</t>
        </is>
      </c>
      <c r="AV887" t="inlineStr">
        <is>
          <t>10779514</t>
        </is>
      </c>
      <c r="AW887" t="inlineStr">
        <is>
          <t>991000432239702656</t>
        </is>
      </c>
      <c r="AX887" t="inlineStr">
        <is>
          <t>991000432239702656</t>
        </is>
      </c>
      <c r="AY887" t="inlineStr">
        <is>
          <t>2268599760002656</t>
        </is>
      </c>
      <c r="AZ887" t="inlineStr">
        <is>
          <t>BOOK</t>
        </is>
      </c>
      <c r="BB887" t="inlineStr">
        <is>
          <t>9780800617820</t>
        </is>
      </c>
      <c r="BC887" t="inlineStr">
        <is>
          <t>32285000591114</t>
        </is>
      </c>
      <c r="BD887" t="inlineStr">
        <is>
          <t>893808681</t>
        </is>
      </c>
    </row>
    <row r="888">
      <c r="A888" t="inlineStr">
        <is>
          <t>No</t>
        </is>
      </c>
      <c r="B888" t="inlineStr">
        <is>
          <t>BT695 .W4813</t>
        </is>
      </c>
      <c r="C888" t="inlineStr">
        <is>
          <t>0                      BT 0695000W  4813</t>
        </is>
      </c>
      <c r="D888" t="inlineStr">
        <is>
          <t>Creation / Claus Westermann : translated by John J. Scullion.</t>
        </is>
      </c>
      <c r="F888" t="inlineStr">
        <is>
          <t>No</t>
        </is>
      </c>
      <c r="G888" t="inlineStr">
        <is>
          <t>1</t>
        </is>
      </c>
      <c r="H888" t="inlineStr">
        <is>
          <t>No</t>
        </is>
      </c>
      <c r="I888" t="inlineStr">
        <is>
          <t>No</t>
        </is>
      </c>
      <c r="J888" t="inlineStr">
        <is>
          <t>0</t>
        </is>
      </c>
      <c r="K888" t="inlineStr">
        <is>
          <t>Westermann, Claus.</t>
        </is>
      </c>
      <c r="L888" t="inlineStr">
        <is>
          <t>Philadelphia : Fortress Press, [1974]</t>
        </is>
      </c>
      <c r="M888" t="inlineStr">
        <is>
          <t>1974</t>
        </is>
      </c>
      <c r="O888" t="inlineStr">
        <is>
          <t>eng</t>
        </is>
      </c>
      <c r="P888" t="inlineStr">
        <is>
          <t>pau</t>
        </is>
      </c>
      <c r="R888" t="inlineStr">
        <is>
          <t xml:space="preserve">BT </t>
        </is>
      </c>
      <c r="S888" t="n">
        <v>6</v>
      </c>
      <c r="T888" t="n">
        <v>6</v>
      </c>
      <c r="U888" t="inlineStr">
        <is>
          <t>2007-11-08</t>
        </is>
      </c>
      <c r="V888" t="inlineStr">
        <is>
          <t>2007-11-08</t>
        </is>
      </c>
      <c r="W888" t="inlineStr">
        <is>
          <t>1991-09-19</t>
        </is>
      </c>
      <c r="X888" t="inlineStr">
        <is>
          <t>1991-09-19</t>
        </is>
      </c>
      <c r="Y888" t="n">
        <v>557</v>
      </c>
      <c r="Z888" t="n">
        <v>485</v>
      </c>
      <c r="AA888" t="n">
        <v>497</v>
      </c>
      <c r="AB888" t="n">
        <v>2</v>
      </c>
      <c r="AC888" t="n">
        <v>2</v>
      </c>
      <c r="AD888" t="n">
        <v>31</v>
      </c>
      <c r="AE888" t="n">
        <v>32</v>
      </c>
      <c r="AF888" t="n">
        <v>11</v>
      </c>
      <c r="AG888" t="n">
        <v>11</v>
      </c>
      <c r="AH888" t="n">
        <v>9</v>
      </c>
      <c r="AI888" t="n">
        <v>9</v>
      </c>
      <c r="AJ888" t="n">
        <v>19</v>
      </c>
      <c r="AK888" t="n">
        <v>20</v>
      </c>
      <c r="AL888" t="n">
        <v>1</v>
      </c>
      <c r="AM888" t="n">
        <v>1</v>
      </c>
      <c r="AN888" t="n">
        <v>0</v>
      </c>
      <c r="AO888" t="n">
        <v>0</v>
      </c>
      <c r="AP888" t="inlineStr">
        <is>
          <t>No</t>
        </is>
      </c>
      <c r="AQ888" t="inlineStr">
        <is>
          <t>Yes</t>
        </is>
      </c>
      <c r="AR888">
        <f>HYPERLINK("http://catalog.hathitrust.org/Record/006762277","HathiTrust Record")</f>
        <v/>
      </c>
      <c r="AS888">
        <f>HYPERLINK("https://creighton-primo.hosted.exlibrisgroup.com/primo-explore/search?tab=default_tab&amp;search_scope=EVERYTHING&amp;vid=01CRU&amp;lang=en_US&amp;offset=0&amp;query=any,contains,991003545889702656","Catalog Record")</f>
        <v/>
      </c>
      <c r="AT888">
        <f>HYPERLINK("http://www.worldcat.org/oclc/1111502","WorldCat Record")</f>
        <v/>
      </c>
      <c r="AU888" t="inlineStr">
        <is>
          <t>4494921260:eng</t>
        </is>
      </c>
      <c r="AV888" t="inlineStr">
        <is>
          <t>1111502</t>
        </is>
      </c>
      <c r="AW888" t="inlineStr">
        <is>
          <t>991003545889702656</t>
        </is>
      </c>
      <c r="AX888" t="inlineStr">
        <is>
          <t>991003545889702656</t>
        </is>
      </c>
      <c r="AY888" t="inlineStr">
        <is>
          <t>2269553080002656</t>
        </is>
      </c>
      <c r="AZ888" t="inlineStr">
        <is>
          <t>BOOK</t>
        </is>
      </c>
      <c r="BB888" t="inlineStr">
        <is>
          <t>9780800610722</t>
        </is>
      </c>
      <c r="BC888" t="inlineStr">
        <is>
          <t>32285000748193</t>
        </is>
      </c>
      <c r="BD888" t="inlineStr">
        <is>
          <t>893793717</t>
        </is>
      </c>
    </row>
    <row r="889">
      <c r="A889" t="inlineStr">
        <is>
          <t>No</t>
        </is>
      </c>
      <c r="B889" t="inlineStr">
        <is>
          <t>BT695 .W54</t>
        </is>
      </c>
      <c r="C889" t="inlineStr">
        <is>
          <t>0                      BT 0695000W  54</t>
        </is>
      </c>
      <c r="D889" t="inlineStr">
        <is>
          <t>Creation and Gospel : the new situation in European theology / Gustaf Wingren ; with introd. and bibliography by Henry Vander Goot.</t>
        </is>
      </c>
      <c r="F889" t="inlineStr">
        <is>
          <t>No</t>
        </is>
      </c>
      <c r="G889" t="inlineStr">
        <is>
          <t>1</t>
        </is>
      </c>
      <c r="H889" t="inlineStr">
        <is>
          <t>No</t>
        </is>
      </c>
      <c r="I889" t="inlineStr">
        <is>
          <t>No</t>
        </is>
      </c>
      <c r="J889" t="inlineStr">
        <is>
          <t>0</t>
        </is>
      </c>
      <c r="K889" t="inlineStr">
        <is>
          <t>Wingren, Gustaf, 1910-2000.</t>
        </is>
      </c>
      <c r="L889" t="inlineStr">
        <is>
          <t>New York : E. Mellen Press, c1979.</t>
        </is>
      </c>
      <c r="M889" t="inlineStr">
        <is>
          <t>1979</t>
        </is>
      </c>
      <c r="O889" t="inlineStr">
        <is>
          <t>eng</t>
        </is>
      </c>
      <c r="P889" t="inlineStr">
        <is>
          <t>nyu</t>
        </is>
      </c>
      <c r="Q889" t="inlineStr">
        <is>
          <t>Toronto studies in theology</t>
        </is>
      </c>
      <c r="R889" t="inlineStr">
        <is>
          <t xml:space="preserve">BT </t>
        </is>
      </c>
      <c r="S889" t="n">
        <v>3</v>
      </c>
      <c r="T889" t="n">
        <v>3</v>
      </c>
      <c r="U889" t="inlineStr">
        <is>
          <t>2005-10-29</t>
        </is>
      </c>
      <c r="V889" t="inlineStr">
        <is>
          <t>2005-10-29</t>
        </is>
      </c>
      <c r="W889" t="inlineStr">
        <is>
          <t>1991-09-19</t>
        </is>
      </c>
      <c r="X889" t="inlineStr">
        <is>
          <t>1991-09-19</t>
        </is>
      </c>
      <c r="Y889" t="n">
        <v>270</v>
      </c>
      <c r="Z889" t="n">
        <v>213</v>
      </c>
      <c r="AA889" t="n">
        <v>213</v>
      </c>
      <c r="AB889" t="n">
        <v>3</v>
      </c>
      <c r="AC889" t="n">
        <v>3</v>
      </c>
      <c r="AD889" t="n">
        <v>17</v>
      </c>
      <c r="AE889" t="n">
        <v>17</v>
      </c>
      <c r="AF889" t="n">
        <v>4</v>
      </c>
      <c r="AG889" t="n">
        <v>4</v>
      </c>
      <c r="AH889" t="n">
        <v>4</v>
      </c>
      <c r="AI889" t="n">
        <v>4</v>
      </c>
      <c r="AJ889" t="n">
        <v>9</v>
      </c>
      <c r="AK889" t="n">
        <v>9</v>
      </c>
      <c r="AL889" t="n">
        <v>2</v>
      </c>
      <c r="AM889" t="n">
        <v>2</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HYPERLINK("https://creighton-primo.hosted.exlibrisgroup.com/primo-explore/search?tab=default_tab&amp;search_scope=EVERYTHING&amp;vid=01CRU&amp;lang=en_US&amp;offset=0&amp;query=any,contains,991004773489702656","Catalog Record")</f>
        <v/>
      </c>
      <c r="AT889">
        <f>HYPERLINK("http://www.worldcat.org/oclc/5091666","WorldCat Record")</f>
        <v/>
      </c>
      <c r="AU889" t="inlineStr">
        <is>
          <t>220808056:eng</t>
        </is>
      </c>
      <c r="AV889" t="inlineStr">
        <is>
          <t>5091666</t>
        </is>
      </c>
      <c r="AW889" t="inlineStr">
        <is>
          <t>991004773489702656</t>
        </is>
      </c>
      <c r="AX889" t="inlineStr">
        <is>
          <t>991004773489702656</t>
        </is>
      </c>
      <c r="AY889" t="inlineStr">
        <is>
          <t>2257599440002656</t>
        </is>
      </c>
      <c r="AZ889" t="inlineStr">
        <is>
          <t>BOOK</t>
        </is>
      </c>
      <c r="BB889" t="inlineStr">
        <is>
          <t>9780889469945</t>
        </is>
      </c>
      <c r="BC889" t="inlineStr">
        <is>
          <t>32285000748201</t>
        </is>
      </c>
      <c r="BD889" t="inlineStr">
        <is>
          <t>893706829</t>
        </is>
      </c>
    </row>
    <row r="890">
      <c r="A890" t="inlineStr">
        <is>
          <t>No</t>
        </is>
      </c>
      <c r="B890" t="inlineStr">
        <is>
          <t>BT695 .Y68</t>
        </is>
      </c>
      <c r="C890" t="inlineStr">
        <is>
          <t>0                      BT 0695000Y  68</t>
        </is>
      </c>
      <c r="D890" t="inlineStr">
        <is>
          <t>Creator, creation, and faith / Norman Young.</t>
        </is>
      </c>
      <c r="F890" t="inlineStr">
        <is>
          <t>No</t>
        </is>
      </c>
      <c r="G890" t="inlineStr">
        <is>
          <t>1</t>
        </is>
      </c>
      <c r="H890" t="inlineStr">
        <is>
          <t>No</t>
        </is>
      </c>
      <c r="I890" t="inlineStr">
        <is>
          <t>No</t>
        </is>
      </c>
      <c r="J890" t="inlineStr">
        <is>
          <t>0</t>
        </is>
      </c>
      <c r="K890" t="inlineStr">
        <is>
          <t>Young, Norman, 1930-</t>
        </is>
      </c>
      <c r="L890" t="inlineStr">
        <is>
          <t>Philadelphia : Westminster Press, c1976.</t>
        </is>
      </c>
      <c r="M890" t="inlineStr">
        <is>
          <t>1976</t>
        </is>
      </c>
      <c r="O890" t="inlineStr">
        <is>
          <t>eng</t>
        </is>
      </c>
      <c r="P890" t="inlineStr">
        <is>
          <t>pau</t>
        </is>
      </c>
      <c r="R890" t="inlineStr">
        <is>
          <t xml:space="preserve">BT </t>
        </is>
      </c>
      <c r="S890" t="n">
        <v>2</v>
      </c>
      <c r="T890" t="n">
        <v>2</v>
      </c>
      <c r="U890" t="inlineStr">
        <is>
          <t>1994-11-03</t>
        </is>
      </c>
      <c r="V890" t="inlineStr">
        <is>
          <t>1994-11-03</t>
        </is>
      </c>
      <c r="W890" t="inlineStr">
        <is>
          <t>1990-08-02</t>
        </is>
      </c>
      <c r="X890" t="inlineStr">
        <is>
          <t>1990-08-02</t>
        </is>
      </c>
      <c r="Y890" t="n">
        <v>376</v>
      </c>
      <c r="Z890" t="n">
        <v>342</v>
      </c>
      <c r="AA890" t="n">
        <v>382</v>
      </c>
      <c r="AB890" t="n">
        <v>5</v>
      </c>
      <c r="AC890" t="n">
        <v>6</v>
      </c>
      <c r="AD890" t="n">
        <v>23</v>
      </c>
      <c r="AE890" t="n">
        <v>25</v>
      </c>
      <c r="AF890" t="n">
        <v>6</v>
      </c>
      <c r="AG890" t="n">
        <v>6</v>
      </c>
      <c r="AH890" t="n">
        <v>7</v>
      </c>
      <c r="AI890" t="n">
        <v>7</v>
      </c>
      <c r="AJ890" t="n">
        <v>11</v>
      </c>
      <c r="AK890" t="n">
        <v>12</v>
      </c>
      <c r="AL890" t="n">
        <v>4</v>
      </c>
      <c r="AM890" t="n">
        <v>5</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HYPERLINK("https://creighton-primo.hosted.exlibrisgroup.com/primo-explore/search?tab=default_tab&amp;search_scope=EVERYTHING&amp;vid=01CRU&amp;lang=en_US&amp;offset=0&amp;query=any,contains,991004026239702656","Catalog Record")</f>
        <v/>
      </c>
      <c r="AT890">
        <f>HYPERLINK("http://www.worldcat.org/oclc/2137072","WorldCat Record")</f>
        <v/>
      </c>
      <c r="AU890" t="inlineStr">
        <is>
          <t>4217649:eng</t>
        </is>
      </c>
      <c r="AV890" t="inlineStr">
        <is>
          <t>2137072</t>
        </is>
      </c>
      <c r="AW890" t="inlineStr">
        <is>
          <t>991004026239702656</t>
        </is>
      </c>
      <c r="AX890" t="inlineStr">
        <is>
          <t>991004026239702656</t>
        </is>
      </c>
      <c r="AY890" t="inlineStr">
        <is>
          <t>2271303920002656</t>
        </is>
      </c>
      <c r="AZ890" t="inlineStr">
        <is>
          <t>BOOK</t>
        </is>
      </c>
      <c r="BB890" t="inlineStr">
        <is>
          <t>9780664213343</t>
        </is>
      </c>
      <c r="BC890" t="inlineStr">
        <is>
          <t>32285000263144</t>
        </is>
      </c>
      <c r="BD890" t="inlineStr">
        <is>
          <t>893794395</t>
        </is>
      </c>
    </row>
    <row r="891">
      <c r="A891" t="inlineStr">
        <is>
          <t>No</t>
        </is>
      </c>
      <c r="B891" t="inlineStr">
        <is>
          <t>BT695.5 .D47 1972</t>
        </is>
      </c>
      <c r="C891" t="inlineStr">
        <is>
          <t>0                      BT 0695500D  47          1972</t>
        </is>
      </c>
      <c r="D891" t="inlineStr">
        <is>
          <t>The delicate creation : towards a theology of the environment / by Christopher Derrick ; foreword by René Dubos. Introd. by John Cardinal Wright.</t>
        </is>
      </c>
      <c r="F891" t="inlineStr">
        <is>
          <t>No</t>
        </is>
      </c>
      <c r="G891" t="inlineStr">
        <is>
          <t>1</t>
        </is>
      </c>
      <c r="H891" t="inlineStr">
        <is>
          <t>No</t>
        </is>
      </c>
      <c r="I891" t="inlineStr">
        <is>
          <t>No</t>
        </is>
      </c>
      <c r="J891" t="inlineStr">
        <is>
          <t>0</t>
        </is>
      </c>
      <c r="K891" t="inlineStr">
        <is>
          <t>Derrick, Christopher, 1921-</t>
        </is>
      </c>
      <c r="L891" t="inlineStr">
        <is>
          <t>Old Greenwich, Conn., Devin-Adair Co. [c1972]</t>
        </is>
      </c>
      <c r="M891" t="inlineStr">
        <is>
          <t>1972</t>
        </is>
      </c>
      <c r="O891" t="inlineStr">
        <is>
          <t>eng</t>
        </is>
      </c>
      <c r="P891" t="inlineStr">
        <is>
          <t>ctu</t>
        </is>
      </c>
      <c r="R891" t="inlineStr">
        <is>
          <t xml:space="preserve">BT </t>
        </is>
      </c>
      <c r="S891" t="n">
        <v>1</v>
      </c>
      <c r="T891" t="n">
        <v>1</v>
      </c>
      <c r="U891" t="inlineStr">
        <is>
          <t>1993-01-19</t>
        </is>
      </c>
      <c r="V891" t="inlineStr">
        <is>
          <t>1993-01-19</t>
        </is>
      </c>
      <c r="W891" t="inlineStr">
        <is>
          <t>1991-09-19</t>
        </is>
      </c>
      <c r="X891" t="inlineStr">
        <is>
          <t>1991-09-19</t>
        </is>
      </c>
      <c r="Y891" t="n">
        <v>422</v>
      </c>
      <c r="Z891" t="n">
        <v>388</v>
      </c>
      <c r="AA891" t="n">
        <v>413</v>
      </c>
      <c r="AB891" t="n">
        <v>7</v>
      </c>
      <c r="AC891" t="n">
        <v>7</v>
      </c>
      <c r="AD891" t="n">
        <v>29</v>
      </c>
      <c r="AE891" t="n">
        <v>30</v>
      </c>
      <c r="AF891" t="n">
        <v>10</v>
      </c>
      <c r="AG891" t="n">
        <v>10</v>
      </c>
      <c r="AH891" t="n">
        <v>5</v>
      </c>
      <c r="AI891" t="n">
        <v>5</v>
      </c>
      <c r="AJ891" t="n">
        <v>17</v>
      </c>
      <c r="AK891" t="n">
        <v>18</v>
      </c>
      <c r="AL891" t="n">
        <v>5</v>
      </c>
      <c r="AM891" t="n">
        <v>5</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HYPERLINK("https://creighton-primo.hosted.exlibrisgroup.com/primo-explore/search?tab=default_tab&amp;search_scope=EVERYTHING&amp;vid=01CRU&amp;lang=en_US&amp;offset=0&amp;query=any,contains,991002887699702656","Catalog Record")</f>
        <v/>
      </c>
      <c r="AT891">
        <f>HYPERLINK("http://www.worldcat.org/oclc/509644","WorldCat Record")</f>
        <v/>
      </c>
      <c r="AU891" t="inlineStr">
        <is>
          <t>274683948:eng</t>
        </is>
      </c>
      <c r="AV891" t="inlineStr">
        <is>
          <t>509644</t>
        </is>
      </c>
      <c r="AW891" t="inlineStr">
        <is>
          <t>991002887699702656</t>
        </is>
      </c>
      <c r="AX891" t="inlineStr">
        <is>
          <t>991002887699702656</t>
        </is>
      </c>
      <c r="AY891" t="inlineStr">
        <is>
          <t>2261679300002656</t>
        </is>
      </c>
      <c r="AZ891" t="inlineStr">
        <is>
          <t>BOOK</t>
        </is>
      </c>
      <c r="BC891" t="inlineStr">
        <is>
          <t>32285000748318</t>
        </is>
      </c>
      <c r="BD891" t="inlineStr">
        <is>
          <t>893257848</t>
        </is>
      </c>
    </row>
    <row r="892">
      <c r="A892" t="inlineStr">
        <is>
          <t>No</t>
        </is>
      </c>
      <c r="B892" t="inlineStr">
        <is>
          <t>BT695.5 .F3 1988</t>
        </is>
      </c>
      <c r="C892" t="inlineStr">
        <is>
          <t>0                      BT 0695500F  3           1988</t>
        </is>
      </c>
      <c r="D892" t="inlineStr">
        <is>
          <t>Wind and sea obey him : approaches to a theology of nature / Robert Faricy ; with a foreword by Mary Evelyn Jegen.</t>
        </is>
      </c>
      <c r="F892" t="inlineStr">
        <is>
          <t>No</t>
        </is>
      </c>
      <c r="G892" t="inlineStr">
        <is>
          <t>1</t>
        </is>
      </c>
      <c r="H892" t="inlineStr">
        <is>
          <t>No</t>
        </is>
      </c>
      <c r="I892" t="inlineStr">
        <is>
          <t>No</t>
        </is>
      </c>
      <c r="J892" t="inlineStr">
        <is>
          <t>0</t>
        </is>
      </c>
      <c r="K892" t="inlineStr">
        <is>
          <t>Faricy, Robert L., 1926-</t>
        </is>
      </c>
      <c r="L892" t="inlineStr">
        <is>
          <t>Westminster, MD : Christian Classics, 1988.</t>
        </is>
      </c>
      <c r="M892" t="inlineStr">
        <is>
          <t>1988</t>
        </is>
      </c>
      <c r="N892" t="inlineStr">
        <is>
          <t>1st American ed.</t>
        </is>
      </c>
      <c r="O892" t="inlineStr">
        <is>
          <t>eng</t>
        </is>
      </c>
      <c r="P892" t="inlineStr">
        <is>
          <t>mdu</t>
        </is>
      </c>
      <c r="R892" t="inlineStr">
        <is>
          <t xml:space="preserve">BT </t>
        </is>
      </c>
      <c r="S892" t="n">
        <v>2</v>
      </c>
      <c r="T892" t="n">
        <v>2</v>
      </c>
      <c r="U892" t="inlineStr">
        <is>
          <t>2010-06-24</t>
        </is>
      </c>
      <c r="V892" t="inlineStr">
        <is>
          <t>2010-06-24</t>
        </is>
      </c>
      <c r="W892" t="inlineStr">
        <is>
          <t>1990-02-16</t>
        </is>
      </c>
      <c r="X892" t="inlineStr">
        <is>
          <t>1990-02-16</t>
        </is>
      </c>
      <c r="Y892" t="n">
        <v>63</v>
      </c>
      <c r="Z892" t="n">
        <v>51</v>
      </c>
      <c r="AA892" t="n">
        <v>91</v>
      </c>
      <c r="AB892" t="n">
        <v>1</v>
      </c>
      <c r="AC892" t="n">
        <v>1</v>
      </c>
      <c r="AD892" t="n">
        <v>6</v>
      </c>
      <c r="AE892" t="n">
        <v>7</v>
      </c>
      <c r="AF892" t="n">
        <v>1</v>
      </c>
      <c r="AG892" t="n">
        <v>1</v>
      </c>
      <c r="AH892" t="n">
        <v>3</v>
      </c>
      <c r="AI892" t="n">
        <v>3</v>
      </c>
      <c r="AJ892" t="n">
        <v>5</v>
      </c>
      <c r="AK892" t="n">
        <v>6</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HYPERLINK("https://creighton-primo.hosted.exlibrisgroup.com/primo-explore/search?tab=default_tab&amp;search_scope=EVERYTHING&amp;vid=01CRU&amp;lang=en_US&amp;offset=0&amp;query=any,contains,991001413979702656","Catalog Record")</f>
        <v/>
      </c>
      <c r="AT892">
        <f>HYPERLINK("http://www.worldcat.org/oclc/18934504","WorldCat Record")</f>
        <v/>
      </c>
      <c r="AU892" t="inlineStr">
        <is>
          <t>8598382:eng</t>
        </is>
      </c>
      <c r="AV892" t="inlineStr">
        <is>
          <t>18934504</t>
        </is>
      </c>
      <c r="AW892" t="inlineStr">
        <is>
          <t>991001413979702656</t>
        </is>
      </c>
      <c r="AX892" t="inlineStr">
        <is>
          <t>991001413979702656</t>
        </is>
      </c>
      <c r="AY892" t="inlineStr">
        <is>
          <t>2267559430002656</t>
        </is>
      </c>
      <c r="AZ892" t="inlineStr">
        <is>
          <t>BOOK</t>
        </is>
      </c>
      <c r="BB892" t="inlineStr">
        <is>
          <t>9780870611599</t>
        </is>
      </c>
      <c r="BC892" t="inlineStr">
        <is>
          <t>32285000039189</t>
        </is>
      </c>
      <c r="BD892" t="inlineStr">
        <is>
          <t>893703013</t>
        </is>
      </c>
    </row>
    <row r="893">
      <c r="A893" t="inlineStr">
        <is>
          <t>No</t>
        </is>
      </c>
      <c r="B893" t="inlineStr">
        <is>
          <t>BT695.5 .F47 1993</t>
        </is>
      </c>
      <c r="C893" t="inlineStr">
        <is>
          <t>0                      BT 0695500F  47          1993</t>
        </is>
      </c>
      <c r="D893" t="inlineStr">
        <is>
          <t>Hellfire and lightning rods : liberating science, technology, and religion / Frederick Ferré.</t>
        </is>
      </c>
      <c r="F893" t="inlineStr">
        <is>
          <t>No</t>
        </is>
      </c>
      <c r="G893" t="inlineStr">
        <is>
          <t>1</t>
        </is>
      </c>
      <c r="H893" t="inlineStr">
        <is>
          <t>No</t>
        </is>
      </c>
      <c r="I893" t="inlineStr">
        <is>
          <t>No</t>
        </is>
      </c>
      <c r="J893" t="inlineStr">
        <is>
          <t>0</t>
        </is>
      </c>
      <c r="K893" t="inlineStr">
        <is>
          <t>Ferré, Frederick.</t>
        </is>
      </c>
      <c r="L893" t="inlineStr">
        <is>
          <t>Maryknoll, N.Y. : Orbis Books, c1993.</t>
        </is>
      </c>
      <c r="M893" t="inlineStr">
        <is>
          <t>1993</t>
        </is>
      </c>
      <c r="O893" t="inlineStr">
        <is>
          <t>eng</t>
        </is>
      </c>
      <c r="P893" t="inlineStr">
        <is>
          <t>nyu</t>
        </is>
      </c>
      <c r="Q893" t="inlineStr">
        <is>
          <t>Ecology and justice</t>
        </is>
      </c>
      <c r="R893" t="inlineStr">
        <is>
          <t xml:space="preserve">BT </t>
        </is>
      </c>
      <c r="S893" t="n">
        <v>2</v>
      </c>
      <c r="T893" t="n">
        <v>2</v>
      </c>
      <c r="U893" t="inlineStr">
        <is>
          <t>1996-02-26</t>
        </is>
      </c>
      <c r="V893" t="inlineStr">
        <is>
          <t>1996-02-26</t>
        </is>
      </c>
      <c r="W893" t="inlineStr">
        <is>
          <t>1993-10-16</t>
        </is>
      </c>
      <c r="X893" t="inlineStr">
        <is>
          <t>1993-10-16</t>
        </is>
      </c>
      <c r="Y893" t="n">
        <v>338</v>
      </c>
      <c r="Z893" t="n">
        <v>291</v>
      </c>
      <c r="AA893" t="n">
        <v>301</v>
      </c>
      <c r="AB893" t="n">
        <v>2</v>
      </c>
      <c r="AC893" t="n">
        <v>3</v>
      </c>
      <c r="AD893" t="n">
        <v>22</v>
      </c>
      <c r="AE893" t="n">
        <v>24</v>
      </c>
      <c r="AF893" t="n">
        <v>8</v>
      </c>
      <c r="AG893" t="n">
        <v>9</v>
      </c>
      <c r="AH893" t="n">
        <v>6</v>
      </c>
      <c r="AI893" t="n">
        <v>7</v>
      </c>
      <c r="AJ893" t="n">
        <v>16</v>
      </c>
      <c r="AK893" t="n">
        <v>16</v>
      </c>
      <c r="AL893" t="n">
        <v>1</v>
      </c>
      <c r="AM893" t="n">
        <v>2</v>
      </c>
      <c r="AN893" t="n">
        <v>0</v>
      </c>
      <c r="AO893" t="n">
        <v>0</v>
      </c>
      <c r="AP893" t="inlineStr">
        <is>
          <t>No</t>
        </is>
      </c>
      <c r="AQ893" t="inlineStr">
        <is>
          <t>Yes</t>
        </is>
      </c>
      <c r="AR893">
        <f>HYPERLINK("http://catalog.hathitrust.org/Record/002650301","HathiTrust Record")</f>
        <v/>
      </c>
      <c r="AS893">
        <f>HYPERLINK("https://creighton-primo.hosted.exlibrisgroup.com/primo-explore/search?tab=default_tab&amp;search_scope=EVERYTHING&amp;vid=01CRU&amp;lang=en_US&amp;offset=0&amp;query=any,contains,991002106449702656","Catalog Record")</f>
        <v/>
      </c>
      <c r="AT893">
        <f>HYPERLINK("http://www.worldcat.org/oclc/27013514","WorldCat Record")</f>
        <v/>
      </c>
      <c r="AU893" t="inlineStr">
        <is>
          <t>375685333:eng</t>
        </is>
      </c>
      <c r="AV893" t="inlineStr">
        <is>
          <t>27013514</t>
        </is>
      </c>
      <c r="AW893" t="inlineStr">
        <is>
          <t>991002106449702656</t>
        </is>
      </c>
      <c r="AX893" t="inlineStr">
        <is>
          <t>991002106449702656</t>
        </is>
      </c>
      <c r="AY893" t="inlineStr">
        <is>
          <t>2256293980002656</t>
        </is>
      </c>
      <c r="AZ893" t="inlineStr">
        <is>
          <t>BOOK</t>
        </is>
      </c>
      <c r="BB893" t="inlineStr">
        <is>
          <t>9780883448564</t>
        </is>
      </c>
      <c r="BC893" t="inlineStr">
        <is>
          <t>32285001786325</t>
        </is>
      </c>
      <c r="BD893" t="inlineStr">
        <is>
          <t>893232595</t>
        </is>
      </c>
    </row>
    <row r="894">
      <c r="A894" t="inlineStr">
        <is>
          <t>No</t>
        </is>
      </c>
      <c r="B894" t="inlineStr">
        <is>
          <t>BT695.5 .G55 1993</t>
        </is>
      </c>
      <c r="C894" t="inlineStr">
        <is>
          <t>0                      BT 0695500G  55          1993</t>
        </is>
      </c>
      <c r="D894" t="inlineStr">
        <is>
          <t>Nature, reality, and the sacred : the nexus of science and religion / Langdon Gilkey.</t>
        </is>
      </c>
      <c r="F894" t="inlineStr">
        <is>
          <t>No</t>
        </is>
      </c>
      <c r="G894" t="inlineStr">
        <is>
          <t>1</t>
        </is>
      </c>
      <c r="H894" t="inlineStr">
        <is>
          <t>No</t>
        </is>
      </c>
      <c r="I894" t="inlineStr">
        <is>
          <t>No</t>
        </is>
      </c>
      <c r="J894" t="inlineStr">
        <is>
          <t>0</t>
        </is>
      </c>
      <c r="K894" t="inlineStr">
        <is>
          <t>Gilkey, Langdon, 1919-2004.</t>
        </is>
      </c>
      <c r="L894" t="inlineStr">
        <is>
          <t>Minneapolis : Fortress Press, c1993.</t>
        </is>
      </c>
      <c r="M894" t="inlineStr">
        <is>
          <t>1993</t>
        </is>
      </c>
      <c r="O894" t="inlineStr">
        <is>
          <t>eng</t>
        </is>
      </c>
      <c r="P894" t="inlineStr">
        <is>
          <t>mnu</t>
        </is>
      </c>
      <c r="Q894" t="inlineStr">
        <is>
          <t>Theology and the sciences</t>
        </is>
      </c>
      <c r="R894" t="inlineStr">
        <is>
          <t xml:space="preserve">BT </t>
        </is>
      </c>
      <c r="S894" t="n">
        <v>6</v>
      </c>
      <c r="T894" t="n">
        <v>6</v>
      </c>
      <c r="U894" t="inlineStr">
        <is>
          <t>2005-10-11</t>
        </is>
      </c>
      <c r="V894" t="inlineStr">
        <is>
          <t>2005-10-11</t>
        </is>
      </c>
      <c r="W894" t="inlineStr">
        <is>
          <t>1994-05-17</t>
        </is>
      </c>
      <c r="X894" t="inlineStr">
        <is>
          <t>1994-05-17</t>
        </is>
      </c>
      <c r="Y894" t="n">
        <v>642</v>
      </c>
      <c r="Z894" t="n">
        <v>539</v>
      </c>
      <c r="AA894" t="n">
        <v>551</v>
      </c>
      <c r="AB894" t="n">
        <v>4</v>
      </c>
      <c r="AC894" t="n">
        <v>4</v>
      </c>
      <c r="AD894" t="n">
        <v>36</v>
      </c>
      <c r="AE894" t="n">
        <v>36</v>
      </c>
      <c r="AF894" t="n">
        <v>15</v>
      </c>
      <c r="AG894" t="n">
        <v>15</v>
      </c>
      <c r="AH894" t="n">
        <v>7</v>
      </c>
      <c r="AI894" t="n">
        <v>7</v>
      </c>
      <c r="AJ894" t="n">
        <v>21</v>
      </c>
      <c r="AK894" t="n">
        <v>21</v>
      </c>
      <c r="AL894" t="n">
        <v>3</v>
      </c>
      <c r="AM894" t="n">
        <v>3</v>
      </c>
      <c r="AN894" t="n">
        <v>0</v>
      </c>
      <c r="AO894" t="n">
        <v>0</v>
      </c>
      <c r="AP894" t="inlineStr">
        <is>
          <t>No</t>
        </is>
      </c>
      <c r="AQ894" t="inlineStr">
        <is>
          <t>Yes</t>
        </is>
      </c>
      <c r="AR894">
        <f>HYPERLINK("http://catalog.hathitrust.org/Record/002799852","HathiTrust Record")</f>
        <v/>
      </c>
      <c r="AS894">
        <f>HYPERLINK("https://creighton-primo.hosted.exlibrisgroup.com/primo-explore/search?tab=default_tab&amp;search_scope=EVERYTHING&amp;vid=01CRU&amp;lang=en_US&amp;offset=0&amp;query=any,contains,991002200169702656","Catalog Record")</f>
        <v/>
      </c>
      <c r="AT894">
        <f>HYPERLINK("http://www.worldcat.org/oclc/28293439","WorldCat Record")</f>
        <v/>
      </c>
      <c r="AU894" t="inlineStr">
        <is>
          <t>343341277:eng</t>
        </is>
      </c>
      <c r="AV894" t="inlineStr">
        <is>
          <t>28293439</t>
        </is>
      </c>
      <c r="AW894" t="inlineStr">
        <is>
          <t>991002200169702656</t>
        </is>
      </c>
      <c r="AX894" t="inlineStr">
        <is>
          <t>991002200169702656</t>
        </is>
      </c>
      <c r="AY894" t="inlineStr">
        <is>
          <t>2259447170002656</t>
        </is>
      </c>
      <c r="AZ894" t="inlineStr">
        <is>
          <t>BOOK</t>
        </is>
      </c>
      <c r="BB894" t="inlineStr">
        <is>
          <t>9780800627546</t>
        </is>
      </c>
      <c r="BC894" t="inlineStr">
        <is>
          <t>32285001896538</t>
        </is>
      </c>
      <c r="BD894" t="inlineStr">
        <is>
          <t>893792145</t>
        </is>
      </c>
    </row>
    <row r="895">
      <c r="A895" t="inlineStr">
        <is>
          <t>No</t>
        </is>
      </c>
      <c r="B895" t="inlineStr">
        <is>
          <t>BT695.5 .G72 1988</t>
        </is>
      </c>
      <c r="C895" t="inlineStr">
        <is>
          <t>0                      BT 0695500G  72          1988</t>
        </is>
      </c>
      <c r="D895" t="inlineStr">
        <is>
          <t>Ecology and life : accepting our environmental responsibility / Wesley Granberg-Michaelson.</t>
        </is>
      </c>
      <c r="F895" t="inlineStr">
        <is>
          <t>No</t>
        </is>
      </c>
      <c r="G895" t="inlineStr">
        <is>
          <t>1</t>
        </is>
      </c>
      <c r="H895" t="inlineStr">
        <is>
          <t>No</t>
        </is>
      </c>
      <c r="I895" t="inlineStr">
        <is>
          <t>No</t>
        </is>
      </c>
      <c r="J895" t="inlineStr">
        <is>
          <t>0</t>
        </is>
      </c>
      <c r="K895" t="inlineStr">
        <is>
          <t>Granberg-Michaelson, Wesley.</t>
        </is>
      </c>
      <c r="L895" t="inlineStr">
        <is>
          <t>Waco, TX : Word, Inc., c1988.</t>
        </is>
      </c>
      <c r="M895" t="inlineStr">
        <is>
          <t>1988</t>
        </is>
      </c>
      <c r="O895" t="inlineStr">
        <is>
          <t>eng</t>
        </is>
      </c>
      <c r="P895" t="inlineStr">
        <is>
          <t>txu</t>
        </is>
      </c>
      <c r="Q895" t="inlineStr">
        <is>
          <t>Issues of Christian conscience</t>
        </is>
      </c>
      <c r="R895" t="inlineStr">
        <is>
          <t xml:space="preserve">BT </t>
        </is>
      </c>
      <c r="S895" t="n">
        <v>2</v>
      </c>
      <c r="T895" t="n">
        <v>2</v>
      </c>
      <c r="U895" t="inlineStr">
        <is>
          <t>2005-09-06</t>
        </is>
      </c>
      <c r="V895" t="inlineStr">
        <is>
          <t>2005-09-06</t>
        </is>
      </c>
      <c r="W895" t="inlineStr">
        <is>
          <t>1990-08-02</t>
        </is>
      </c>
      <c r="X895" t="inlineStr">
        <is>
          <t>1990-08-02</t>
        </is>
      </c>
      <c r="Y895" t="n">
        <v>210</v>
      </c>
      <c r="Z895" t="n">
        <v>173</v>
      </c>
      <c r="AA895" t="n">
        <v>173</v>
      </c>
      <c r="AB895" t="n">
        <v>2</v>
      </c>
      <c r="AC895" t="n">
        <v>2</v>
      </c>
      <c r="AD895" t="n">
        <v>6</v>
      </c>
      <c r="AE895" t="n">
        <v>6</v>
      </c>
      <c r="AF895" t="n">
        <v>3</v>
      </c>
      <c r="AG895" t="n">
        <v>3</v>
      </c>
      <c r="AH895" t="n">
        <v>1</v>
      </c>
      <c r="AI895" t="n">
        <v>1</v>
      </c>
      <c r="AJ895" t="n">
        <v>2</v>
      </c>
      <c r="AK895" t="n">
        <v>2</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HYPERLINK("https://creighton-primo.hosted.exlibrisgroup.com/primo-explore/search?tab=default_tab&amp;search_scope=EVERYTHING&amp;vid=01CRU&amp;lang=en_US&amp;offset=0&amp;query=any,contains,991001265959702656","Catalog Record")</f>
        <v/>
      </c>
      <c r="AT895">
        <f>HYPERLINK("http://www.worldcat.org/oclc/17805603","WorldCat Record")</f>
        <v/>
      </c>
      <c r="AU895" t="inlineStr">
        <is>
          <t>197317170:eng</t>
        </is>
      </c>
      <c r="AV895" t="inlineStr">
        <is>
          <t>17805603</t>
        </is>
      </c>
      <c r="AW895" t="inlineStr">
        <is>
          <t>991001265959702656</t>
        </is>
      </c>
      <c r="AX895" t="inlineStr">
        <is>
          <t>991001265959702656</t>
        </is>
      </c>
      <c r="AY895" t="inlineStr">
        <is>
          <t>2265971310002656</t>
        </is>
      </c>
      <c r="AZ895" t="inlineStr">
        <is>
          <t>BOOK</t>
        </is>
      </c>
      <c r="BB895" t="inlineStr">
        <is>
          <t>9780849905797</t>
        </is>
      </c>
      <c r="BC895" t="inlineStr">
        <is>
          <t>32285000263151</t>
        </is>
      </c>
      <c r="BD895" t="inlineStr">
        <is>
          <t>893243996</t>
        </is>
      </c>
    </row>
    <row r="896">
      <c r="A896" t="inlineStr">
        <is>
          <t>No</t>
        </is>
      </c>
      <c r="B896" t="inlineStr">
        <is>
          <t>BT695.5 .G87 1994</t>
        </is>
      </c>
      <c r="C896" t="inlineStr">
        <is>
          <t>0                      BT 0695500G  87          1994</t>
        </is>
      </c>
      <c r="D896" t="inlineStr">
        <is>
          <t>A sense of the divine : the natural environment from a theocentric perspective / James M. Gustafson.</t>
        </is>
      </c>
      <c r="F896" t="inlineStr">
        <is>
          <t>No</t>
        </is>
      </c>
      <c r="G896" t="inlineStr">
        <is>
          <t>1</t>
        </is>
      </c>
      <c r="H896" t="inlineStr">
        <is>
          <t>No</t>
        </is>
      </c>
      <c r="I896" t="inlineStr">
        <is>
          <t>No</t>
        </is>
      </c>
      <c r="J896" t="inlineStr">
        <is>
          <t>0</t>
        </is>
      </c>
      <c r="K896" t="inlineStr">
        <is>
          <t>Gustafson, James M.</t>
        </is>
      </c>
      <c r="L896" t="inlineStr">
        <is>
          <t>Cleveland, Ohio : Pilgrim Press, 1994.</t>
        </is>
      </c>
      <c r="M896" t="inlineStr">
        <is>
          <t>1994</t>
        </is>
      </c>
      <c r="O896" t="inlineStr">
        <is>
          <t>eng</t>
        </is>
      </c>
      <c r="P896" t="inlineStr">
        <is>
          <t>ohu</t>
        </is>
      </c>
      <c r="R896" t="inlineStr">
        <is>
          <t xml:space="preserve">BT </t>
        </is>
      </c>
      <c r="S896" t="n">
        <v>2</v>
      </c>
      <c r="T896" t="n">
        <v>2</v>
      </c>
      <c r="U896" t="inlineStr">
        <is>
          <t>2006-02-21</t>
        </is>
      </c>
      <c r="V896" t="inlineStr">
        <is>
          <t>2006-02-21</t>
        </is>
      </c>
      <c r="W896" t="inlineStr">
        <is>
          <t>1994-08-03</t>
        </is>
      </c>
      <c r="X896" t="inlineStr">
        <is>
          <t>1994-08-03</t>
        </is>
      </c>
      <c r="Y896" t="n">
        <v>274</v>
      </c>
      <c r="Z896" t="n">
        <v>234</v>
      </c>
      <c r="AA896" t="n">
        <v>266</v>
      </c>
      <c r="AB896" t="n">
        <v>2</v>
      </c>
      <c r="AC896" t="n">
        <v>2</v>
      </c>
      <c r="AD896" t="n">
        <v>22</v>
      </c>
      <c r="AE896" t="n">
        <v>23</v>
      </c>
      <c r="AF896" t="n">
        <v>9</v>
      </c>
      <c r="AG896" t="n">
        <v>10</v>
      </c>
      <c r="AH896" t="n">
        <v>4</v>
      </c>
      <c r="AI896" t="n">
        <v>4</v>
      </c>
      <c r="AJ896" t="n">
        <v>15</v>
      </c>
      <c r="AK896" t="n">
        <v>15</v>
      </c>
      <c r="AL896" t="n">
        <v>1</v>
      </c>
      <c r="AM896" t="n">
        <v>1</v>
      </c>
      <c r="AN896" t="n">
        <v>0</v>
      </c>
      <c r="AO896" t="n">
        <v>0</v>
      </c>
      <c r="AP896" t="inlineStr">
        <is>
          <t>No</t>
        </is>
      </c>
      <c r="AQ896" t="inlineStr">
        <is>
          <t>Yes</t>
        </is>
      </c>
      <c r="AR896">
        <f>HYPERLINK("http://catalog.hathitrust.org/Record/002867065","HathiTrust Record")</f>
        <v/>
      </c>
      <c r="AS896">
        <f>HYPERLINK("https://creighton-primo.hosted.exlibrisgroup.com/primo-explore/search?tab=default_tab&amp;search_scope=EVERYTHING&amp;vid=01CRU&amp;lang=en_US&amp;offset=0&amp;query=any,contains,991002298779702656","Catalog Record")</f>
        <v/>
      </c>
      <c r="AT896">
        <f>HYPERLINK("http://www.worldcat.org/oclc/29843696","WorldCat Record")</f>
        <v/>
      </c>
      <c r="AU896" t="inlineStr">
        <is>
          <t>27078254:eng</t>
        </is>
      </c>
      <c r="AV896" t="inlineStr">
        <is>
          <t>29843696</t>
        </is>
      </c>
      <c r="AW896" t="inlineStr">
        <is>
          <t>991002298779702656</t>
        </is>
      </c>
      <c r="AX896" t="inlineStr">
        <is>
          <t>991002298779702656</t>
        </is>
      </c>
      <c r="AY896" t="inlineStr">
        <is>
          <t>2266198670002656</t>
        </is>
      </c>
      <c r="AZ896" t="inlineStr">
        <is>
          <t>BOOK</t>
        </is>
      </c>
      <c r="BB896" t="inlineStr">
        <is>
          <t>9780829810035</t>
        </is>
      </c>
      <c r="BC896" t="inlineStr">
        <is>
          <t>32285001941185</t>
        </is>
      </c>
      <c r="BD896" t="inlineStr">
        <is>
          <t>893886092</t>
        </is>
      </c>
    </row>
    <row r="897">
      <c r="A897" t="inlineStr">
        <is>
          <t>No</t>
        </is>
      </c>
      <c r="B897" t="inlineStr">
        <is>
          <t>BT695.5 .M43 1987</t>
        </is>
      </c>
      <c r="C897" t="inlineStr">
        <is>
          <t>0                      BT 0695500M  43          1987</t>
        </is>
      </c>
      <c r="D897" t="inlineStr">
        <is>
          <t>To care for the earth : a call to a new theology / Sean McDonagh.</t>
        </is>
      </c>
      <c r="F897" t="inlineStr">
        <is>
          <t>No</t>
        </is>
      </c>
      <c r="G897" t="inlineStr">
        <is>
          <t>1</t>
        </is>
      </c>
      <c r="H897" t="inlineStr">
        <is>
          <t>No</t>
        </is>
      </c>
      <c r="I897" t="inlineStr">
        <is>
          <t>No</t>
        </is>
      </c>
      <c r="J897" t="inlineStr">
        <is>
          <t>0</t>
        </is>
      </c>
      <c r="K897" t="inlineStr">
        <is>
          <t>McDonagh, Sean, 1935-</t>
        </is>
      </c>
      <c r="L897" t="inlineStr">
        <is>
          <t>Santa Fe, N.M. : Bear &amp; Co., 1987, c1986.</t>
        </is>
      </c>
      <c r="M897" t="inlineStr">
        <is>
          <t>1987</t>
        </is>
      </c>
      <c r="N897" t="inlineStr">
        <is>
          <t>1st U.S. ed.</t>
        </is>
      </c>
      <c r="O897" t="inlineStr">
        <is>
          <t>eng</t>
        </is>
      </c>
      <c r="P897" t="inlineStr">
        <is>
          <t>nmu</t>
        </is>
      </c>
      <c r="R897" t="inlineStr">
        <is>
          <t xml:space="preserve">BT </t>
        </is>
      </c>
      <c r="S897" t="n">
        <v>9</v>
      </c>
      <c r="T897" t="n">
        <v>9</v>
      </c>
      <c r="U897" t="inlineStr">
        <is>
          <t>2005-09-07</t>
        </is>
      </c>
      <c r="V897" t="inlineStr">
        <is>
          <t>2005-09-07</t>
        </is>
      </c>
      <c r="W897" t="inlineStr">
        <is>
          <t>1990-04-25</t>
        </is>
      </c>
      <c r="X897" t="inlineStr">
        <is>
          <t>1990-04-25</t>
        </is>
      </c>
      <c r="Y897" t="n">
        <v>194</v>
      </c>
      <c r="Z897" t="n">
        <v>153</v>
      </c>
      <c r="AA897" t="n">
        <v>178</v>
      </c>
      <c r="AB897" t="n">
        <v>1</v>
      </c>
      <c r="AC897" t="n">
        <v>2</v>
      </c>
      <c r="AD897" t="n">
        <v>11</v>
      </c>
      <c r="AE897" t="n">
        <v>13</v>
      </c>
      <c r="AF897" t="n">
        <v>3</v>
      </c>
      <c r="AG897" t="n">
        <v>3</v>
      </c>
      <c r="AH897" t="n">
        <v>3</v>
      </c>
      <c r="AI897" t="n">
        <v>4</v>
      </c>
      <c r="AJ897" t="n">
        <v>8</v>
      </c>
      <c r="AK897" t="n">
        <v>9</v>
      </c>
      <c r="AL897" t="n">
        <v>0</v>
      </c>
      <c r="AM897" t="n">
        <v>1</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HYPERLINK("https://creighton-primo.hosted.exlibrisgroup.com/primo-explore/search?tab=default_tab&amp;search_scope=EVERYTHING&amp;vid=01CRU&amp;lang=en_US&amp;offset=0&amp;query=any,contains,991001073799702656","Catalog Record")</f>
        <v/>
      </c>
      <c r="AT897">
        <f>HYPERLINK("http://www.worldcat.org/oclc/16004221","WorldCat Record")</f>
        <v/>
      </c>
      <c r="AU897" t="inlineStr">
        <is>
          <t>259913250:eng</t>
        </is>
      </c>
      <c r="AV897" t="inlineStr">
        <is>
          <t>16004221</t>
        </is>
      </c>
      <c r="AW897" t="inlineStr">
        <is>
          <t>991001073799702656</t>
        </is>
      </c>
      <c r="AX897" t="inlineStr">
        <is>
          <t>991001073799702656</t>
        </is>
      </c>
      <c r="AY897" t="inlineStr">
        <is>
          <t>2271490740002656</t>
        </is>
      </c>
      <c r="AZ897" t="inlineStr">
        <is>
          <t>BOOK</t>
        </is>
      </c>
      <c r="BB897" t="inlineStr">
        <is>
          <t>9780939680429</t>
        </is>
      </c>
      <c r="BC897" t="inlineStr">
        <is>
          <t>32285000132232</t>
        </is>
      </c>
      <c r="BD897" t="inlineStr">
        <is>
          <t>893261714</t>
        </is>
      </c>
    </row>
    <row r="898">
      <c r="A898" t="inlineStr">
        <is>
          <t>No</t>
        </is>
      </c>
      <c r="B898" t="inlineStr">
        <is>
          <t>BT695.5 .N67 1987</t>
        </is>
      </c>
      <c r="C898" t="inlineStr">
        <is>
          <t>0                      BT 0695500N  67          1987</t>
        </is>
      </c>
      <c r="D898" t="inlineStr">
        <is>
          <t>Christian ecology : building an environmental ethic for the twenty-first century : the proceedings from the First North American Conference on Christianity and Ecology / edited by Frederick W. Krueger.</t>
        </is>
      </c>
      <c r="F898" t="inlineStr">
        <is>
          <t>No</t>
        </is>
      </c>
      <c r="G898" t="inlineStr">
        <is>
          <t>1</t>
        </is>
      </c>
      <c r="H898" t="inlineStr">
        <is>
          <t>No</t>
        </is>
      </c>
      <c r="I898" t="inlineStr">
        <is>
          <t>No</t>
        </is>
      </c>
      <c r="J898" t="inlineStr">
        <is>
          <t>0</t>
        </is>
      </c>
      <c r="K898" t="inlineStr">
        <is>
          <t>North American Conference on Christianity and Ecology (1st : 1987 : Epworth Forest Center)</t>
        </is>
      </c>
      <c r="L898" t="inlineStr">
        <is>
          <t>San Francisco, Calif. : The Conference, c1988.</t>
        </is>
      </c>
      <c r="M898" t="inlineStr">
        <is>
          <t>1988</t>
        </is>
      </c>
      <c r="O898" t="inlineStr">
        <is>
          <t>eng</t>
        </is>
      </c>
      <c r="P898" t="inlineStr">
        <is>
          <t>cau</t>
        </is>
      </c>
      <c r="R898" t="inlineStr">
        <is>
          <t xml:space="preserve">BT </t>
        </is>
      </c>
      <c r="S898" t="n">
        <v>9</v>
      </c>
      <c r="T898" t="n">
        <v>9</v>
      </c>
      <c r="U898" t="inlineStr">
        <is>
          <t>2005-09-11</t>
        </is>
      </c>
      <c r="V898" t="inlineStr">
        <is>
          <t>2005-09-11</t>
        </is>
      </c>
      <c r="W898" t="inlineStr">
        <is>
          <t>1991-09-19</t>
        </is>
      </c>
      <c r="X898" t="inlineStr">
        <is>
          <t>1991-09-19</t>
        </is>
      </c>
      <c r="Y898" t="n">
        <v>59</v>
      </c>
      <c r="Z898" t="n">
        <v>50</v>
      </c>
      <c r="AA898" t="n">
        <v>50</v>
      </c>
      <c r="AB898" t="n">
        <v>1</v>
      </c>
      <c r="AC898" t="n">
        <v>1</v>
      </c>
      <c r="AD898" t="n">
        <v>0</v>
      </c>
      <c r="AE898" t="n">
        <v>0</v>
      </c>
      <c r="AF898" t="n">
        <v>0</v>
      </c>
      <c r="AG898" t="n">
        <v>0</v>
      </c>
      <c r="AH898" t="n">
        <v>0</v>
      </c>
      <c r="AI898" t="n">
        <v>0</v>
      </c>
      <c r="AJ898" t="n">
        <v>0</v>
      </c>
      <c r="AK898" t="n">
        <v>0</v>
      </c>
      <c r="AL898" t="n">
        <v>0</v>
      </c>
      <c r="AM898" t="n">
        <v>0</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HYPERLINK("https://creighton-primo.hosted.exlibrisgroup.com/primo-explore/search?tab=default_tab&amp;search_scope=EVERYTHING&amp;vid=01CRU&amp;lang=en_US&amp;offset=0&amp;query=any,contains,991001271619702656","Catalog Record")</f>
        <v/>
      </c>
      <c r="AT898">
        <f>HYPERLINK("http://www.worldcat.org/oclc/17841499","WorldCat Record")</f>
        <v/>
      </c>
      <c r="AU898" t="inlineStr">
        <is>
          <t>16976849:eng</t>
        </is>
      </c>
      <c r="AV898" t="inlineStr">
        <is>
          <t>17841499</t>
        </is>
      </c>
      <c r="AW898" t="inlineStr">
        <is>
          <t>991001271619702656</t>
        </is>
      </c>
      <c r="AX898" t="inlineStr">
        <is>
          <t>991001271619702656</t>
        </is>
      </c>
      <c r="AY898" t="inlineStr">
        <is>
          <t>2268946250002656</t>
        </is>
      </c>
      <c r="AZ898" t="inlineStr">
        <is>
          <t>BOOK</t>
        </is>
      </c>
      <c r="BB898" t="inlineStr">
        <is>
          <t>9780962024801</t>
        </is>
      </c>
      <c r="BC898" t="inlineStr">
        <is>
          <t>32285000748326</t>
        </is>
      </c>
      <c r="BD898" t="inlineStr">
        <is>
          <t>893231856</t>
        </is>
      </c>
    </row>
    <row r="899">
      <c r="A899" t="inlineStr">
        <is>
          <t>No</t>
        </is>
      </c>
      <c r="B899" t="inlineStr">
        <is>
          <t>BT695.5 .R37 1996</t>
        </is>
      </c>
      <c r="C899" t="inlineStr">
        <is>
          <t>0                      BT 0695500R  37          1996</t>
        </is>
      </c>
      <c r="D899" t="inlineStr">
        <is>
          <t>Earth community earth ethics / Larry L. Rasmussen.</t>
        </is>
      </c>
      <c r="F899" t="inlineStr">
        <is>
          <t>No</t>
        </is>
      </c>
      <c r="G899" t="inlineStr">
        <is>
          <t>1</t>
        </is>
      </c>
      <c r="H899" t="inlineStr">
        <is>
          <t>No</t>
        </is>
      </c>
      <c r="I899" t="inlineStr">
        <is>
          <t>No</t>
        </is>
      </c>
      <c r="J899" t="inlineStr">
        <is>
          <t>0</t>
        </is>
      </c>
      <c r="K899" t="inlineStr">
        <is>
          <t>Rasmussen, Larry L.</t>
        </is>
      </c>
      <c r="L899" t="inlineStr">
        <is>
          <t>Maryknoll, N.Y. : Orbis Books, c1996.</t>
        </is>
      </c>
      <c r="M899" t="inlineStr">
        <is>
          <t>1996</t>
        </is>
      </c>
      <c r="O899" t="inlineStr">
        <is>
          <t>eng</t>
        </is>
      </c>
      <c r="P899" t="inlineStr">
        <is>
          <t>nyu</t>
        </is>
      </c>
      <c r="Q899" t="inlineStr">
        <is>
          <t>Ecology and justice</t>
        </is>
      </c>
      <c r="R899" t="inlineStr">
        <is>
          <t xml:space="preserve">BT </t>
        </is>
      </c>
      <c r="S899" t="n">
        <v>5</v>
      </c>
      <c r="T899" t="n">
        <v>5</v>
      </c>
      <c r="U899" t="inlineStr">
        <is>
          <t>2004-10-08</t>
        </is>
      </c>
      <c r="V899" t="inlineStr">
        <is>
          <t>2004-10-08</t>
        </is>
      </c>
      <c r="W899" t="inlineStr">
        <is>
          <t>1998-01-07</t>
        </is>
      </c>
      <c r="X899" t="inlineStr">
        <is>
          <t>1998-01-07</t>
        </is>
      </c>
      <c r="Y899" t="n">
        <v>538</v>
      </c>
      <c r="Z899" t="n">
        <v>450</v>
      </c>
      <c r="AA899" t="n">
        <v>482</v>
      </c>
      <c r="AB899" t="n">
        <v>3</v>
      </c>
      <c r="AC899" t="n">
        <v>3</v>
      </c>
      <c r="AD899" t="n">
        <v>37</v>
      </c>
      <c r="AE899" t="n">
        <v>37</v>
      </c>
      <c r="AF899" t="n">
        <v>15</v>
      </c>
      <c r="AG899" t="n">
        <v>15</v>
      </c>
      <c r="AH899" t="n">
        <v>8</v>
      </c>
      <c r="AI899" t="n">
        <v>8</v>
      </c>
      <c r="AJ899" t="n">
        <v>22</v>
      </c>
      <c r="AK899" t="n">
        <v>22</v>
      </c>
      <c r="AL899" t="n">
        <v>2</v>
      </c>
      <c r="AM899" t="n">
        <v>2</v>
      </c>
      <c r="AN899" t="n">
        <v>1</v>
      </c>
      <c r="AO899" t="n">
        <v>1</v>
      </c>
      <c r="AP899" t="inlineStr">
        <is>
          <t>No</t>
        </is>
      </c>
      <c r="AQ899" t="inlineStr">
        <is>
          <t>Yes</t>
        </is>
      </c>
      <c r="AR899">
        <f>HYPERLINK("http://catalog.hathitrust.org/Record/003110636","HathiTrust Record")</f>
        <v/>
      </c>
      <c r="AS899">
        <f>HYPERLINK("https://creighton-primo.hosted.exlibrisgroup.com/primo-explore/search?tab=default_tab&amp;search_scope=EVERYTHING&amp;vid=01CRU&amp;lang=en_US&amp;offset=0&amp;query=any,contains,991002678819702656","Catalog Record")</f>
        <v/>
      </c>
      <c r="AT899">
        <f>HYPERLINK("http://www.worldcat.org/oclc/35016877","WorldCat Record")</f>
        <v/>
      </c>
      <c r="AU899" t="inlineStr">
        <is>
          <t>682490:eng</t>
        </is>
      </c>
      <c r="AV899" t="inlineStr">
        <is>
          <t>35016877</t>
        </is>
      </c>
      <c r="AW899" t="inlineStr">
        <is>
          <t>991002678819702656</t>
        </is>
      </c>
      <c r="AX899" t="inlineStr">
        <is>
          <t>991002678819702656</t>
        </is>
      </c>
      <c r="AY899" t="inlineStr">
        <is>
          <t>2268307370002656</t>
        </is>
      </c>
      <c r="AZ899" t="inlineStr">
        <is>
          <t>BOOK</t>
        </is>
      </c>
      <c r="BB899" t="inlineStr">
        <is>
          <t>9781570750861</t>
        </is>
      </c>
      <c r="BC899" t="inlineStr">
        <is>
          <t>32285003301578</t>
        </is>
      </c>
      <c r="BD899" t="inlineStr">
        <is>
          <t>893899062</t>
        </is>
      </c>
    </row>
    <row r="900">
      <c r="A900" t="inlineStr">
        <is>
          <t>No</t>
        </is>
      </c>
      <c r="B900" t="inlineStr">
        <is>
          <t>BT695.5 .R87 1994</t>
        </is>
      </c>
      <c r="C900" t="inlineStr">
        <is>
          <t>0                      BT 0695500R  87          1994</t>
        </is>
      </c>
      <c r="D900" t="inlineStr">
        <is>
          <t>The earth, humanity, and God : the Templeton lectures, Cambridge, 1993 / Colin A. Russell.</t>
        </is>
      </c>
      <c r="F900" t="inlineStr">
        <is>
          <t>No</t>
        </is>
      </c>
      <c r="G900" t="inlineStr">
        <is>
          <t>1</t>
        </is>
      </c>
      <c r="H900" t="inlineStr">
        <is>
          <t>No</t>
        </is>
      </c>
      <c r="I900" t="inlineStr">
        <is>
          <t>No</t>
        </is>
      </c>
      <c r="J900" t="inlineStr">
        <is>
          <t>0</t>
        </is>
      </c>
      <c r="K900" t="inlineStr">
        <is>
          <t>Russell, Colin Archibald.</t>
        </is>
      </c>
      <c r="L900" t="inlineStr">
        <is>
          <t>London : UCL Press, 1994.</t>
        </is>
      </c>
      <c r="M900" t="inlineStr">
        <is>
          <t>1994</t>
        </is>
      </c>
      <c r="O900" t="inlineStr">
        <is>
          <t>eng</t>
        </is>
      </c>
      <c r="P900" t="inlineStr">
        <is>
          <t>enk</t>
        </is>
      </c>
      <c r="R900" t="inlineStr">
        <is>
          <t xml:space="preserve">BT </t>
        </is>
      </c>
      <c r="S900" t="n">
        <v>5</v>
      </c>
      <c r="T900" t="n">
        <v>5</v>
      </c>
      <c r="U900" t="inlineStr">
        <is>
          <t>1997-09-04</t>
        </is>
      </c>
      <c r="V900" t="inlineStr">
        <is>
          <t>1997-09-04</t>
        </is>
      </c>
      <c r="W900" t="inlineStr">
        <is>
          <t>1996-07-01</t>
        </is>
      </c>
      <c r="X900" t="inlineStr">
        <is>
          <t>1996-07-01</t>
        </is>
      </c>
      <c r="Y900" t="n">
        <v>201</v>
      </c>
      <c r="Z900" t="n">
        <v>124</v>
      </c>
      <c r="AA900" t="n">
        <v>151</v>
      </c>
      <c r="AB900" t="n">
        <v>2</v>
      </c>
      <c r="AC900" t="n">
        <v>2</v>
      </c>
      <c r="AD900" t="n">
        <v>7</v>
      </c>
      <c r="AE900" t="n">
        <v>7</v>
      </c>
      <c r="AF900" t="n">
        <v>1</v>
      </c>
      <c r="AG900" t="n">
        <v>1</v>
      </c>
      <c r="AH900" t="n">
        <v>2</v>
      </c>
      <c r="AI900" t="n">
        <v>2</v>
      </c>
      <c r="AJ900" t="n">
        <v>6</v>
      </c>
      <c r="AK900" t="n">
        <v>6</v>
      </c>
      <c r="AL900" t="n">
        <v>1</v>
      </c>
      <c r="AM900" t="n">
        <v>1</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HYPERLINK("https://creighton-primo.hosted.exlibrisgroup.com/primo-explore/search?tab=default_tab&amp;search_scope=EVERYTHING&amp;vid=01CRU&amp;lang=en_US&amp;offset=0&amp;query=any,contains,991002333909702656","Catalog Record")</f>
        <v/>
      </c>
      <c r="AT900">
        <f>HYPERLINK("http://www.worldcat.org/oclc/30366583","WorldCat Record")</f>
        <v/>
      </c>
      <c r="AU900" t="inlineStr">
        <is>
          <t>836873716:eng</t>
        </is>
      </c>
      <c r="AV900" t="inlineStr">
        <is>
          <t>30366583</t>
        </is>
      </c>
      <c r="AW900" t="inlineStr">
        <is>
          <t>991002333909702656</t>
        </is>
      </c>
      <c r="AX900" t="inlineStr">
        <is>
          <t>991002333909702656</t>
        </is>
      </c>
      <c r="AY900" t="inlineStr">
        <is>
          <t>2260426360002656</t>
        </is>
      </c>
      <c r="AZ900" t="inlineStr">
        <is>
          <t>BOOK</t>
        </is>
      </c>
      <c r="BB900" t="inlineStr">
        <is>
          <t>9781857281453</t>
        </is>
      </c>
      <c r="BC900" t="inlineStr">
        <is>
          <t>32285002174752</t>
        </is>
      </c>
      <c r="BD900" t="inlineStr">
        <is>
          <t>893408982</t>
        </is>
      </c>
    </row>
    <row r="901">
      <c r="A901" t="inlineStr">
        <is>
          <t>No</t>
        </is>
      </c>
      <c r="B901" t="inlineStr">
        <is>
          <t>BT695.5 .R88</t>
        </is>
      </c>
      <c r="C901" t="inlineStr">
        <is>
          <t>0                      BT 0695500R  88</t>
        </is>
      </c>
      <c r="D901" t="inlineStr">
        <is>
          <t>Nature--garden or desert? An essay in environmental theology / by Eric C. Rust.</t>
        </is>
      </c>
      <c r="F901" t="inlineStr">
        <is>
          <t>No</t>
        </is>
      </c>
      <c r="G901" t="inlineStr">
        <is>
          <t>1</t>
        </is>
      </c>
      <c r="H901" t="inlineStr">
        <is>
          <t>No</t>
        </is>
      </c>
      <c r="I901" t="inlineStr">
        <is>
          <t>No</t>
        </is>
      </c>
      <c r="J901" t="inlineStr">
        <is>
          <t>0</t>
        </is>
      </c>
      <c r="K901" t="inlineStr">
        <is>
          <t>Rust, E. C. (Eric Charles), 1910-1991.</t>
        </is>
      </c>
      <c r="L901" t="inlineStr">
        <is>
          <t>Waco, Tex., Word Books [1971]</t>
        </is>
      </c>
      <c r="M901" t="inlineStr">
        <is>
          <t>1971</t>
        </is>
      </c>
      <c r="O901" t="inlineStr">
        <is>
          <t>eng</t>
        </is>
      </c>
      <c r="P901" t="inlineStr">
        <is>
          <t>txu</t>
        </is>
      </c>
      <c r="R901" t="inlineStr">
        <is>
          <t xml:space="preserve">BT </t>
        </is>
      </c>
      <c r="S901" t="n">
        <v>1</v>
      </c>
      <c r="T901" t="n">
        <v>1</v>
      </c>
      <c r="U901" t="inlineStr">
        <is>
          <t>2005-09-06</t>
        </is>
      </c>
      <c r="V901" t="inlineStr">
        <is>
          <t>2005-09-06</t>
        </is>
      </c>
      <c r="W901" t="inlineStr">
        <is>
          <t>1991-09-19</t>
        </is>
      </c>
      <c r="X901" t="inlineStr">
        <is>
          <t>1991-09-19</t>
        </is>
      </c>
      <c r="Y901" t="n">
        <v>230</v>
      </c>
      <c r="Z901" t="n">
        <v>213</v>
      </c>
      <c r="AA901" t="n">
        <v>213</v>
      </c>
      <c r="AB901" t="n">
        <v>1</v>
      </c>
      <c r="AC901" t="n">
        <v>1</v>
      </c>
      <c r="AD901" t="n">
        <v>9</v>
      </c>
      <c r="AE901" t="n">
        <v>9</v>
      </c>
      <c r="AF901" t="n">
        <v>5</v>
      </c>
      <c r="AG901" t="n">
        <v>5</v>
      </c>
      <c r="AH901" t="n">
        <v>2</v>
      </c>
      <c r="AI901" t="n">
        <v>2</v>
      </c>
      <c r="AJ901" t="n">
        <v>6</v>
      </c>
      <c r="AK901" t="n">
        <v>6</v>
      </c>
      <c r="AL901" t="n">
        <v>0</v>
      </c>
      <c r="AM901" t="n">
        <v>0</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HYPERLINK("https://creighton-primo.hosted.exlibrisgroup.com/primo-explore/search?tab=default_tab&amp;search_scope=EVERYTHING&amp;vid=01CRU&amp;lang=en_US&amp;offset=0&amp;query=any,contains,991001241939702656","Catalog Record")</f>
        <v/>
      </c>
      <c r="AT901">
        <f>HYPERLINK("http://www.worldcat.org/oclc/208045","WorldCat Record")</f>
        <v/>
      </c>
      <c r="AU901" t="inlineStr">
        <is>
          <t>1275319:eng</t>
        </is>
      </c>
      <c r="AV901" t="inlineStr">
        <is>
          <t>208045</t>
        </is>
      </c>
      <c r="AW901" t="inlineStr">
        <is>
          <t>991001241939702656</t>
        </is>
      </c>
      <c r="AX901" t="inlineStr">
        <is>
          <t>991001241939702656</t>
        </is>
      </c>
      <c r="AY901" t="inlineStr">
        <is>
          <t>2270091620002656</t>
        </is>
      </c>
      <c r="AZ901" t="inlineStr">
        <is>
          <t>BOOK</t>
        </is>
      </c>
      <c r="BC901" t="inlineStr">
        <is>
          <t>32285000748334</t>
        </is>
      </c>
      <c r="BD901" t="inlineStr">
        <is>
          <t>893534485</t>
        </is>
      </c>
    </row>
    <row r="902">
      <c r="A902" t="inlineStr">
        <is>
          <t>No</t>
        </is>
      </c>
      <c r="B902" t="inlineStr">
        <is>
          <t>BT695.5 .S44 1992</t>
        </is>
      </c>
      <c r="C902" t="inlineStr">
        <is>
          <t>0                      BT 0695500S  44          1992</t>
        </is>
      </c>
      <c r="D902" t="inlineStr">
        <is>
          <t>Rediscovery of creation : a bibliographical study of the church's response to the environmental crisis / by Joseph K. Sheldon ; foreword by Anthony Campolo.</t>
        </is>
      </c>
      <c r="F902" t="inlineStr">
        <is>
          <t>No</t>
        </is>
      </c>
      <c r="G902" t="inlineStr">
        <is>
          <t>1</t>
        </is>
      </c>
      <c r="H902" t="inlineStr">
        <is>
          <t>No</t>
        </is>
      </c>
      <c r="I902" t="inlineStr">
        <is>
          <t>No</t>
        </is>
      </c>
      <c r="J902" t="inlineStr">
        <is>
          <t>0</t>
        </is>
      </c>
      <c r="K902" t="inlineStr">
        <is>
          <t>Sheldon, Joseph Kenneth, 1943-</t>
        </is>
      </c>
      <c r="L902" t="inlineStr">
        <is>
          <t>Metuchen, N.J. : American Theological Library Association : Scarecrow Press, 1992.</t>
        </is>
      </c>
      <c r="M902" t="inlineStr">
        <is>
          <t>1992</t>
        </is>
      </c>
      <c r="O902" t="inlineStr">
        <is>
          <t>eng</t>
        </is>
      </c>
      <c r="P902" t="inlineStr">
        <is>
          <t>nju</t>
        </is>
      </c>
      <c r="Q902" t="inlineStr">
        <is>
          <t>ATLA bibliography series ; no. 29</t>
        </is>
      </c>
      <c r="R902" t="inlineStr">
        <is>
          <t xml:space="preserve">BT </t>
        </is>
      </c>
      <c r="S902" t="n">
        <v>6</v>
      </c>
      <c r="T902" t="n">
        <v>6</v>
      </c>
      <c r="U902" t="inlineStr">
        <is>
          <t>2005-09-27</t>
        </is>
      </c>
      <c r="V902" t="inlineStr">
        <is>
          <t>2005-09-27</t>
        </is>
      </c>
      <c r="W902" t="inlineStr">
        <is>
          <t>1992-12-08</t>
        </is>
      </c>
      <c r="X902" t="inlineStr">
        <is>
          <t>1992-12-08</t>
        </is>
      </c>
      <c r="Y902" t="n">
        <v>291</v>
      </c>
      <c r="Z902" t="n">
        <v>235</v>
      </c>
      <c r="AA902" t="n">
        <v>242</v>
      </c>
      <c r="AB902" t="n">
        <v>2</v>
      </c>
      <c r="AC902" t="n">
        <v>2</v>
      </c>
      <c r="AD902" t="n">
        <v>18</v>
      </c>
      <c r="AE902" t="n">
        <v>18</v>
      </c>
      <c r="AF902" t="n">
        <v>6</v>
      </c>
      <c r="AG902" t="n">
        <v>6</v>
      </c>
      <c r="AH902" t="n">
        <v>5</v>
      </c>
      <c r="AI902" t="n">
        <v>5</v>
      </c>
      <c r="AJ902" t="n">
        <v>11</v>
      </c>
      <c r="AK902" t="n">
        <v>11</v>
      </c>
      <c r="AL902" t="n">
        <v>1</v>
      </c>
      <c r="AM902" t="n">
        <v>1</v>
      </c>
      <c r="AN902" t="n">
        <v>0</v>
      </c>
      <c r="AO902" t="n">
        <v>0</v>
      </c>
      <c r="AP902" t="inlineStr">
        <is>
          <t>No</t>
        </is>
      </c>
      <c r="AQ902" t="inlineStr">
        <is>
          <t>Yes</t>
        </is>
      </c>
      <c r="AR902">
        <f>HYPERLINK("http://catalog.hathitrust.org/Record/003091237","HathiTrust Record")</f>
        <v/>
      </c>
      <c r="AS902">
        <f>HYPERLINK("https://creighton-primo.hosted.exlibrisgroup.com/primo-explore/search?tab=default_tab&amp;search_scope=EVERYTHING&amp;vid=01CRU&amp;lang=en_US&amp;offset=0&amp;query=any,contains,991001988099702656","Catalog Record")</f>
        <v/>
      </c>
      <c r="AT902">
        <f>HYPERLINK("http://www.worldcat.org/oclc/25247268","WorldCat Record")</f>
        <v/>
      </c>
      <c r="AU902" t="inlineStr">
        <is>
          <t>28409005:eng</t>
        </is>
      </c>
      <c r="AV902" t="inlineStr">
        <is>
          <t>25247268</t>
        </is>
      </c>
      <c r="AW902" t="inlineStr">
        <is>
          <t>991001988099702656</t>
        </is>
      </c>
      <c r="AX902" t="inlineStr">
        <is>
          <t>991001988099702656</t>
        </is>
      </c>
      <c r="AY902" t="inlineStr">
        <is>
          <t>2255750880002656</t>
        </is>
      </c>
      <c r="AZ902" t="inlineStr">
        <is>
          <t>BOOK</t>
        </is>
      </c>
      <c r="BB902" t="inlineStr">
        <is>
          <t>9780810825390</t>
        </is>
      </c>
      <c r="BC902" t="inlineStr">
        <is>
          <t>32285001401461</t>
        </is>
      </c>
      <c r="BD902" t="inlineStr">
        <is>
          <t>893226314</t>
        </is>
      </c>
    </row>
    <row r="903">
      <c r="A903" t="inlineStr">
        <is>
          <t>No</t>
        </is>
      </c>
      <c r="B903" t="inlineStr">
        <is>
          <t>BT695.5 .S68 1988</t>
        </is>
      </c>
      <c r="C903" t="inlineStr">
        <is>
          <t>0                      BT 0695500S  68          1988</t>
        </is>
      </c>
      <c r="D903" t="inlineStr">
        <is>
          <t>St. Francis of Assisi and nature : tradition and innovation in Western Christian attitudes toward the environment / by Roger D. Sorrell.</t>
        </is>
      </c>
      <c r="F903" t="inlineStr">
        <is>
          <t>No</t>
        </is>
      </c>
      <c r="G903" t="inlineStr">
        <is>
          <t>1</t>
        </is>
      </c>
      <c r="H903" t="inlineStr">
        <is>
          <t>No</t>
        </is>
      </c>
      <c r="I903" t="inlineStr">
        <is>
          <t>No</t>
        </is>
      </c>
      <c r="J903" t="inlineStr">
        <is>
          <t>0</t>
        </is>
      </c>
      <c r="K903" t="inlineStr">
        <is>
          <t>Sorrell, Roger D. (Roger Darrell), 1954-</t>
        </is>
      </c>
      <c r="L903" t="inlineStr">
        <is>
          <t>New York : Oxford University Press, c1988.</t>
        </is>
      </c>
      <c r="M903" t="inlineStr">
        <is>
          <t>1988</t>
        </is>
      </c>
      <c r="O903" t="inlineStr">
        <is>
          <t>eng</t>
        </is>
      </c>
      <c r="P903" t="inlineStr">
        <is>
          <t>nyu</t>
        </is>
      </c>
      <c r="R903" t="inlineStr">
        <is>
          <t xml:space="preserve">BT </t>
        </is>
      </c>
      <c r="S903" t="n">
        <v>19</v>
      </c>
      <c r="T903" t="n">
        <v>19</v>
      </c>
      <c r="U903" t="inlineStr">
        <is>
          <t>2009-11-02</t>
        </is>
      </c>
      <c r="V903" t="inlineStr">
        <is>
          <t>2009-11-02</t>
        </is>
      </c>
      <c r="W903" t="inlineStr">
        <is>
          <t>1991-09-19</t>
        </is>
      </c>
      <c r="X903" t="inlineStr">
        <is>
          <t>1991-09-19</t>
        </is>
      </c>
      <c r="Y903" t="n">
        <v>679</v>
      </c>
      <c r="Z903" t="n">
        <v>547</v>
      </c>
      <c r="AA903" t="n">
        <v>867</v>
      </c>
      <c r="AB903" t="n">
        <v>4</v>
      </c>
      <c r="AC903" t="n">
        <v>7</v>
      </c>
      <c r="AD903" t="n">
        <v>32</v>
      </c>
      <c r="AE903" t="n">
        <v>35</v>
      </c>
      <c r="AF903" t="n">
        <v>10</v>
      </c>
      <c r="AG903" t="n">
        <v>10</v>
      </c>
      <c r="AH903" t="n">
        <v>10</v>
      </c>
      <c r="AI903" t="n">
        <v>10</v>
      </c>
      <c r="AJ903" t="n">
        <v>20</v>
      </c>
      <c r="AK903" t="n">
        <v>20</v>
      </c>
      <c r="AL903" t="n">
        <v>3</v>
      </c>
      <c r="AM903" t="n">
        <v>6</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HYPERLINK("https://creighton-primo.hosted.exlibrisgroup.com/primo-explore/search?tab=default_tab&amp;search_scope=EVERYTHING&amp;vid=01CRU&amp;lang=en_US&amp;offset=0&amp;query=any,contains,991000636949702656","Catalog Record")</f>
        <v/>
      </c>
      <c r="AT903">
        <f>HYPERLINK("http://www.worldcat.org/oclc/12081997","WorldCat Record")</f>
        <v/>
      </c>
      <c r="AU903" t="inlineStr">
        <is>
          <t>799357092:eng</t>
        </is>
      </c>
      <c r="AV903" t="inlineStr">
        <is>
          <t>12081997</t>
        </is>
      </c>
      <c r="AW903" t="inlineStr">
        <is>
          <t>991000636949702656</t>
        </is>
      </c>
      <c r="AX903" t="inlineStr">
        <is>
          <t>991000636949702656</t>
        </is>
      </c>
      <c r="AY903" t="inlineStr">
        <is>
          <t>2266286240002656</t>
        </is>
      </c>
      <c r="AZ903" t="inlineStr">
        <is>
          <t>BOOK</t>
        </is>
      </c>
      <c r="BB903" t="inlineStr">
        <is>
          <t>9780195053227</t>
        </is>
      </c>
      <c r="BC903" t="inlineStr">
        <is>
          <t>32285000748359</t>
        </is>
      </c>
      <c r="BD903" t="inlineStr">
        <is>
          <t>893878223</t>
        </is>
      </c>
    </row>
    <row r="904">
      <c r="A904" t="inlineStr">
        <is>
          <t>No</t>
        </is>
      </c>
      <c r="B904" t="inlineStr">
        <is>
          <t>BT695.5 C374 1990</t>
        </is>
      </c>
      <c r="C904" t="inlineStr">
        <is>
          <t>0                      BT 0695500C  374         1990</t>
        </is>
      </c>
      <c r="D904" t="inlineStr">
        <is>
          <t>The ecological crisis : a common responsibility : message / of His Holiness Pope John Paul II for the celebration of the World Day of Peace, 1 January 1990.</t>
        </is>
      </c>
      <c r="F904" t="inlineStr">
        <is>
          <t>No</t>
        </is>
      </c>
      <c r="G904" t="inlineStr">
        <is>
          <t>1</t>
        </is>
      </c>
      <c r="H904" t="inlineStr">
        <is>
          <t>No</t>
        </is>
      </c>
      <c r="I904" t="inlineStr">
        <is>
          <t>No</t>
        </is>
      </c>
      <c r="J904" t="inlineStr">
        <is>
          <t>0</t>
        </is>
      </c>
      <c r="K904" t="inlineStr">
        <is>
          <t>Catholic Church. Pope (1978-2005 : John Paul II).</t>
        </is>
      </c>
      <c r="L904" t="inlineStr">
        <is>
          <t>Vatican City ; Washington, D.C. : United States Catholic Conference, [1990?].</t>
        </is>
      </c>
      <c r="M904" t="inlineStr">
        <is>
          <t>1990</t>
        </is>
      </c>
      <c r="O904" t="inlineStr">
        <is>
          <t>eng</t>
        </is>
      </c>
      <c r="P904" t="inlineStr">
        <is>
          <t xml:space="preserve">vc </t>
        </is>
      </c>
      <c r="Q904" t="inlineStr">
        <is>
          <t>Publication / Office for Publishing and Promotion Services, United States Catholic Conference ; no. 332-9</t>
        </is>
      </c>
      <c r="R904" t="inlineStr">
        <is>
          <t xml:space="preserve">BT </t>
        </is>
      </c>
      <c r="S904" t="n">
        <v>18</v>
      </c>
      <c r="T904" t="n">
        <v>18</v>
      </c>
      <c r="U904" t="inlineStr">
        <is>
          <t>2008-04-16</t>
        </is>
      </c>
      <c r="V904" t="inlineStr">
        <is>
          <t>2008-04-16</t>
        </is>
      </c>
      <c r="W904" t="inlineStr">
        <is>
          <t>1990-05-17</t>
        </is>
      </c>
      <c r="X904" t="inlineStr">
        <is>
          <t>1990-05-17</t>
        </is>
      </c>
      <c r="Y904" t="n">
        <v>87</v>
      </c>
      <c r="Z904" t="n">
        <v>84</v>
      </c>
      <c r="AA904" t="n">
        <v>85</v>
      </c>
      <c r="AB904" t="n">
        <v>1</v>
      </c>
      <c r="AC904" t="n">
        <v>1</v>
      </c>
      <c r="AD904" t="n">
        <v>14</v>
      </c>
      <c r="AE904" t="n">
        <v>14</v>
      </c>
      <c r="AF904" t="n">
        <v>3</v>
      </c>
      <c r="AG904" t="n">
        <v>3</v>
      </c>
      <c r="AH904" t="n">
        <v>5</v>
      </c>
      <c r="AI904" t="n">
        <v>5</v>
      </c>
      <c r="AJ904" t="n">
        <v>12</v>
      </c>
      <c r="AK904" t="n">
        <v>12</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HYPERLINK("https://creighton-primo.hosted.exlibrisgroup.com/primo-explore/search?tab=default_tab&amp;search_scope=EVERYTHING&amp;vid=01CRU&amp;lang=en_US&amp;offset=0&amp;query=any,contains,991001670219702656","Catalog Record")</f>
        <v/>
      </c>
      <c r="AT904">
        <f>HYPERLINK("http://www.worldcat.org/oclc/21272130","WorldCat Record")</f>
        <v/>
      </c>
      <c r="AU904" t="inlineStr">
        <is>
          <t>502091151:eng</t>
        </is>
      </c>
      <c r="AV904" t="inlineStr">
        <is>
          <t>21272130</t>
        </is>
      </c>
      <c r="AW904" t="inlineStr">
        <is>
          <t>991001670219702656</t>
        </is>
      </c>
      <c r="AX904" t="inlineStr">
        <is>
          <t>991001670219702656</t>
        </is>
      </c>
      <c r="AY904" t="inlineStr">
        <is>
          <t>2259719020002656</t>
        </is>
      </c>
      <c r="AZ904" t="inlineStr">
        <is>
          <t>BOOK</t>
        </is>
      </c>
      <c r="BB904" t="inlineStr">
        <is>
          <t>9781555863326</t>
        </is>
      </c>
      <c r="BC904" t="inlineStr">
        <is>
          <t>32285000022359</t>
        </is>
      </c>
      <c r="BD904" t="inlineStr">
        <is>
          <t>893690771</t>
        </is>
      </c>
    </row>
    <row r="905">
      <c r="A905" t="inlineStr">
        <is>
          <t>No</t>
        </is>
      </c>
      <c r="B905" t="inlineStr">
        <is>
          <t>BT696 .M33 1989</t>
        </is>
      </c>
      <c r="C905" t="inlineStr">
        <is>
          <t>0                      BT 0696000M  33          1989</t>
        </is>
      </c>
      <c r="D905" t="inlineStr">
        <is>
          <t>Of God and pelicans : a theology of reverence for life / Jay B. McDaniel.</t>
        </is>
      </c>
      <c r="F905" t="inlineStr">
        <is>
          <t>No</t>
        </is>
      </c>
      <c r="G905" t="inlineStr">
        <is>
          <t>1</t>
        </is>
      </c>
      <c r="H905" t="inlineStr">
        <is>
          <t>No</t>
        </is>
      </c>
      <c r="I905" t="inlineStr">
        <is>
          <t>No</t>
        </is>
      </c>
      <c r="J905" t="inlineStr">
        <is>
          <t>0</t>
        </is>
      </c>
      <c r="K905" t="inlineStr">
        <is>
          <t>McDaniel, Jay B. (Jay Byrd), 1949-</t>
        </is>
      </c>
      <c r="L905" t="inlineStr">
        <is>
          <t>Louisville, Ky. : Westminster/John Knox Press, c1989.</t>
        </is>
      </c>
      <c r="M905" t="inlineStr">
        <is>
          <t>1989</t>
        </is>
      </c>
      <c r="N905" t="inlineStr">
        <is>
          <t>1st ed.</t>
        </is>
      </c>
      <c r="O905" t="inlineStr">
        <is>
          <t>eng</t>
        </is>
      </c>
      <c r="P905" t="inlineStr">
        <is>
          <t>kyu</t>
        </is>
      </c>
      <c r="R905" t="inlineStr">
        <is>
          <t xml:space="preserve">BT </t>
        </is>
      </c>
      <c r="S905" t="n">
        <v>5</v>
      </c>
      <c r="T905" t="n">
        <v>5</v>
      </c>
      <c r="U905" t="inlineStr">
        <is>
          <t>1994-11-03</t>
        </is>
      </c>
      <c r="V905" t="inlineStr">
        <is>
          <t>1994-11-03</t>
        </is>
      </c>
      <c r="W905" t="inlineStr">
        <is>
          <t>1991-04-03</t>
        </is>
      </c>
      <c r="X905" t="inlineStr">
        <is>
          <t>1991-04-03</t>
        </is>
      </c>
      <c r="Y905" t="n">
        <v>360</v>
      </c>
      <c r="Z905" t="n">
        <v>310</v>
      </c>
      <c r="AA905" t="n">
        <v>317</v>
      </c>
      <c r="AB905" t="n">
        <v>3</v>
      </c>
      <c r="AC905" t="n">
        <v>3</v>
      </c>
      <c r="AD905" t="n">
        <v>25</v>
      </c>
      <c r="AE905" t="n">
        <v>25</v>
      </c>
      <c r="AF905" t="n">
        <v>11</v>
      </c>
      <c r="AG905" t="n">
        <v>11</v>
      </c>
      <c r="AH905" t="n">
        <v>5</v>
      </c>
      <c r="AI905" t="n">
        <v>5</v>
      </c>
      <c r="AJ905" t="n">
        <v>15</v>
      </c>
      <c r="AK905" t="n">
        <v>15</v>
      </c>
      <c r="AL905" t="n">
        <v>1</v>
      </c>
      <c r="AM905" t="n">
        <v>1</v>
      </c>
      <c r="AN905" t="n">
        <v>0</v>
      </c>
      <c r="AO905" t="n">
        <v>0</v>
      </c>
      <c r="AP905" t="inlineStr">
        <is>
          <t>No</t>
        </is>
      </c>
      <c r="AQ905" t="inlineStr">
        <is>
          <t>Yes</t>
        </is>
      </c>
      <c r="AR905">
        <f>HYPERLINK("http://catalog.hathitrust.org/Record/009492032","HathiTrust Record")</f>
        <v/>
      </c>
      <c r="AS905">
        <f>HYPERLINK("https://creighton-primo.hosted.exlibrisgroup.com/primo-explore/search?tab=default_tab&amp;search_scope=EVERYTHING&amp;vid=01CRU&amp;lang=en_US&amp;offset=0&amp;query=any,contains,991001467269702656","Catalog Record")</f>
        <v/>
      </c>
      <c r="AT905">
        <f>HYPERLINK("http://www.worldcat.org/oclc/19514501","WorldCat Record")</f>
        <v/>
      </c>
      <c r="AU905" t="inlineStr">
        <is>
          <t>1053730214:eng</t>
        </is>
      </c>
      <c r="AV905" t="inlineStr">
        <is>
          <t>19514501</t>
        </is>
      </c>
      <c r="AW905" t="inlineStr">
        <is>
          <t>991001467269702656</t>
        </is>
      </c>
      <c r="AX905" t="inlineStr">
        <is>
          <t>991001467269702656</t>
        </is>
      </c>
      <c r="AY905" t="inlineStr">
        <is>
          <t>2259733900002656</t>
        </is>
      </c>
      <c r="AZ905" t="inlineStr">
        <is>
          <t>BOOK</t>
        </is>
      </c>
      <c r="BB905" t="inlineStr">
        <is>
          <t>9780664250768</t>
        </is>
      </c>
      <c r="BC905" t="inlineStr">
        <is>
          <t>32285000514785</t>
        </is>
      </c>
      <c r="BD905" t="inlineStr">
        <is>
          <t>893778823</t>
        </is>
      </c>
    </row>
    <row r="906">
      <c r="A906" t="inlineStr">
        <is>
          <t>No</t>
        </is>
      </c>
      <c r="B906" t="inlineStr">
        <is>
          <t>BT70 .B6413 1996</t>
        </is>
      </c>
      <c r="C906" t="inlineStr">
        <is>
          <t>0                      BT 0070000B  6413        1996</t>
        </is>
      </c>
      <c r="D906" t="inlineStr">
        <is>
          <t>St. Bonaventure's on the reduction of the arts to theology / translation with introduction and commentary prepared by Zachary Hayes.</t>
        </is>
      </c>
      <c r="F906" t="inlineStr">
        <is>
          <t>No</t>
        </is>
      </c>
      <c r="G906" t="inlineStr">
        <is>
          <t>1</t>
        </is>
      </c>
      <c r="H906" t="inlineStr">
        <is>
          <t>No</t>
        </is>
      </c>
      <c r="I906" t="inlineStr">
        <is>
          <t>No</t>
        </is>
      </c>
      <c r="J906" t="inlineStr">
        <is>
          <t>0</t>
        </is>
      </c>
      <c r="K906" t="inlineStr">
        <is>
          <t>Bonaventure, Saint, Cardinal, approximately 1217-1274.</t>
        </is>
      </c>
      <c r="L906" t="inlineStr">
        <is>
          <t>St. Bonaventure, N.Y. : Franciscan Institute, St. Bonaventure University 1996.</t>
        </is>
      </c>
      <c r="M906" t="inlineStr">
        <is>
          <t>1996</t>
        </is>
      </c>
      <c r="O906" t="inlineStr">
        <is>
          <t>eng</t>
        </is>
      </c>
      <c r="P906" t="inlineStr">
        <is>
          <t>nyu</t>
        </is>
      </c>
      <c r="Q906" t="inlineStr">
        <is>
          <t>Works of Saint Bonaventure ; 1</t>
        </is>
      </c>
      <c r="R906" t="inlineStr">
        <is>
          <t xml:space="preserve">BT </t>
        </is>
      </c>
      <c r="S906" t="n">
        <v>8</v>
      </c>
      <c r="T906" t="n">
        <v>8</v>
      </c>
      <c r="U906" t="inlineStr">
        <is>
          <t>2007-10-23</t>
        </is>
      </c>
      <c r="V906" t="inlineStr">
        <is>
          <t>2007-10-23</t>
        </is>
      </c>
      <c r="W906" t="inlineStr">
        <is>
          <t>2000-11-08</t>
        </is>
      </c>
      <c r="X906" t="inlineStr">
        <is>
          <t>2000-11-08</t>
        </is>
      </c>
      <c r="Y906" t="n">
        <v>118</v>
      </c>
      <c r="Z906" t="n">
        <v>94</v>
      </c>
      <c r="AA906" t="n">
        <v>199</v>
      </c>
      <c r="AB906" t="n">
        <v>2</v>
      </c>
      <c r="AC906" t="n">
        <v>2</v>
      </c>
      <c r="AD906" t="n">
        <v>7</v>
      </c>
      <c r="AE906" t="n">
        <v>7</v>
      </c>
      <c r="AF906" t="n">
        <v>2</v>
      </c>
      <c r="AG906" t="n">
        <v>2</v>
      </c>
      <c r="AH906" t="n">
        <v>3</v>
      </c>
      <c r="AI906" t="n">
        <v>3</v>
      </c>
      <c r="AJ906" t="n">
        <v>4</v>
      </c>
      <c r="AK906" t="n">
        <v>4</v>
      </c>
      <c r="AL906" t="n">
        <v>0</v>
      </c>
      <c r="AM906" t="n">
        <v>0</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HYPERLINK("https://creighton-primo.hosted.exlibrisgroup.com/primo-explore/search?tab=default_tab&amp;search_scope=EVERYTHING&amp;vid=01CRU&amp;lang=en_US&amp;offset=0&amp;query=any,contains,991003280339702656","Catalog Record")</f>
        <v/>
      </c>
      <c r="AT906">
        <f>HYPERLINK("http://www.worldcat.org/oclc/37862424","WorldCat Record")</f>
        <v/>
      </c>
      <c r="AU906" t="inlineStr">
        <is>
          <t>2726203:eng</t>
        </is>
      </c>
      <c r="AV906" t="inlineStr">
        <is>
          <t>37862424</t>
        </is>
      </c>
      <c r="AW906" t="inlineStr">
        <is>
          <t>991003280339702656</t>
        </is>
      </c>
      <c r="AX906" t="inlineStr">
        <is>
          <t>991003280339702656</t>
        </is>
      </c>
      <c r="AY906" t="inlineStr">
        <is>
          <t>2268777710002656</t>
        </is>
      </c>
      <c r="AZ906" t="inlineStr">
        <is>
          <t>BOOK</t>
        </is>
      </c>
      <c r="BB906" t="inlineStr">
        <is>
          <t>9781576590430</t>
        </is>
      </c>
      <c r="BC906" t="inlineStr">
        <is>
          <t>32285004264213</t>
        </is>
      </c>
      <c r="BD906" t="inlineStr">
        <is>
          <t>893348509</t>
        </is>
      </c>
    </row>
    <row r="907">
      <c r="A907" t="inlineStr">
        <is>
          <t>No</t>
        </is>
      </c>
      <c r="B907" t="inlineStr">
        <is>
          <t>BT70 .S8714 v...</t>
        </is>
      </c>
      <c r="C907" t="inlineStr">
        <is>
          <t>0                      BT 0070000S  8714                                                    v...</t>
        </is>
      </c>
      <c r="D907" t="inlineStr">
        <is>
          <t>Traités théologiques et éthiques / par Syméon le nouveau théologien. Intro., texte critique, traduction et notes par Jean Darrouzès, A. A.</t>
        </is>
      </c>
      <c r="E907" t="inlineStr">
        <is>
          <t>V.2</t>
        </is>
      </c>
      <c r="F907" t="inlineStr">
        <is>
          <t>Yes</t>
        </is>
      </c>
      <c r="G907" t="inlineStr">
        <is>
          <t>1</t>
        </is>
      </c>
      <c r="H907" t="inlineStr">
        <is>
          <t>No</t>
        </is>
      </c>
      <c r="I907" t="inlineStr">
        <is>
          <t>No</t>
        </is>
      </c>
      <c r="J907" t="inlineStr">
        <is>
          <t>0</t>
        </is>
      </c>
      <c r="K907" t="inlineStr">
        <is>
          <t>Symeon, the New Theologian, Saint, 949-1022.</t>
        </is>
      </c>
      <c r="L907" t="inlineStr">
        <is>
          <t>Paris ; Éditions du Cerf, 1966-</t>
        </is>
      </c>
      <c r="M907" t="inlineStr">
        <is>
          <t>1966</t>
        </is>
      </c>
      <c r="O907" t="inlineStr">
        <is>
          <t>fre</t>
        </is>
      </c>
      <c r="P907" t="inlineStr">
        <is>
          <t>___</t>
        </is>
      </c>
      <c r="Q907" t="inlineStr">
        <is>
          <t>Sources chrétiennes ; no 122, 129</t>
        </is>
      </c>
      <c r="R907" t="inlineStr">
        <is>
          <t xml:space="preserve">BT </t>
        </is>
      </c>
      <c r="S907" t="n">
        <v>1</v>
      </c>
      <c r="T907" t="n">
        <v>3</v>
      </c>
      <c r="U907" t="inlineStr">
        <is>
          <t>2008-07-12</t>
        </is>
      </c>
      <c r="V907" t="inlineStr">
        <is>
          <t>2008-07-12</t>
        </is>
      </c>
      <c r="W907" t="inlineStr">
        <is>
          <t>1991-06-21</t>
        </is>
      </c>
      <c r="X907" t="inlineStr">
        <is>
          <t>1991-06-21</t>
        </is>
      </c>
      <c r="Y907" t="n">
        <v>217</v>
      </c>
      <c r="Z907" t="n">
        <v>147</v>
      </c>
      <c r="AA907" t="n">
        <v>152</v>
      </c>
      <c r="AB907" t="n">
        <v>2</v>
      </c>
      <c r="AC907" t="n">
        <v>2</v>
      </c>
      <c r="AD907" t="n">
        <v>17</v>
      </c>
      <c r="AE907" t="n">
        <v>17</v>
      </c>
      <c r="AF907" t="n">
        <v>4</v>
      </c>
      <c r="AG907" t="n">
        <v>4</v>
      </c>
      <c r="AH907" t="n">
        <v>3</v>
      </c>
      <c r="AI907" t="n">
        <v>3</v>
      </c>
      <c r="AJ907" t="n">
        <v>13</v>
      </c>
      <c r="AK907" t="n">
        <v>13</v>
      </c>
      <c r="AL907" t="n">
        <v>1</v>
      </c>
      <c r="AM907" t="n">
        <v>1</v>
      </c>
      <c r="AN907" t="n">
        <v>0</v>
      </c>
      <c r="AO907" t="n">
        <v>0</v>
      </c>
      <c r="AP907" t="inlineStr">
        <is>
          <t>No</t>
        </is>
      </c>
      <c r="AQ907" t="inlineStr">
        <is>
          <t>Yes</t>
        </is>
      </c>
      <c r="AR907">
        <f>HYPERLINK("http://catalog.hathitrust.org/Record/001411643","HathiTrust Record")</f>
        <v/>
      </c>
      <c r="AS907">
        <f>HYPERLINK("https://creighton-primo.hosted.exlibrisgroup.com/primo-explore/search?tab=default_tab&amp;search_scope=EVERYTHING&amp;vid=01CRU&amp;lang=en_US&amp;offset=0&amp;query=any,contains,991003667869702656","Catalog Record")</f>
        <v/>
      </c>
      <c r="AT907">
        <f>HYPERLINK("http://www.worldcat.org/oclc/10644322","WorldCat Record")</f>
        <v/>
      </c>
      <c r="AU907" t="inlineStr">
        <is>
          <t>9489866903:fre</t>
        </is>
      </c>
      <c r="AV907" t="inlineStr">
        <is>
          <t>10644322</t>
        </is>
      </c>
      <c r="AW907" t="inlineStr">
        <is>
          <t>991003667869702656</t>
        </is>
      </c>
      <c r="AX907" t="inlineStr">
        <is>
          <t>991003667869702656</t>
        </is>
      </c>
      <c r="AY907" t="inlineStr">
        <is>
          <t>2266199910002656</t>
        </is>
      </c>
      <c r="AZ907" t="inlineStr">
        <is>
          <t>BOOK</t>
        </is>
      </c>
      <c r="BC907" t="inlineStr">
        <is>
          <t>32285000687581</t>
        </is>
      </c>
      <c r="BD907" t="inlineStr">
        <is>
          <t>893605057</t>
        </is>
      </c>
    </row>
    <row r="908">
      <c r="A908" t="inlineStr">
        <is>
          <t>No</t>
        </is>
      </c>
      <c r="B908" t="inlineStr">
        <is>
          <t>BT70 .S8714 v...</t>
        </is>
      </c>
      <c r="C908" t="inlineStr">
        <is>
          <t>0                      BT 0070000S  8714                                                    v...</t>
        </is>
      </c>
      <c r="D908" t="inlineStr">
        <is>
          <t>Traités théologiques et éthiques / par Syméon le nouveau théologien. Intro., texte critique, traduction et notes par Jean Darrouzès, A. A.</t>
        </is>
      </c>
      <c r="E908" t="inlineStr">
        <is>
          <t>V.1</t>
        </is>
      </c>
      <c r="F908" t="inlineStr">
        <is>
          <t>Yes</t>
        </is>
      </c>
      <c r="G908" t="inlineStr">
        <is>
          <t>1</t>
        </is>
      </c>
      <c r="H908" t="inlineStr">
        <is>
          <t>No</t>
        </is>
      </c>
      <c r="I908" t="inlineStr">
        <is>
          <t>No</t>
        </is>
      </c>
      <c r="J908" t="inlineStr">
        <is>
          <t>0</t>
        </is>
      </c>
      <c r="K908" t="inlineStr">
        <is>
          <t>Symeon, the New Theologian, Saint, 949-1022.</t>
        </is>
      </c>
      <c r="L908" t="inlineStr">
        <is>
          <t>Paris ; Éditions du Cerf, 1966-</t>
        </is>
      </c>
      <c r="M908" t="inlineStr">
        <is>
          <t>1966</t>
        </is>
      </c>
      <c r="O908" t="inlineStr">
        <is>
          <t>fre</t>
        </is>
      </c>
      <c r="P908" t="inlineStr">
        <is>
          <t>___</t>
        </is>
      </c>
      <c r="Q908" t="inlineStr">
        <is>
          <t>Sources chrétiennes ; no 122, 129</t>
        </is>
      </c>
      <c r="R908" t="inlineStr">
        <is>
          <t xml:space="preserve">BT </t>
        </is>
      </c>
      <c r="S908" t="n">
        <v>2</v>
      </c>
      <c r="T908" t="n">
        <v>3</v>
      </c>
      <c r="U908" t="inlineStr">
        <is>
          <t>2008-07-12</t>
        </is>
      </c>
      <c r="V908" t="inlineStr">
        <is>
          <t>2008-07-12</t>
        </is>
      </c>
      <c r="W908" t="inlineStr">
        <is>
          <t>1991-06-21</t>
        </is>
      </c>
      <c r="X908" t="inlineStr">
        <is>
          <t>1991-06-21</t>
        </is>
      </c>
      <c r="Y908" t="n">
        <v>217</v>
      </c>
      <c r="Z908" t="n">
        <v>147</v>
      </c>
      <c r="AA908" t="n">
        <v>152</v>
      </c>
      <c r="AB908" t="n">
        <v>2</v>
      </c>
      <c r="AC908" t="n">
        <v>2</v>
      </c>
      <c r="AD908" t="n">
        <v>17</v>
      </c>
      <c r="AE908" t="n">
        <v>17</v>
      </c>
      <c r="AF908" t="n">
        <v>4</v>
      </c>
      <c r="AG908" t="n">
        <v>4</v>
      </c>
      <c r="AH908" t="n">
        <v>3</v>
      </c>
      <c r="AI908" t="n">
        <v>3</v>
      </c>
      <c r="AJ908" t="n">
        <v>13</v>
      </c>
      <c r="AK908" t="n">
        <v>13</v>
      </c>
      <c r="AL908" t="n">
        <v>1</v>
      </c>
      <c r="AM908" t="n">
        <v>1</v>
      </c>
      <c r="AN908" t="n">
        <v>0</v>
      </c>
      <c r="AO908" t="n">
        <v>0</v>
      </c>
      <c r="AP908" t="inlineStr">
        <is>
          <t>No</t>
        </is>
      </c>
      <c r="AQ908" t="inlineStr">
        <is>
          <t>Yes</t>
        </is>
      </c>
      <c r="AR908">
        <f>HYPERLINK("http://catalog.hathitrust.org/Record/001411643","HathiTrust Record")</f>
        <v/>
      </c>
      <c r="AS908">
        <f>HYPERLINK("https://creighton-primo.hosted.exlibrisgroup.com/primo-explore/search?tab=default_tab&amp;search_scope=EVERYTHING&amp;vid=01CRU&amp;lang=en_US&amp;offset=0&amp;query=any,contains,991003667869702656","Catalog Record")</f>
        <v/>
      </c>
      <c r="AT908">
        <f>HYPERLINK("http://www.worldcat.org/oclc/10644322","WorldCat Record")</f>
        <v/>
      </c>
      <c r="AU908" t="inlineStr">
        <is>
          <t>9489866903:fre</t>
        </is>
      </c>
      <c r="AV908" t="inlineStr">
        <is>
          <t>10644322</t>
        </is>
      </c>
      <c r="AW908" t="inlineStr">
        <is>
          <t>991003667869702656</t>
        </is>
      </c>
      <c r="AX908" t="inlineStr">
        <is>
          <t>991003667869702656</t>
        </is>
      </c>
      <c r="AY908" t="inlineStr">
        <is>
          <t>2266199910002656</t>
        </is>
      </c>
      <c r="AZ908" t="inlineStr">
        <is>
          <t>BOOK</t>
        </is>
      </c>
      <c r="BC908" t="inlineStr">
        <is>
          <t>32285000687573</t>
        </is>
      </c>
      <c r="BD908" t="inlineStr">
        <is>
          <t>893611294</t>
        </is>
      </c>
    </row>
    <row r="909">
      <c r="A909" t="inlineStr">
        <is>
          <t>No</t>
        </is>
      </c>
      <c r="B909" t="inlineStr">
        <is>
          <t>BT701 .G813</t>
        </is>
      </c>
      <c r="C909" t="inlineStr">
        <is>
          <t>0                      BT 0701000G  813</t>
        </is>
      </c>
      <c r="D909" t="inlineStr">
        <is>
          <t>The world and the person / Romano Guardini. Translated by Stella Lange.</t>
        </is>
      </c>
      <c r="F909" t="inlineStr">
        <is>
          <t>No</t>
        </is>
      </c>
      <c r="G909" t="inlineStr">
        <is>
          <t>1</t>
        </is>
      </c>
      <c r="H909" t="inlineStr">
        <is>
          <t>No</t>
        </is>
      </c>
      <c r="I909" t="inlineStr">
        <is>
          <t>No</t>
        </is>
      </c>
      <c r="J909" t="inlineStr">
        <is>
          <t>0</t>
        </is>
      </c>
      <c r="K909" t="inlineStr">
        <is>
          <t>Guardini, Romano, 1885-1968.</t>
        </is>
      </c>
      <c r="L909" t="inlineStr">
        <is>
          <t>Chicago, H. Regnery Co. [1965]</t>
        </is>
      </c>
      <c r="M909" t="inlineStr">
        <is>
          <t>1965</t>
        </is>
      </c>
      <c r="O909" t="inlineStr">
        <is>
          <t>eng</t>
        </is>
      </c>
      <c r="P909" t="inlineStr">
        <is>
          <t>ilu</t>
        </is>
      </c>
      <c r="R909" t="inlineStr">
        <is>
          <t xml:space="preserve">BT </t>
        </is>
      </c>
      <c r="S909" t="n">
        <v>0</v>
      </c>
      <c r="T909" t="n">
        <v>0</v>
      </c>
      <c r="U909" t="inlineStr">
        <is>
          <t>2009-08-26</t>
        </is>
      </c>
      <c r="V909" t="inlineStr">
        <is>
          <t>2009-08-26</t>
        </is>
      </c>
      <c r="W909" t="inlineStr">
        <is>
          <t>1991-09-19</t>
        </is>
      </c>
      <c r="X909" t="inlineStr">
        <is>
          <t>1991-09-19</t>
        </is>
      </c>
      <c r="Y909" t="n">
        <v>259</v>
      </c>
      <c r="Z909" t="n">
        <v>234</v>
      </c>
      <c r="AA909" t="n">
        <v>240</v>
      </c>
      <c r="AB909" t="n">
        <v>1</v>
      </c>
      <c r="AC909" t="n">
        <v>1</v>
      </c>
      <c r="AD909" t="n">
        <v>32</v>
      </c>
      <c r="AE909" t="n">
        <v>32</v>
      </c>
      <c r="AF909" t="n">
        <v>10</v>
      </c>
      <c r="AG909" t="n">
        <v>10</v>
      </c>
      <c r="AH909" t="n">
        <v>9</v>
      </c>
      <c r="AI909" t="n">
        <v>9</v>
      </c>
      <c r="AJ909" t="n">
        <v>25</v>
      </c>
      <c r="AK909" t="n">
        <v>25</v>
      </c>
      <c r="AL909" t="n">
        <v>0</v>
      </c>
      <c r="AM909" t="n">
        <v>0</v>
      </c>
      <c r="AN909" t="n">
        <v>0</v>
      </c>
      <c r="AO909" t="n">
        <v>0</v>
      </c>
      <c r="AP909" t="inlineStr">
        <is>
          <t>No</t>
        </is>
      </c>
      <c r="AQ909" t="inlineStr">
        <is>
          <t>No</t>
        </is>
      </c>
      <c r="AS909">
        <f>HYPERLINK("https://creighton-primo.hosted.exlibrisgroup.com/primo-explore/search?tab=default_tab&amp;search_scope=EVERYTHING&amp;vid=01CRU&amp;lang=en_US&amp;offset=0&amp;query=any,contains,991003127749702656","Catalog Record")</f>
        <v/>
      </c>
      <c r="AT909">
        <f>HYPERLINK("http://www.worldcat.org/oclc/671544","WorldCat Record")</f>
        <v/>
      </c>
      <c r="AU909" t="inlineStr">
        <is>
          <t>2908560383:eng</t>
        </is>
      </c>
      <c r="AV909" t="inlineStr">
        <is>
          <t>671544</t>
        </is>
      </c>
      <c r="AW909" t="inlineStr">
        <is>
          <t>991003127749702656</t>
        </is>
      </c>
      <c r="AX909" t="inlineStr">
        <is>
          <t>991003127749702656</t>
        </is>
      </c>
      <c r="AY909" t="inlineStr">
        <is>
          <t>2265187850002656</t>
        </is>
      </c>
      <c r="AZ909" t="inlineStr">
        <is>
          <t>BOOK</t>
        </is>
      </c>
      <c r="BC909" t="inlineStr">
        <is>
          <t>32285000748383</t>
        </is>
      </c>
      <c r="BD909" t="inlineStr">
        <is>
          <t>893686223</t>
        </is>
      </c>
    </row>
    <row r="910">
      <c r="A910" t="inlineStr">
        <is>
          <t>No</t>
        </is>
      </c>
      <c r="B910" t="inlineStr">
        <is>
          <t>BT701 .M25</t>
        </is>
      </c>
      <c r="C910" t="inlineStr">
        <is>
          <t>0                      BT 0701000M  25</t>
        </is>
      </c>
      <c r="D910" t="inlineStr">
        <is>
          <t>Man : papers read at the Summer school of Catholic studies, held at Cambridge, July 25th-August 3rd, 1931 / Edited by G. J. MacGillivray.</t>
        </is>
      </c>
      <c r="F910" t="inlineStr">
        <is>
          <t>No</t>
        </is>
      </c>
      <c r="G910" t="inlineStr">
        <is>
          <t>1</t>
        </is>
      </c>
      <c r="H910" t="inlineStr">
        <is>
          <t>No</t>
        </is>
      </c>
      <c r="I910" t="inlineStr">
        <is>
          <t>No</t>
        </is>
      </c>
      <c r="J910" t="inlineStr">
        <is>
          <t>0</t>
        </is>
      </c>
      <c r="K910" t="inlineStr">
        <is>
          <t>MacGillivray, G. J. (George John), 1876- editor.</t>
        </is>
      </c>
      <c r="L910" t="inlineStr">
        <is>
          <t>London, Sheed &amp; Ward, 1932.</t>
        </is>
      </c>
      <c r="M910" t="inlineStr">
        <is>
          <t>1932</t>
        </is>
      </c>
      <c r="O910" t="inlineStr">
        <is>
          <t>eng</t>
        </is>
      </c>
      <c r="P910" t="inlineStr">
        <is>
          <t>enk</t>
        </is>
      </c>
      <c r="R910" t="inlineStr">
        <is>
          <t xml:space="preserve">BT </t>
        </is>
      </c>
      <c r="S910" t="n">
        <v>2</v>
      </c>
      <c r="T910" t="n">
        <v>2</v>
      </c>
      <c r="U910" t="inlineStr">
        <is>
          <t>1994-10-25</t>
        </is>
      </c>
      <c r="V910" t="inlineStr">
        <is>
          <t>1994-10-25</t>
        </is>
      </c>
      <c r="W910" t="inlineStr">
        <is>
          <t>1991-09-19</t>
        </is>
      </c>
      <c r="X910" t="inlineStr">
        <is>
          <t>1991-09-19</t>
        </is>
      </c>
      <c r="Y910" t="n">
        <v>68</v>
      </c>
      <c r="Z910" t="n">
        <v>41</v>
      </c>
      <c r="AA910" t="n">
        <v>65</v>
      </c>
      <c r="AB910" t="n">
        <v>1</v>
      </c>
      <c r="AC910" t="n">
        <v>1</v>
      </c>
      <c r="AD910" t="n">
        <v>9</v>
      </c>
      <c r="AE910" t="n">
        <v>14</v>
      </c>
      <c r="AF910" t="n">
        <v>0</v>
      </c>
      <c r="AG910" t="n">
        <v>1</v>
      </c>
      <c r="AH910" t="n">
        <v>2</v>
      </c>
      <c r="AI910" t="n">
        <v>6</v>
      </c>
      <c r="AJ910" t="n">
        <v>8</v>
      </c>
      <c r="AK910" t="n">
        <v>11</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HYPERLINK("https://creighton-primo.hosted.exlibrisgroup.com/primo-explore/search?tab=default_tab&amp;search_scope=EVERYTHING&amp;vid=01CRU&amp;lang=en_US&amp;offset=0&amp;query=any,contains,991005234769702656","Catalog Record")</f>
        <v/>
      </c>
      <c r="AT910">
        <f>HYPERLINK("http://www.worldcat.org/oclc/8360642","WorldCat Record")</f>
        <v/>
      </c>
      <c r="AU910" t="inlineStr">
        <is>
          <t>25752047:eng</t>
        </is>
      </c>
      <c r="AV910" t="inlineStr">
        <is>
          <t>8360642</t>
        </is>
      </c>
      <c r="AW910" t="inlineStr">
        <is>
          <t>991005234769702656</t>
        </is>
      </c>
      <c r="AX910" t="inlineStr">
        <is>
          <t>991005234769702656</t>
        </is>
      </c>
      <c r="AY910" t="inlineStr">
        <is>
          <t>2263740210002656</t>
        </is>
      </c>
      <c r="AZ910" t="inlineStr">
        <is>
          <t>BOOK</t>
        </is>
      </c>
      <c r="BC910" t="inlineStr">
        <is>
          <t>32285000748391</t>
        </is>
      </c>
      <c r="BD910" t="inlineStr">
        <is>
          <t>893613357</t>
        </is>
      </c>
    </row>
    <row r="911">
      <c r="A911" t="inlineStr">
        <is>
          <t>No</t>
        </is>
      </c>
      <c r="B911" t="inlineStr">
        <is>
          <t>BT701 .M36</t>
        </is>
      </c>
      <c r="C911" t="inlineStr">
        <is>
          <t>0                      BT 0701000M  36</t>
        </is>
      </c>
      <c r="D911" t="inlineStr">
        <is>
          <t>The importance of being human : some aspects of the Christian doctrine of man / by E.L. Mascall.</t>
        </is>
      </c>
      <c r="F911" t="inlineStr">
        <is>
          <t>No</t>
        </is>
      </c>
      <c r="G911" t="inlineStr">
        <is>
          <t>1</t>
        </is>
      </c>
      <c r="H911" t="inlineStr">
        <is>
          <t>No</t>
        </is>
      </c>
      <c r="I911" t="inlineStr">
        <is>
          <t>No</t>
        </is>
      </c>
      <c r="J911" t="inlineStr">
        <is>
          <t>0</t>
        </is>
      </c>
      <c r="K911" t="inlineStr">
        <is>
          <t>Mascall, E. L. (Eric Lionel), 1905-1993.</t>
        </is>
      </c>
      <c r="L911" t="inlineStr">
        <is>
          <t>New York, Columbia University Press, 1958.</t>
        </is>
      </c>
      <c r="M911" t="inlineStr">
        <is>
          <t>1958</t>
        </is>
      </c>
      <c r="O911" t="inlineStr">
        <is>
          <t>eng</t>
        </is>
      </c>
      <c r="P911" t="inlineStr">
        <is>
          <t>___</t>
        </is>
      </c>
      <c r="Q911" t="inlineStr">
        <is>
          <t>Bampton lectures in America ; no. 11</t>
        </is>
      </c>
      <c r="R911" t="inlineStr">
        <is>
          <t xml:space="preserve">BT </t>
        </is>
      </c>
      <c r="S911" t="n">
        <v>1</v>
      </c>
      <c r="T911" t="n">
        <v>1</v>
      </c>
      <c r="U911" t="inlineStr">
        <is>
          <t>2006-07-23</t>
        </is>
      </c>
      <c r="V911" t="inlineStr">
        <is>
          <t>2006-07-23</t>
        </is>
      </c>
      <c r="W911" t="inlineStr">
        <is>
          <t>1991-09-19</t>
        </is>
      </c>
      <c r="X911" t="inlineStr">
        <is>
          <t>1991-09-19</t>
        </is>
      </c>
      <c r="Y911" t="n">
        <v>545</v>
      </c>
      <c r="Z911" t="n">
        <v>480</v>
      </c>
      <c r="AA911" t="n">
        <v>566</v>
      </c>
      <c r="AB911" t="n">
        <v>4</v>
      </c>
      <c r="AC911" t="n">
        <v>4</v>
      </c>
      <c r="AD911" t="n">
        <v>33</v>
      </c>
      <c r="AE911" t="n">
        <v>39</v>
      </c>
      <c r="AF911" t="n">
        <v>12</v>
      </c>
      <c r="AG911" t="n">
        <v>14</v>
      </c>
      <c r="AH911" t="n">
        <v>8</v>
      </c>
      <c r="AI911" t="n">
        <v>10</v>
      </c>
      <c r="AJ911" t="n">
        <v>19</v>
      </c>
      <c r="AK911" t="n">
        <v>22</v>
      </c>
      <c r="AL911" t="n">
        <v>2</v>
      </c>
      <c r="AM911" t="n">
        <v>2</v>
      </c>
      <c r="AN911" t="n">
        <v>0</v>
      </c>
      <c r="AO911" t="n">
        <v>0</v>
      </c>
      <c r="AP911" t="inlineStr">
        <is>
          <t>No</t>
        </is>
      </c>
      <c r="AQ911" t="inlineStr">
        <is>
          <t>Yes</t>
        </is>
      </c>
      <c r="AR911">
        <f>HYPERLINK("http://catalog.hathitrust.org/Record/001412428","HathiTrust Record")</f>
        <v/>
      </c>
      <c r="AS911">
        <f>HYPERLINK("https://creighton-primo.hosted.exlibrisgroup.com/primo-explore/search?tab=default_tab&amp;search_scope=EVERYTHING&amp;vid=01CRU&amp;lang=en_US&amp;offset=0&amp;query=any,contains,991002647359702656","Catalog Record")</f>
        <v/>
      </c>
      <c r="AT911">
        <f>HYPERLINK("http://www.worldcat.org/oclc/386138","WorldCat Record")</f>
        <v/>
      </c>
      <c r="AU911" t="inlineStr">
        <is>
          <t>433792607:eng</t>
        </is>
      </c>
      <c r="AV911" t="inlineStr">
        <is>
          <t>386138</t>
        </is>
      </c>
      <c r="AW911" t="inlineStr">
        <is>
          <t>991002647359702656</t>
        </is>
      </c>
      <c r="AX911" t="inlineStr">
        <is>
          <t>991002647359702656</t>
        </is>
      </c>
      <c r="AY911" t="inlineStr">
        <is>
          <t>2257582720002656</t>
        </is>
      </c>
      <c r="AZ911" t="inlineStr">
        <is>
          <t>BOOK</t>
        </is>
      </c>
      <c r="BC911" t="inlineStr">
        <is>
          <t>32285000748409</t>
        </is>
      </c>
      <c r="BD911" t="inlineStr">
        <is>
          <t>893257531</t>
        </is>
      </c>
    </row>
    <row r="912">
      <c r="A912" t="inlineStr">
        <is>
          <t>No</t>
        </is>
      </c>
      <c r="B912" t="inlineStr">
        <is>
          <t>BT701 .M613 1952</t>
        </is>
      </c>
      <c r="C912" t="inlineStr">
        <is>
          <t>0                      BT 0701000M  613         1952</t>
        </is>
      </c>
      <c r="D912" t="inlineStr">
        <is>
          <t>The meaning of man / by Jean Mouroux ; tr. by A.H.G. [i.e. C.] Downes.</t>
        </is>
      </c>
      <c r="F912" t="inlineStr">
        <is>
          <t>No</t>
        </is>
      </c>
      <c r="G912" t="inlineStr">
        <is>
          <t>1</t>
        </is>
      </c>
      <c r="H912" t="inlineStr">
        <is>
          <t>No</t>
        </is>
      </c>
      <c r="I912" t="inlineStr">
        <is>
          <t>Yes</t>
        </is>
      </c>
      <c r="J912" t="inlineStr">
        <is>
          <t>0</t>
        </is>
      </c>
      <c r="K912" t="inlineStr">
        <is>
          <t>Mouroux, Jean, 1901-1973.</t>
        </is>
      </c>
      <c r="L912" t="inlineStr">
        <is>
          <t>New York : Sheed &amp; Ward, 1952 [c1948]</t>
        </is>
      </c>
      <c r="M912" t="inlineStr">
        <is>
          <t>1952</t>
        </is>
      </c>
      <c r="O912" t="inlineStr">
        <is>
          <t>eng</t>
        </is>
      </c>
      <c r="P912" t="inlineStr">
        <is>
          <t>___</t>
        </is>
      </c>
      <c r="R912" t="inlineStr">
        <is>
          <t xml:space="preserve">BT </t>
        </is>
      </c>
      <c r="S912" t="n">
        <v>2</v>
      </c>
      <c r="T912" t="n">
        <v>2</v>
      </c>
      <c r="U912" t="inlineStr">
        <is>
          <t>1992-04-06</t>
        </is>
      </c>
      <c r="V912" t="inlineStr">
        <is>
          <t>1992-04-06</t>
        </is>
      </c>
      <c r="W912" t="inlineStr">
        <is>
          <t>1991-09-19</t>
        </is>
      </c>
      <c r="X912" t="inlineStr">
        <is>
          <t>1991-09-19</t>
        </is>
      </c>
      <c r="Y912" t="n">
        <v>33</v>
      </c>
      <c r="Z912" t="n">
        <v>30</v>
      </c>
      <c r="AA912" t="n">
        <v>363</v>
      </c>
      <c r="AB912" t="n">
        <v>1</v>
      </c>
      <c r="AC912" t="n">
        <v>3</v>
      </c>
      <c r="AD912" t="n">
        <v>5</v>
      </c>
      <c r="AE912" t="n">
        <v>38</v>
      </c>
      <c r="AF912" t="n">
        <v>1</v>
      </c>
      <c r="AG912" t="n">
        <v>14</v>
      </c>
      <c r="AH912" t="n">
        <v>3</v>
      </c>
      <c r="AI912" t="n">
        <v>9</v>
      </c>
      <c r="AJ912" t="n">
        <v>2</v>
      </c>
      <c r="AK912" t="n">
        <v>27</v>
      </c>
      <c r="AL912" t="n">
        <v>0</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HYPERLINK("https://creighton-primo.hosted.exlibrisgroup.com/primo-explore/search?tab=default_tab&amp;search_scope=EVERYTHING&amp;vid=01CRU&amp;lang=en_US&amp;offset=0&amp;query=any,contains,991003522059702656","Catalog Record")</f>
        <v/>
      </c>
      <c r="AT912">
        <f>HYPERLINK("http://www.worldcat.org/oclc/1084062","WorldCat Record")</f>
        <v/>
      </c>
      <c r="AU912" t="inlineStr">
        <is>
          <t>724321:eng</t>
        </is>
      </c>
      <c r="AV912" t="inlineStr">
        <is>
          <t>1084062</t>
        </is>
      </c>
      <c r="AW912" t="inlineStr">
        <is>
          <t>991003522059702656</t>
        </is>
      </c>
      <c r="AX912" t="inlineStr">
        <is>
          <t>991003522059702656</t>
        </is>
      </c>
      <c r="AY912" t="inlineStr">
        <is>
          <t>2269008650002656</t>
        </is>
      </c>
      <c r="AZ912" t="inlineStr">
        <is>
          <t>BOOK</t>
        </is>
      </c>
      <c r="BC912" t="inlineStr">
        <is>
          <t>32285000748433</t>
        </is>
      </c>
      <c r="BD912" t="inlineStr">
        <is>
          <t>893627630</t>
        </is>
      </c>
    </row>
    <row r="913">
      <c r="A913" t="inlineStr">
        <is>
          <t>No</t>
        </is>
      </c>
      <c r="B913" t="inlineStr">
        <is>
          <t>BT701 .N5214 1964</t>
        </is>
      </c>
      <c r="C913" t="inlineStr">
        <is>
          <t>0                      BT 0701000N  5214        1964</t>
        </is>
      </c>
      <c r="D913" t="inlineStr">
        <is>
          <t>The nature and destiny of man : a Christian interpretation / by Reinhold Niebuhr.</t>
        </is>
      </c>
      <c r="E913" t="inlineStr">
        <is>
          <t>V.2</t>
        </is>
      </c>
      <c r="F913" t="inlineStr">
        <is>
          <t>Yes</t>
        </is>
      </c>
      <c r="G913" t="inlineStr">
        <is>
          <t>1</t>
        </is>
      </c>
      <c r="H913" t="inlineStr">
        <is>
          <t>No</t>
        </is>
      </c>
      <c r="I913" t="inlineStr">
        <is>
          <t>No</t>
        </is>
      </c>
      <c r="J913" t="inlineStr">
        <is>
          <t>0</t>
        </is>
      </c>
      <c r="K913" t="inlineStr">
        <is>
          <t>Niebuhr, Reinhold, 1892-1971.</t>
        </is>
      </c>
      <c r="L913" t="inlineStr">
        <is>
          <t>New York, Scribner [1964]</t>
        </is>
      </c>
      <c r="M913" t="inlineStr">
        <is>
          <t>1964</t>
        </is>
      </c>
      <c r="O913" t="inlineStr">
        <is>
          <t>eng</t>
        </is>
      </c>
      <c r="P913" t="inlineStr">
        <is>
          <t>nyu</t>
        </is>
      </c>
      <c r="Q913" t="inlineStr">
        <is>
          <t>Gifford lectures</t>
        </is>
      </c>
      <c r="R913" t="inlineStr">
        <is>
          <t xml:space="preserve">BT </t>
        </is>
      </c>
      <c r="S913" t="n">
        <v>5</v>
      </c>
      <c r="T913" t="n">
        <v>13</v>
      </c>
      <c r="U913" t="inlineStr">
        <is>
          <t>2010-04-12</t>
        </is>
      </c>
      <c r="V913" t="inlineStr">
        <is>
          <t>2010-04-12</t>
        </is>
      </c>
      <c r="W913" t="inlineStr">
        <is>
          <t>1991-09-19</t>
        </is>
      </c>
      <c r="X913" t="inlineStr">
        <is>
          <t>1992-05-13</t>
        </is>
      </c>
      <c r="Y913" t="n">
        <v>515</v>
      </c>
      <c r="Z913" t="n">
        <v>453</v>
      </c>
      <c r="AA913" t="n">
        <v>1791</v>
      </c>
      <c r="AB913" t="n">
        <v>3</v>
      </c>
      <c r="AC913" t="n">
        <v>15</v>
      </c>
      <c r="AD913" t="n">
        <v>21</v>
      </c>
      <c r="AE913" t="n">
        <v>64</v>
      </c>
      <c r="AF913" t="n">
        <v>7</v>
      </c>
      <c r="AG913" t="n">
        <v>27</v>
      </c>
      <c r="AH913" t="n">
        <v>5</v>
      </c>
      <c r="AI913" t="n">
        <v>10</v>
      </c>
      <c r="AJ913" t="n">
        <v>13</v>
      </c>
      <c r="AK913" t="n">
        <v>27</v>
      </c>
      <c r="AL913" t="n">
        <v>2</v>
      </c>
      <c r="AM913" t="n">
        <v>12</v>
      </c>
      <c r="AN913" t="n">
        <v>0</v>
      </c>
      <c r="AO913" t="n">
        <v>0</v>
      </c>
      <c r="AP913" t="inlineStr">
        <is>
          <t>No</t>
        </is>
      </c>
      <c r="AQ913" t="inlineStr">
        <is>
          <t>Yes</t>
        </is>
      </c>
      <c r="AR913">
        <f>HYPERLINK("http://catalog.hathitrust.org/Record/011354839","HathiTrust Record")</f>
        <v/>
      </c>
      <c r="AS913">
        <f>HYPERLINK("https://creighton-primo.hosted.exlibrisgroup.com/primo-explore/search?tab=default_tab&amp;search_scope=EVERYTHING&amp;vid=01CRU&amp;lang=en_US&amp;offset=0&amp;query=any,contains,991003404859702656","Catalog Record")</f>
        <v/>
      </c>
      <c r="AT913">
        <f>HYPERLINK("http://www.worldcat.org/oclc/944618","WorldCat Record")</f>
        <v/>
      </c>
      <c r="AU913" t="inlineStr">
        <is>
          <t>523038:eng</t>
        </is>
      </c>
      <c r="AV913" t="inlineStr">
        <is>
          <t>944618</t>
        </is>
      </c>
      <c r="AW913" t="inlineStr">
        <is>
          <t>991003404859702656</t>
        </is>
      </c>
      <c r="AX913" t="inlineStr">
        <is>
          <t>991003404859702656</t>
        </is>
      </c>
      <c r="AY913" t="inlineStr">
        <is>
          <t>2265419090002656</t>
        </is>
      </c>
      <c r="AZ913" t="inlineStr">
        <is>
          <t>BOOK</t>
        </is>
      </c>
      <c r="BC913" t="inlineStr">
        <is>
          <t>32285000748441</t>
        </is>
      </c>
      <c r="BD913" t="inlineStr">
        <is>
          <t>893410251</t>
        </is>
      </c>
    </row>
    <row r="914">
      <c r="A914" t="inlineStr">
        <is>
          <t>No</t>
        </is>
      </c>
      <c r="B914" t="inlineStr">
        <is>
          <t>BT701 .N5214 1964</t>
        </is>
      </c>
      <c r="C914" t="inlineStr">
        <is>
          <t>0                      BT 0701000N  5214        1964</t>
        </is>
      </c>
      <c r="D914" t="inlineStr">
        <is>
          <t>The nature and destiny of man : a Christian interpretation / by Reinhold Niebuhr.</t>
        </is>
      </c>
      <c r="E914" t="inlineStr">
        <is>
          <t>V.1</t>
        </is>
      </c>
      <c r="F914" t="inlineStr">
        <is>
          <t>Yes</t>
        </is>
      </c>
      <c r="G914" t="inlineStr">
        <is>
          <t>1</t>
        </is>
      </c>
      <c r="H914" t="inlineStr">
        <is>
          <t>No</t>
        </is>
      </c>
      <c r="I914" t="inlineStr">
        <is>
          <t>No</t>
        </is>
      </c>
      <c r="J914" t="inlineStr">
        <is>
          <t>0</t>
        </is>
      </c>
      <c r="K914" t="inlineStr">
        <is>
          <t>Niebuhr, Reinhold, 1892-1971.</t>
        </is>
      </c>
      <c r="L914" t="inlineStr">
        <is>
          <t>New York, Scribner [1964]</t>
        </is>
      </c>
      <c r="M914" t="inlineStr">
        <is>
          <t>1964</t>
        </is>
      </c>
      <c r="O914" t="inlineStr">
        <is>
          <t>eng</t>
        </is>
      </c>
      <c r="P914" t="inlineStr">
        <is>
          <t>nyu</t>
        </is>
      </c>
      <c r="Q914" t="inlineStr">
        <is>
          <t>Gifford lectures</t>
        </is>
      </c>
      <c r="R914" t="inlineStr">
        <is>
          <t xml:space="preserve">BT </t>
        </is>
      </c>
      <c r="S914" t="n">
        <v>8</v>
      </c>
      <c r="T914" t="n">
        <v>13</v>
      </c>
      <c r="U914" t="inlineStr">
        <is>
          <t>2010-04-12</t>
        </is>
      </c>
      <c r="V914" t="inlineStr">
        <is>
          <t>2010-04-12</t>
        </is>
      </c>
      <c r="W914" t="inlineStr">
        <is>
          <t>1992-05-13</t>
        </is>
      </c>
      <c r="X914" t="inlineStr">
        <is>
          <t>1992-05-13</t>
        </is>
      </c>
      <c r="Y914" t="n">
        <v>515</v>
      </c>
      <c r="Z914" t="n">
        <v>453</v>
      </c>
      <c r="AA914" t="n">
        <v>1791</v>
      </c>
      <c r="AB914" t="n">
        <v>3</v>
      </c>
      <c r="AC914" t="n">
        <v>15</v>
      </c>
      <c r="AD914" t="n">
        <v>21</v>
      </c>
      <c r="AE914" t="n">
        <v>64</v>
      </c>
      <c r="AF914" t="n">
        <v>7</v>
      </c>
      <c r="AG914" t="n">
        <v>27</v>
      </c>
      <c r="AH914" t="n">
        <v>5</v>
      </c>
      <c r="AI914" t="n">
        <v>10</v>
      </c>
      <c r="AJ914" t="n">
        <v>13</v>
      </c>
      <c r="AK914" t="n">
        <v>27</v>
      </c>
      <c r="AL914" t="n">
        <v>2</v>
      </c>
      <c r="AM914" t="n">
        <v>12</v>
      </c>
      <c r="AN914" t="n">
        <v>0</v>
      </c>
      <c r="AO914" t="n">
        <v>0</v>
      </c>
      <c r="AP914" t="inlineStr">
        <is>
          <t>No</t>
        </is>
      </c>
      <c r="AQ914" t="inlineStr">
        <is>
          <t>Yes</t>
        </is>
      </c>
      <c r="AR914">
        <f>HYPERLINK("http://catalog.hathitrust.org/Record/011354839","HathiTrust Record")</f>
        <v/>
      </c>
      <c r="AS914">
        <f>HYPERLINK("https://creighton-primo.hosted.exlibrisgroup.com/primo-explore/search?tab=default_tab&amp;search_scope=EVERYTHING&amp;vid=01CRU&amp;lang=en_US&amp;offset=0&amp;query=any,contains,991003404859702656","Catalog Record")</f>
        <v/>
      </c>
      <c r="AT914">
        <f>HYPERLINK("http://www.worldcat.org/oclc/944618","WorldCat Record")</f>
        <v/>
      </c>
      <c r="AU914" t="inlineStr">
        <is>
          <t>523038:eng</t>
        </is>
      </c>
      <c r="AV914" t="inlineStr">
        <is>
          <t>944618</t>
        </is>
      </c>
      <c r="AW914" t="inlineStr">
        <is>
          <t>991003404859702656</t>
        </is>
      </c>
      <c r="AX914" t="inlineStr">
        <is>
          <t>991003404859702656</t>
        </is>
      </c>
      <c r="AY914" t="inlineStr">
        <is>
          <t>2265419090002656</t>
        </is>
      </c>
      <c r="AZ914" t="inlineStr">
        <is>
          <t>BOOK</t>
        </is>
      </c>
      <c r="BC914" t="inlineStr">
        <is>
          <t>32285001109874</t>
        </is>
      </c>
      <c r="BD914" t="inlineStr">
        <is>
          <t>893416345</t>
        </is>
      </c>
    </row>
    <row r="915">
      <c r="A915" t="inlineStr">
        <is>
          <t>No</t>
        </is>
      </c>
      <c r="B915" t="inlineStr">
        <is>
          <t>BT701 .N53</t>
        </is>
      </c>
      <c r="C915" t="inlineStr">
        <is>
          <t>0                      BT 0701000N  53</t>
        </is>
      </c>
      <c r="D915" t="inlineStr">
        <is>
          <t>The self and the dramas of history / Reinhold Niebuhr.</t>
        </is>
      </c>
      <c r="F915" t="inlineStr">
        <is>
          <t>No</t>
        </is>
      </c>
      <c r="G915" t="inlineStr">
        <is>
          <t>1</t>
        </is>
      </c>
      <c r="H915" t="inlineStr">
        <is>
          <t>No</t>
        </is>
      </c>
      <c r="I915" t="inlineStr">
        <is>
          <t>No</t>
        </is>
      </c>
      <c r="J915" t="inlineStr">
        <is>
          <t>0</t>
        </is>
      </c>
      <c r="K915" t="inlineStr">
        <is>
          <t>Niebuhr, Reinhold, 1892-1971.</t>
        </is>
      </c>
      <c r="L915" t="inlineStr">
        <is>
          <t>New York, Scribner, 1955.</t>
        </is>
      </c>
      <c r="M915" t="inlineStr">
        <is>
          <t>1955</t>
        </is>
      </c>
      <c r="O915" t="inlineStr">
        <is>
          <t>eng</t>
        </is>
      </c>
      <c r="P915" t="inlineStr">
        <is>
          <t>nyu</t>
        </is>
      </c>
      <c r="R915" t="inlineStr">
        <is>
          <t xml:space="preserve">BT </t>
        </is>
      </c>
      <c r="S915" t="n">
        <v>3</v>
      </c>
      <c r="T915" t="n">
        <v>3</v>
      </c>
      <c r="U915" t="inlineStr">
        <is>
          <t>1997-10-06</t>
        </is>
      </c>
      <c r="V915" t="inlineStr">
        <is>
          <t>1997-10-06</t>
        </is>
      </c>
      <c r="W915" t="inlineStr">
        <is>
          <t>1991-09-19</t>
        </is>
      </c>
      <c r="X915" t="inlineStr">
        <is>
          <t>1991-09-19</t>
        </is>
      </c>
      <c r="Y915" t="n">
        <v>969</v>
      </c>
      <c r="Z915" t="n">
        <v>881</v>
      </c>
      <c r="AA915" t="n">
        <v>926</v>
      </c>
      <c r="AB915" t="n">
        <v>10</v>
      </c>
      <c r="AC915" t="n">
        <v>10</v>
      </c>
      <c r="AD915" t="n">
        <v>36</v>
      </c>
      <c r="AE915" t="n">
        <v>39</v>
      </c>
      <c r="AF915" t="n">
        <v>12</v>
      </c>
      <c r="AG915" t="n">
        <v>14</v>
      </c>
      <c r="AH915" t="n">
        <v>7</v>
      </c>
      <c r="AI915" t="n">
        <v>7</v>
      </c>
      <c r="AJ915" t="n">
        <v>14</v>
      </c>
      <c r="AK915" t="n">
        <v>17</v>
      </c>
      <c r="AL915" t="n">
        <v>8</v>
      </c>
      <c r="AM915" t="n">
        <v>8</v>
      </c>
      <c r="AN915" t="n">
        <v>1</v>
      </c>
      <c r="AO915" t="n">
        <v>1</v>
      </c>
      <c r="AP915" t="inlineStr">
        <is>
          <t>No</t>
        </is>
      </c>
      <c r="AQ915" t="inlineStr">
        <is>
          <t>Yes</t>
        </is>
      </c>
      <c r="AR915">
        <f>HYPERLINK("http://catalog.hathitrust.org/Record/001412430","HathiTrust Record")</f>
        <v/>
      </c>
      <c r="AS915">
        <f>HYPERLINK("https://creighton-primo.hosted.exlibrisgroup.com/primo-explore/search?tab=default_tab&amp;search_scope=EVERYTHING&amp;vid=01CRU&amp;lang=en_US&amp;offset=0&amp;query=any,contains,991002121169702656","Catalog Record")</f>
        <v/>
      </c>
      <c r="AT915">
        <f>HYPERLINK("http://www.worldcat.org/oclc/41462958","WorldCat Record")</f>
        <v/>
      </c>
      <c r="AU915" t="inlineStr">
        <is>
          <t>523069:eng</t>
        </is>
      </c>
      <c r="AV915" t="inlineStr">
        <is>
          <t>41462958</t>
        </is>
      </c>
      <c r="AW915" t="inlineStr">
        <is>
          <t>991002121169702656</t>
        </is>
      </c>
      <c r="AX915" t="inlineStr">
        <is>
          <t>991002121169702656</t>
        </is>
      </c>
      <c r="AY915" t="inlineStr">
        <is>
          <t>2270452540002656</t>
        </is>
      </c>
      <c r="AZ915" t="inlineStr">
        <is>
          <t>BOOK</t>
        </is>
      </c>
      <c r="BC915" t="inlineStr">
        <is>
          <t>32285000748458</t>
        </is>
      </c>
      <c r="BD915" t="inlineStr">
        <is>
          <t>893809313</t>
        </is>
      </c>
    </row>
    <row r="916">
      <c r="A916" t="inlineStr">
        <is>
          <t>No</t>
        </is>
      </c>
      <c r="B916" t="inlineStr">
        <is>
          <t>BT701 .R6 1926</t>
        </is>
      </c>
      <c r="C916" t="inlineStr">
        <is>
          <t>0                      BT 0701000R  6           1926</t>
        </is>
      </c>
      <c r="D916" t="inlineStr">
        <is>
          <t>The Christian doctrine of man / by H. Wheeler Robinson.</t>
        </is>
      </c>
      <c r="F916" t="inlineStr">
        <is>
          <t>No</t>
        </is>
      </c>
      <c r="G916" t="inlineStr">
        <is>
          <t>1</t>
        </is>
      </c>
      <c r="H916" t="inlineStr">
        <is>
          <t>No</t>
        </is>
      </c>
      <c r="I916" t="inlineStr">
        <is>
          <t>No</t>
        </is>
      </c>
      <c r="J916" t="inlineStr">
        <is>
          <t>0</t>
        </is>
      </c>
      <c r="K916" t="inlineStr">
        <is>
          <t>Robinson, H. Wheeler (Henry Wheeler), 1872-1945.</t>
        </is>
      </c>
      <c r="L916" t="inlineStr">
        <is>
          <t>Edinburgh : T. &amp; T. Clark [1926]</t>
        </is>
      </c>
      <c r="M916" t="inlineStr">
        <is>
          <t>1926</t>
        </is>
      </c>
      <c r="N916" t="inlineStr">
        <is>
          <t>3d ed.</t>
        </is>
      </c>
      <c r="O916" t="inlineStr">
        <is>
          <t>eng</t>
        </is>
      </c>
      <c r="P916" t="inlineStr">
        <is>
          <t>___</t>
        </is>
      </c>
      <c r="R916" t="inlineStr">
        <is>
          <t xml:space="preserve">BT </t>
        </is>
      </c>
      <c r="S916" t="n">
        <v>2</v>
      </c>
      <c r="T916" t="n">
        <v>2</v>
      </c>
      <c r="U916" t="inlineStr">
        <is>
          <t>2006-10-18</t>
        </is>
      </c>
      <c r="V916" t="inlineStr">
        <is>
          <t>2006-10-18</t>
        </is>
      </c>
      <c r="W916" t="inlineStr">
        <is>
          <t>1991-09-19</t>
        </is>
      </c>
      <c r="X916" t="inlineStr">
        <is>
          <t>1991-09-19</t>
        </is>
      </c>
      <c r="Y916" t="n">
        <v>171</v>
      </c>
      <c r="Z916" t="n">
        <v>136</v>
      </c>
      <c r="AA916" t="n">
        <v>332</v>
      </c>
      <c r="AB916" t="n">
        <v>1</v>
      </c>
      <c r="AC916" t="n">
        <v>3</v>
      </c>
      <c r="AD916" t="n">
        <v>7</v>
      </c>
      <c r="AE916" t="n">
        <v>16</v>
      </c>
      <c r="AF916" t="n">
        <v>3</v>
      </c>
      <c r="AG916" t="n">
        <v>9</v>
      </c>
      <c r="AH916" t="n">
        <v>2</v>
      </c>
      <c r="AI916" t="n">
        <v>2</v>
      </c>
      <c r="AJ916" t="n">
        <v>3</v>
      </c>
      <c r="AK916" t="n">
        <v>5</v>
      </c>
      <c r="AL916" t="n">
        <v>0</v>
      </c>
      <c r="AM916" t="n">
        <v>2</v>
      </c>
      <c r="AN916" t="n">
        <v>0</v>
      </c>
      <c r="AO916" t="n">
        <v>0</v>
      </c>
      <c r="AP916" t="inlineStr">
        <is>
          <t>No</t>
        </is>
      </c>
      <c r="AQ916" t="inlineStr">
        <is>
          <t>Yes</t>
        </is>
      </c>
      <c r="AR916">
        <f>HYPERLINK("http://catalog.hathitrust.org/Record/102069949","HathiTrust Record")</f>
        <v/>
      </c>
      <c r="AS916">
        <f>HYPERLINK("https://creighton-primo.hosted.exlibrisgroup.com/primo-explore/search?tab=default_tab&amp;search_scope=EVERYTHING&amp;vid=01CRU&amp;lang=en_US&amp;offset=0&amp;query=any,contains,991001372169702656","Catalog Record")</f>
        <v/>
      </c>
      <c r="AT916">
        <f>HYPERLINK("http://www.worldcat.org/oclc/223965","WorldCat Record")</f>
        <v/>
      </c>
      <c r="AU916" t="inlineStr">
        <is>
          <t>711502:eng</t>
        </is>
      </c>
      <c r="AV916" t="inlineStr">
        <is>
          <t>223965</t>
        </is>
      </c>
      <c r="AW916" t="inlineStr">
        <is>
          <t>991001372169702656</t>
        </is>
      </c>
      <c r="AX916" t="inlineStr">
        <is>
          <t>991001372169702656</t>
        </is>
      </c>
      <c r="AY916" t="inlineStr">
        <is>
          <t>2264062300002656</t>
        </is>
      </c>
      <c r="AZ916" t="inlineStr">
        <is>
          <t>BOOK</t>
        </is>
      </c>
      <c r="BC916" t="inlineStr">
        <is>
          <t>32285000748466</t>
        </is>
      </c>
      <c r="BD916" t="inlineStr">
        <is>
          <t>893497029</t>
        </is>
      </c>
    </row>
    <row r="917">
      <c r="A917" t="inlineStr">
        <is>
          <t>No</t>
        </is>
      </c>
      <c r="B917" t="inlineStr">
        <is>
          <t>BT701.2 .A49 1982</t>
        </is>
      </c>
      <c r="C917" t="inlineStr">
        <is>
          <t>0                      BT 0701200A  49          1982</t>
        </is>
      </c>
      <c r="D917" t="inlineStr">
        <is>
          <t>Human nature in the Christian tradition / William O. Amy, James B. Recob.</t>
        </is>
      </c>
      <c r="F917" t="inlineStr">
        <is>
          <t>No</t>
        </is>
      </c>
      <c r="G917" t="inlineStr">
        <is>
          <t>1</t>
        </is>
      </c>
      <c r="H917" t="inlineStr">
        <is>
          <t>No</t>
        </is>
      </c>
      <c r="I917" t="inlineStr">
        <is>
          <t>No</t>
        </is>
      </c>
      <c r="J917" t="inlineStr">
        <is>
          <t>0</t>
        </is>
      </c>
      <c r="K917" t="inlineStr">
        <is>
          <t>Amy, William O.</t>
        </is>
      </c>
      <c r="L917" t="inlineStr">
        <is>
          <t>Washington, D.C. : University Press of America, c1982.</t>
        </is>
      </c>
      <c r="M917" t="inlineStr">
        <is>
          <t>1982</t>
        </is>
      </c>
      <c r="O917" t="inlineStr">
        <is>
          <t>eng</t>
        </is>
      </c>
      <c r="P917" t="inlineStr">
        <is>
          <t>dcu</t>
        </is>
      </c>
      <c r="R917" t="inlineStr">
        <is>
          <t xml:space="preserve">BT </t>
        </is>
      </c>
      <c r="S917" t="n">
        <v>4</v>
      </c>
      <c r="T917" t="n">
        <v>4</v>
      </c>
      <c r="U917" t="inlineStr">
        <is>
          <t>2005-10-04</t>
        </is>
      </c>
      <c r="V917" t="inlineStr">
        <is>
          <t>2005-10-04</t>
        </is>
      </c>
      <c r="W917" t="inlineStr">
        <is>
          <t>1990-08-02</t>
        </is>
      </c>
      <c r="X917" t="inlineStr">
        <is>
          <t>1990-08-02</t>
        </is>
      </c>
      <c r="Y917" t="n">
        <v>181</v>
      </c>
      <c r="Z917" t="n">
        <v>158</v>
      </c>
      <c r="AA917" t="n">
        <v>158</v>
      </c>
      <c r="AB917" t="n">
        <v>3</v>
      </c>
      <c r="AC917" t="n">
        <v>3</v>
      </c>
      <c r="AD917" t="n">
        <v>12</v>
      </c>
      <c r="AE917" t="n">
        <v>12</v>
      </c>
      <c r="AF917" t="n">
        <v>2</v>
      </c>
      <c r="AG917" t="n">
        <v>2</v>
      </c>
      <c r="AH917" t="n">
        <v>4</v>
      </c>
      <c r="AI917" t="n">
        <v>4</v>
      </c>
      <c r="AJ917" t="n">
        <v>9</v>
      </c>
      <c r="AK917" t="n">
        <v>9</v>
      </c>
      <c r="AL917" t="n">
        <v>2</v>
      </c>
      <c r="AM917" t="n">
        <v>2</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HYPERLINK("https://creighton-primo.hosted.exlibrisgroup.com/primo-explore/search?tab=default_tab&amp;search_scope=EVERYTHING&amp;vid=01CRU&amp;lang=en_US&amp;offset=0&amp;query=any,contains,991005246949702656","Catalog Record")</f>
        <v/>
      </c>
      <c r="AT917">
        <f>HYPERLINK("http://www.worldcat.org/oclc/8473828","WorldCat Record")</f>
        <v/>
      </c>
      <c r="AU917" t="inlineStr">
        <is>
          <t>483627:eng</t>
        </is>
      </c>
      <c r="AV917" t="inlineStr">
        <is>
          <t>8473828</t>
        </is>
      </c>
      <c r="AW917" t="inlineStr">
        <is>
          <t>991005246949702656</t>
        </is>
      </c>
      <c r="AX917" t="inlineStr">
        <is>
          <t>991005246949702656</t>
        </is>
      </c>
      <c r="AY917" t="inlineStr">
        <is>
          <t>2259317020002656</t>
        </is>
      </c>
      <c r="AZ917" t="inlineStr">
        <is>
          <t>BOOK</t>
        </is>
      </c>
      <c r="BB917" t="inlineStr">
        <is>
          <t>9780819125125</t>
        </is>
      </c>
      <c r="BC917" t="inlineStr">
        <is>
          <t>32285000263185</t>
        </is>
      </c>
      <c r="BD917" t="inlineStr">
        <is>
          <t>893263703</t>
        </is>
      </c>
    </row>
    <row r="918">
      <c r="A918" t="inlineStr">
        <is>
          <t>No</t>
        </is>
      </c>
      <c r="B918" t="inlineStr">
        <is>
          <t>BT701.2 .B59713</t>
        </is>
      </c>
      <c r="C918" t="inlineStr">
        <is>
          <t>0                      BT 0701200B  59713</t>
        </is>
      </c>
      <c r="D918" t="inlineStr">
        <is>
          <t>Hidden God / translated by Erika Young.</t>
        </is>
      </c>
      <c r="F918" t="inlineStr">
        <is>
          <t>No</t>
        </is>
      </c>
      <c r="G918" t="inlineStr">
        <is>
          <t>1</t>
        </is>
      </c>
      <c r="H918" t="inlineStr">
        <is>
          <t>No</t>
        </is>
      </c>
      <c r="I918" t="inlineStr">
        <is>
          <t>No</t>
        </is>
      </c>
      <c r="J918" t="inlineStr">
        <is>
          <t>0</t>
        </is>
      </c>
      <c r="K918" t="inlineStr">
        <is>
          <t>Boros, Ladislaus, 1927-1981.</t>
        </is>
      </c>
      <c r="L918" t="inlineStr">
        <is>
          <t>New York : Seabury Press, [1973]</t>
        </is>
      </c>
      <c r="M918" t="inlineStr">
        <is>
          <t>1973</t>
        </is>
      </c>
      <c r="O918" t="inlineStr">
        <is>
          <t>eng</t>
        </is>
      </c>
      <c r="P918" t="inlineStr">
        <is>
          <t>nyu</t>
        </is>
      </c>
      <c r="Q918" t="inlineStr">
        <is>
          <t>A Continuum book</t>
        </is>
      </c>
      <c r="R918" t="inlineStr">
        <is>
          <t xml:space="preserve">BT </t>
        </is>
      </c>
      <c r="S918" t="n">
        <v>3</v>
      </c>
      <c r="T918" t="n">
        <v>3</v>
      </c>
      <c r="U918" t="inlineStr">
        <is>
          <t>1996-01-23</t>
        </is>
      </c>
      <c r="V918" t="inlineStr">
        <is>
          <t>1996-01-23</t>
        </is>
      </c>
      <c r="W918" t="inlineStr">
        <is>
          <t>1991-09-19</t>
        </is>
      </c>
      <c r="X918" t="inlineStr">
        <is>
          <t>1991-09-19</t>
        </is>
      </c>
      <c r="Y918" t="n">
        <v>247</v>
      </c>
      <c r="Z918" t="n">
        <v>220</v>
      </c>
      <c r="AA918" t="n">
        <v>238</v>
      </c>
      <c r="AB918" t="n">
        <v>2</v>
      </c>
      <c r="AC918" t="n">
        <v>2</v>
      </c>
      <c r="AD918" t="n">
        <v>27</v>
      </c>
      <c r="AE918" t="n">
        <v>27</v>
      </c>
      <c r="AF918" t="n">
        <v>7</v>
      </c>
      <c r="AG918" t="n">
        <v>7</v>
      </c>
      <c r="AH918" t="n">
        <v>8</v>
      </c>
      <c r="AI918" t="n">
        <v>8</v>
      </c>
      <c r="AJ918" t="n">
        <v>22</v>
      </c>
      <c r="AK918" t="n">
        <v>22</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HYPERLINK("https://creighton-primo.hosted.exlibrisgroup.com/primo-explore/search?tab=default_tab&amp;search_scope=EVERYTHING&amp;vid=01CRU&amp;lang=en_US&amp;offset=0&amp;query=any,contains,991003219549702656","Catalog Record")</f>
        <v/>
      </c>
      <c r="AT918">
        <f>HYPERLINK("http://www.worldcat.org/oclc/745690","WorldCat Record")</f>
        <v/>
      </c>
      <c r="AU918" t="inlineStr">
        <is>
          <t>58208302:eng</t>
        </is>
      </c>
      <c r="AV918" t="inlineStr">
        <is>
          <t>745690</t>
        </is>
      </c>
      <c r="AW918" t="inlineStr">
        <is>
          <t>991003219549702656</t>
        </is>
      </c>
      <c r="AX918" t="inlineStr">
        <is>
          <t>991003219549702656</t>
        </is>
      </c>
      <c r="AY918" t="inlineStr">
        <is>
          <t>2268819160002656</t>
        </is>
      </c>
      <c r="AZ918" t="inlineStr">
        <is>
          <t>BOOK</t>
        </is>
      </c>
      <c r="BB918" t="inlineStr">
        <is>
          <t>9780816410422</t>
        </is>
      </c>
      <c r="BC918" t="inlineStr">
        <is>
          <t>32285000748490</t>
        </is>
      </c>
      <c r="BD918" t="inlineStr">
        <is>
          <t>893336256</t>
        </is>
      </c>
    </row>
    <row r="919">
      <c r="A919" t="inlineStr">
        <is>
          <t>No</t>
        </is>
      </c>
      <c r="B919" t="inlineStr">
        <is>
          <t>BT701.2 .C2955 1988</t>
        </is>
      </c>
      <c r="C919" t="inlineStr">
        <is>
          <t>0                      BT 0701200C  2955        1988</t>
        </is>
      </c>
      <c r="D919" t="inlineStr">
        <is>
          <t>A search for wisdom and spirit : Thomas Merton's theology of the self / Anne E. Carr.</t>
        </is>
      </c>
      <c r="F919" t="inlineStr">
        <is>
          <t>No</t>
        </is>
      </c>
      <c r="G919" t="inlineStr">
        <is>
          <t>1</t>
        </is>
      </c>
      <c r="H919" t="inlineStr">
        <is>
          <t>No</t>
        </is>
      </c>
      <c r="I919" t="inlineStr">
        <is>
          <t>No</t>
        </is>
      </c>
      <c r="J919" t="inlineStr">
        <is>
          <t>0</t>
        </is>
      </c>
      <c r="K919" t="inlineStr">
        <is>
          <t>Carr, Anne E., 1934-2008.</t>
        </is>
      </c>
      <c r="L919" t="inlineStr">
        <is>
          <t>Notre Dame, Ind. : University of Notre Dame Press, c1988.</t>
        </is>
      </c>
      <c r="M919" t="inlineStr">
        <is>
          <t>1987</t>
        </is>
      </c>
      <c r="O919" t="inlineStr">
        <is>
          <t>eng</t>
        </is>
      </c>
      <c r="P919" t="inlineStr">
        <is>
          <t>inu</t>
        </is>
      </c>
      <c r="R919" t="inlineStr">
        <is>
          <t xml:space="preserve">BT </t>
        </is>
      </c>
      <c r="S919" t="n">
        <v>2</v>
      </c>
      <c r="T919" t="n">
        <v>2</v>
      </c>
      <c r="U919" t="inlineStr">
        <is>
          <t>1998-01-26</t>
        </is>
      </c>
      <c r="V919" t="inlineStr">
        <is>
          <t>1998-01-26</t>
        </is>
      </c>
      <c r="W919" t="inlineStr">
        <is>
          <t>1990-07-23</t>
        </is>
      </c>
      <c r="X919" t="inlineStr">
        <is>
          <t>1990-07-23</t>
        </is>
      </c>
      <c r="Y919" t="n">
        <v>584</v>
      </c>
      <c r="Z919" t="n">
        <v>522</v>
      </c>
      <c r="AA919" t="n">
        <v>827</v>
      </c>
      <c r="AB919" t="n">
        <v>3</v>
      </c>
      <c r="AC919" t="n">
        <v>4</v>
      </c>
      <c r="AD919" t="n">
        <v>37</v>
      </c>
      <c r="AE919" t="n">
        <v>39</v>
      </c>
      <c r="AF919" t="n">
        <v>13</v>
      </c>
      <c r="AG919" t="n">
        <v>14</v>
      </c>
      <c r="AH919" t="n">
        <v>8</v>
      </c>
      <c r="AI919" t="n">
        <v>8</v>
      </c>
      <c r="AJ919" t="n">
        <v>25</v>
      </c>
      <c r="AK919" t="n">
        <v>25</v>
      </c>
      <c r="AL919" t="n">
        <v>2</v>
      </c>
      <c r="AM919" t="n">
        <v>3</v>
      </c>
      <c r="AN919" t="n">
        <v>0</v>
      </c>
      <c r="AO919" t="n">
        <v>0</v>
      </c>
      <c r="AP919" t="inlineStr">
        <is>
          <t>No</t>
        </is>
      </c>
      <c r="AQ919" t="inlineStr">
        <is>
          <t>Yes</t>
        </is>
      </c>
      <c r="AR919">
        <f>HYPERLINK("http://catalog.hathitrust.org/Record/000844163","HathiTrust Record")</f>
        <v/>
      </c>
      <c r="AS919">
        <f>HYPERLINK("https://creighton-primo.hosted.exlibrisgroup.com/primo-explore/search?tab=default_tab&amp;search_scope=EVERYTHING&amp;vid=01CRU&amp;lang=en_US&amp;offset=0&amp;query=any,contains,991001130839702656","Catalog Record")</f>
        <v/>
      </c>
      <c r="AT919">
        <f>HYPERLINK("http://www.worldcat.org/oclc/16682869","WorldCat Record")</f>
        <v/>
      </c>
      <c r="AU919" t="inlineStr">
        <is>
          <t>346096435:eng</t>
        </is>
      </c>
      <c r="AV919" t="inlineStr">
        <is>
          <t>16682869</t>
        </is>
      </c>
      <c r="AW919" t="inlineStr">
        <is>
          <t>991001130839702656</t>
        </is>
      </c>
      <c r="AX919" t="inlineStr">
        <is>
          <t>991001130839702656</t>
        </is>
      </c>
      <c r="AY919" t="inlineStr">
        <is>
          <t>2272259200002656</t>
        </is>
      </c>
      <c r="AZ919" t="inlineStr">
        <is>
          <t>BOOK</t>
        </is>
      </c>
      <c r="BB919" t="inlineStr">
        <is>
          <t>9780268017279</t>
        </is>
      </c>
      <c r="BC919" t="inlineStr">
        <is>
          <t>32285000247238</t>
        </is>
      </c>
      <c r="BD919" t="inlineStr">
        <is>
          <t>893413979</t>
        </is>
      </c>
    </row>
    <row r="920">
      <c r="A920" t="inlineStr">
        <is>
          <t>No</t>
        </is>
      </c>
      <c r="B920" t="inlineStr">
        <is>
          <t>BT701.2 .C35 1990</t>
        </is>
      </c>
      <c r="C920" t="inlineStr">
        <is>
          <t>0                      BT 0701200C  35          1990</t>
        </is>
      </c>
      <c r="D920" t="inlineStr">
        <is>
          <t>Sister earth : ecology and the spirit / Helder Camara.</t>
        </is>
      </c>
      <c r="F920" t="inlineStr">
        <is>
          <t>No</t>
        </is>
      </c>
      <c r="G920" t="inlineStr">
        <is>
          <t>1</t>
        </is>
      </c>
      <c r="H920" t="inlineStr">
        <is>
          <t>No</t>
        </is>
      </c>
      <c r="I920" t="inlineStr">
        <is>
          <t>No</t>
        </is>
      </c>
      <c r="J920" t="inlineStr">
        <is>
          <t>0</t>
        </is>
      </c>
      <c r="K920" t="inlineStr">
        <is>
          <t>Câmara, Hélder, 1909-1999.</t>
        </is>
      </c>
      <c r="L920" t="inlineStr">
        <is>
          <t>London : New City, 1990.</t>
        </is>
      </c>
      <c r="M920" t="inlineStr">
        <is>
          <t>1990</t>
        </is>
      </c>
      <c r="O920" t="inlineStr">
        <is>
          <t>eng</t>
        </is>
      </c>
      <c r="P920" t="inlineStr">
        <is>
          <t>enk</t>
        </is>
      </c>
      <c r="R920" t="inlineStr">
        <is>
          <t xml:space="preserve">BT </t>
        </is>
      </c>
      <c r="S920" t="n">
        <v>3</v>
      </c>
      <c r="T920" t="n">
        <v>3</v>
      </c>
      <c r="U920" t="inlineStr">
        <is>
          <t>2000-07-15</t>
        </is>
      </c>
      <c r="V920" t="inlineStr">
        <is>
          <t>2000-07-15</t>
        </is>
      </c>
      <c r="W920" t="inlineStr">
        <is>
          <t>1991-03-14</t>
        </is>
      </c>
      <c r="X920" t="inlineStr">
        <is>
          <t>1991-03-14</t>
        </is>
      </c>
      <c r="Y920" t="n">
        <v>51</v>
      </c>
      <c r="Z920" t="n">
        <v>37</v>
      </c>
      <c r="AA920" t="n">
        <v>66</v>
      </c>
      <c r="AB920" t="n">
        <v>1</v>
      </c>
      <c r="AC920" t="n">
        <v>1</v>
      </c>
      <c r="AD920" t="n">
        <v>2</v>
      </c>
      <c r="AE920" t="n">
        <v>5</v>
      </c>
      <c r="AF920" t="n">
        <v>2</v>
      </c>
      <c r="AG920" t="n">
        <v>3</v>
      </c>
      <c r="AH920" t="n">
        <v>0</v>
      </c>
      <c r="AI920" t="n">
        <v>1</v>
      </c>
      <c r="AJ920" t="n">
        <v>1</v>
      </c>
      <c r="AK920" t="n">
        <v>3</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HYPERLINK("https://creighton-primo.hosted.exlibrisgroup.com/primo-explore/search?tab=default_tab&amp;search_scope=EVERYTHING&amp;vid=01CRU&amp;lang=en_US&amp;offset=0&amp;query=any,contains,991001673309702656","Catalog Record")</f>
        <v/>
      </c>
      <c r="AT920">
        <f>HYPERLINK("http://www.worldcat.org/oclc/21302176","WorldCat Record")</f>
        <v/>
      </c>
      <c r="AU920" t="inlineStr">
        <is>
          <t>4494963985:eng</t>
        </is>
      </c>
      <c r="AV920" t="inlineStr">
        <is>
          <t>21302176</t>
        </is>
      </c>
      <c r="AW920" t="inlineStr">
        <is>
          <t>991001673309702656</t>
        </is>
      </c>
      <c r="AX920" t="inlineStr">
        <is>
          <t>991001673309702656</t>
        </is>
      </c>
      <c r="AY920" t="inlineStr">
        <is>
          <t>2263736960002656</t>
        </is>
      </c>
      <c r="AZ920" t="inlineStr">
        <is>
          <t>BOOK</t>
        </is>
      </c>
      <c r="BB920" t="inlineStr">
        <is>
          <t>9780904287332</t>
        </is>
      </c>
      <c r="BC920" t="inlineStr">
        <is>
          <t>32285000512227</t>
        </is>
      </c>
      <c r="BD920" t="inlineStr">
        <is>
          <t>893444755</t>
        </is>
      </c>
    </row>
    <row r="921">
      <c r="A921" t="inlineStr">
        <is>
          <t>No</t>
        </is>
      </c>
      <c r="B921" t="inlineStr">
        <is>
          <t>BT701.2 .C47</t>
        </is>
      </c>
      <c r="C921" t="inlineStr">
        <is>
          <t>0                      BT 0701200C  47</t>
        </is>
      </c>
      <c r="D921" t="inlineStr">
        <is>
          <t>Christian anthropology and ethics / James M. Childs, Jr.</t>
        </is>
      </c>
      <c r="F921" t="inlineStr">
        <is>
          <t>No</t>
        </is>
      </c>
      <c r="G921" t="inlineStr">
        <is>
          <t>1</t>
        </is>
      </c>
      <c r="H921" t="inlineStr">
        <is>
          <t>No</t>
        </is>
      </c>
      <c r="I921" t="inlineStr">
        <is>
          <t>No</t>
        </is>
      </c>
      <c r="J921" t="inlineStr">
        <is>
          <t>0</t>
        </is>
      </c>
      <c r="K921" t="inlineStr">
        <is>
          <t>Childs, James M., 1939-</t>
        </is>
      </c>
      <c r="L921" t="inlineStr">
        <is>
          <t>Philadelphia : Fortress Press, c1978.</t>
        </is>
      </c>
      <c r="M921" t="inlineStr">
        <is>
          <t>1978</t>
        </is>
      </c>
      <c r="O921" t="inlineStr">
        <is>
          <t>eng</t>
        </is>
      </c>
      <c r="P921" t="inlineStr">
        <is>
          <t>pau</t>
        </is>
      </c>
      <c r="R921" t="inlineStr">
        <is>
          <t xml:space="preserve">BT </t>
        </is>
      </c>
      <c r="S921" t="n">
        <v>1</v>
      </c>
      <c r="T921" t="n">
        <v>1</v>
      </c>
      <c r="U921" t="inlineStr">
        <is>
          <t>2006-02-07</t>
        </is>
      </c>
      <c r="V921" t="inlineStr">
        <is>
          <t>2006-02-07</t>
        </is>
      </c>
      <c r="W921" t="inlineStr">
        <is>
          <t>1991-09-19</t>
        </is>
      </c>
      <c r="X921" t="inlineStr">
        <is>
          <t>1991-09-19</t>
        </is>
      </c>
      <c r="Y921" t="n">
        <v>382</v>
      </c>
      <c r="Z921" t="n">
        <v>315</v>
      </c>
      <c r="AA921" t="n">
        <v>318</v>
      </c>
      <c r="AB921" t="n">
        <v>4</v>
      </c>
      <c r="AC921" t="n">
        <v>4</v>
      </c>
      <c r="AD921" t="n">
        <v>26</v>
      </c>
      <c r="AE921" t="n">
        <v>26</v>
      </c>
      <c r="AF921" t="n">
        <v>11</v>
      </c>
      <c r="AG921" t="n">
        <v>11</v>
      </c>
      <c r="AH921" t="n">
        <v>4</v>
      </c>
      <c r="AI921" t="n">
        <v>4</v>
      </c>
      <c r="AJ921" t="n">
        <v>17</v>
      </c>
      <c r="AK921" t="n">
        <v>17</v>
      </c>
      <c r="AL921" t="n">
        <v>3</v>
      </c>
      <c r="AM921" t="n">
        <v>3</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HYPERLINK("https://creighton-primo.hosted.exlibrisgroup.com/primo-explore/search?tab=default_tab&amp;search_scope=EVERYTHING&amp;vid=01CRU&amp;lang=en_US&amp;offset=0&amp;query=any,contains,991004433069702656","Catalog Record")</f>
        <v/>
      </c>
      <c r="AT921">
        <f>HYPERLINK("http://www.worldcat.org/oclc/3433006","WorldCat Record")</f>
        <v/>
      </c>
      <c r="AU921" t="inlineStr">
        <is>
          <t>10466954:eng</t>
        </is>
      </c>
      <c r="AV921" t="inlineStr">
        <is>
          <t>3433006</t>
        </is>
      </c>
      <c r="AW921" t="inlineStr">
        <is>
          <t>991004433069702656</t>
        </is>
      </c>
      <c r="AX921" t="inlineStr">
        <is>
          <t>991004433069702656</t>
        </is>
      </c>
      <c r="AY921" t="inlineStr">
        <is>
          <t>2265452010002656</t>
        </is>
      </c>
      <c r="AZ921" t="inlineStr">
        <is>
          <t>BOOK</t>
        </is>
      </c>
      <c r="BB921" t="inlineStr">
        <is>
          <t>9780800613167</t>
        </is>
      </c>
      <c r="BC921" t="inlineStr">
        <is>
          <t>32285000748516</t>
        </is>
      </c>
      <c r="BD921" t="inlineStr">
        <is>
          <t>893700240</t>
        </is>
      </c>
    </row>
    <row r="922">
      <c r="A922" t="inlineStr">
        <is>
          <t>No</t>
        </is>
      </c>
      <c r="B922" t="inlineStr">
        <is>
          <t>BT701.2 .D6 1973b</t>
        </is>
      </c>
      <c r="C922" t="inlineStr">
        <is>
          <t>0                      BT 0701200D  6           1973b</t>
        </is>
      </c>
      <c r="D922" t="inlineStr">
        <is>
          <t>The nature of man in theological and psychological perspective / edited by Simon Doniger.</t>
        </is>
      </c>
      <c r="F922" t="inlineStr">
        <is>
          <t>No</t>
        </is>
      </c>
      <c r="G922" t="inlineStr">
        <is>
          <t>1</t>
        </is>
      </c>
      <c r="H922" t="inlineStr">
        <is>
          <t>No</t>
        </is>
      </c>
      <c r="I922" t="inlineStr">
        <is>
          <t>No</t>
        </is>
      </c>
      <c r="J922" t="inlineStr">
        <is>
          <t>0</t>
        </is>
      </c>
      <c r="K922" t="inlineStr">
        <is>
          <t>Doniger, Simon, 1895-1978, editor.</t>
        </is>
      </c>
      <c r="L922" t="inlineStr">
        <is>
          <t>Freeport, N.Y., Books for Libraries Press [1973, c1962]</t>
        </is>
      </c>
      <c r="M922" t="inlineStr">
        <is>
          <t>1973</t>
        </is>
      </c>
      <c r="O922" t="inlineStr">
        <is>
          <t>eng</t>
        </is>
      </c>
      <c r="P922" t="inlineStr">
        <is>
          <t>nyu</t>
        </is>
      </c>
      <c r="Q922" t="inlineStr">
        <is>
          <t>Essay index reprint series</t>
        </is>
      </c>
      <c r="R922" t="inlineStr">
        <is>
          <t xml:space="preserve">BT </t>
        </is>
      </c>
      <c r="S922" t="n">
        <v>2</v>
      </c>
      <c r="T922" t="n">
        <v>2</v>
      </c>
      <c r="U922" t="inlineStr">
        <is>
          <t>1994-11-15</t>
        </is>
      </c>
      <c r="V922" t="inlineStr">
        <is>
          <t>1994-11-15</t>
        </is>
      </c>
      <c r="W922" t="inlineStr">
        <is>
          <t>1991-09-19</t>
        </is>
      </c>
      <c r="X922" t="inlineStr">
        <is>
          <t>1991-09-19</t>
        </is>
      </c>
      <c r="Y922" t="n">
        <v>64</v>
      </c>
      <c r="Z922" t="n">
        <v>50</v>
      </c>
      <c r="AA922" t="n">
        <v>635</v>
      </c>
      <c r="AB922" t="n">
        <v>2</v>
      </c>
      <c r="AC922" t="n">
        <v>4</v>
      </c>
      <c r="AD922" t="n">
        <v>3</v>
      </c>
      <c r="AE922" t="n">
        <v>26</v>
      </c>
      <c r="AF922" t="n">
        <v>0</v>
      </c>
      <c r="AG922" t="n">
        <v>13</v>
      </c>
      <c r="AH922" t="n">
        <v>0</v>
      </c>
      <c r="AI922" t="n">
        <v>3</v>
      </c>
      <c r="AJ922" t="n">
        <v>2</v>
      </c>
      <c r="AK922" t="n">
        <v>13</v>
      </c>
      <c r="AL922" t="n">
        <v>1</v>
      </c>
      <c r="AM922" t="n">
        <v>2</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HYPERLINK("https://creighton-primo.hosted.exlibrisgroup.com/primo-explore/search?tab=default_tab&amp;search_scope=EVERYTHING&amp;vid=01CRU&amp;lang=en_US&amp;offset=0&amp;query=any,contains,991002864849702656","Catalog Record")</f>
        <v/>
      </c>
      <c r="AT922">
        <f>HYPERLINK("http://www.worldcat.org/oclc/495213","WorldCat Record")</f>
        <v/>
      </c>
      <c r="AU922" t="inlineStr">
        <is>
          <t>133889198:eng</t>
        </is>
      </c>
      <c r="AV922" t="inlineStr">
        <is>
          <t>495213</t>
        </is>
      </c>
      <c r="AW922" t="inlineStr">
        <is>
          <t>991002864849702656</t>
        </is>
      </c>
      <c r="AX922" t="inlineStr">
        <is>
          <t>991002864849702656</t>
        </is>
      </c>
      <c r="AY922" t="inlineStr">
        <is>
          <t>2255520010002656</t>
        </is>
      </c>
      <c r="AZ922" t="inlineStr">
        <is>
          <t>BOOK</t>
        </is>
      </c>
      <c r="BB922" t="inlineStr">
        <is>
          <t>9780836972139</t>
        </is>
      </c>
      <c r="BC922" t="inlineStr">
        <is>
          <t>32285000748532</t>
        </is>
      </c>
      <c r="BD922" t="inlineStr">
        <is>
          <t>893348019</t>
        </is>
      </c>
    </row>
    <row r="923">
      <c r="A923" t="inlineStr">
        <is>
          <t>No</t>
        </is>
      </c>
      <c r="B923" t="inlineStr">
        <is>
          <t>BT701.2 .E54 1988</t>
        </is>
      </c>
      <c r="C923" t="inlineStr">
        <is>
          <t>0                      BT 0701200E  54          1988</t>
        </is>
      </c>
      <c r="D923" t="inlineStr">
        <is>
          <t>John Calvin's perspectival anthropology / Mary Potter Engel.</t>
        </is>
      </c>
      <c r="F923" t="inlineStr">
        <is>
          <t>No</t>
        </is>
      </c>
      <c r="G923" t="inlineStr">
        <is>
          <t>1</t>
        </is>
      </c>
      <c r="H923" t="inlineStr">
        <is>
          <t>No</t>
        </is>
      </c>
      <c r="I923" t="inlineStr">
        <is>
          <t>No</t>
        </is>
      </c>
      <c r="J923" t="inlineStr">
        <is>
          <t>0</t>
        </is>
      </c>
      <c r="K923" t="inlineStr">
        <is>
          <t>Engel, Mary Potter.</t>
        </is>
      </c>
      <c r="L923" t="inlineStr">
        <is>
          <t>Atlanta, Ga. : Scholars Press, c1988.</t>
        </is>
      </c>
      <c r="M923" t="inlineStr">
        <is>
          <t>1988</t>
        </is>
      </c>
      <c r="O923" t="inlineStr">
        <is>
          <t>eng</t>
        </is>
      </c>
      <c r="P923" t="inlineStr">
        <is>
          <t>gau</t>
        </is>
      </c>
      <c r="Q923" t="inlineStr">
        <is>
          <t>American Academy of Religion academy series ; no. 52</t>
        </is>
      </c>
      <c r="R923" t="inlineStr">
        <is>
          <t xml:space="preserve">BT </t>
        </is>
      </c>
      <c r="S923" t="n">
        <v>1</v>
      </c>
      <c r="T923" t="n">
        <v>1</v>
      </c>
      <c r="U923" t="inlineStr">
        <is>
          <t>1996-11-09</t>
        </is>
      </c>
      <c r="V923" t="inlineStr">
        <is>
          <t>1996-11-09</t>
        </is>
      </c>
      <c r="W923" t="inlineStr">
        <is>
          <t>1991-11-04</t>
        </is>
      </c>
      <c r="X923" t="inlineStr">
        <is>
          <t>1991-11-04</t>
        </is>
      </c>
      <c r="Y923" t="n">
        <v>248</v>
      </c>
      <c r="Z923" t="n">
        <v>184</v>
      </c>
      <c r="AA923" t="n">
        <v>191</v>
      </c>
      <c r="AB923" t="n">
        <v>1</v>
      </c>
      <c r="AC923" t="n">
        <v>1</v>
      </c>
      <c r="AD923" t="n">
        <v>10</v>
      </c>
      <c r="AE923" t="n">
        <v>10</v>
      </c>
      <c r="AF923" t="n">
        <v>2</v>
      </c>
      <c r="AG923" t="n">
        <v>2</v>
      </c>
      <c r="AH923" t="n">
        <v>3</v>
      </c>
      <c r="AI923" t="n">
        <v>3</v>
      </c>
      <c r="AJ923" t="n">
        <v>7</v>
      </c>
      <c r="AK923" t="n">
        <v>7</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HYPERLINK("https://creighton-primo.hosted.exlibrisgroup.com/primo-explore/search?tab=default_tab&amp;search_scope=EVERYTHING&amp;vid=01CRU&amp;lang=en_US&amp;offset=0&amp;query=any,contains,991001207859702656","Catalog Record")</f>
        <v/>
      </c>
      <c r="AT923">
        <f>HYPERLINK("http://www.worldcat.org/oclc/17354659","WorldCat Record")</f>
        <v/>
      </c>
      <c r="AU923" t="inlineStr">
        <is>
          <t>15467079:eng</t>
        </is>
      </c>
      <c r="AV923" t="inlineStr">
        <is>
          <t>17354659</t>
        </is>
      </c>
      <c r="AW923" t="inlineStr">
        <is>
          <t>991001207859702656</t>
        </is>
      </c>
      <c r="AX923" t="inlineStr">
        <is>
          <t>991001207859702656</t>
        </is>
      </c>
      <c r="AY923" t="inlineStr">
        <is>
          <t>2268066220002656</t>
        </is>
      </c>
      <c r="AZ923" t="inlineStr">
        <is>
          <t>BOOK</t>
        </is>
      </c>
      <c r="BB923" t="inlineStr">
        <is>
          <t>9781555402174</t>
        </is>
      </c>
      <c r="BC923" t="inlineStr">
        <is>
          <t>32285000729193</t>
        </is>
      </c>
      <c r="BD923" t="inlineStr">
        <is>
          <t>893346333</t>
        </is>
      </c>
    </row>
    <row r="924">
      <c r="A924" t="inlineStr">
        <is>
          <t>No</t>
        </is>
      </c>
      <c r="B924" t="inlineStr">
        <is>
          <t>BT701.2 .F37 1990</t>
        </is>
      </c>
      <c r="C924" t="inlineStr">
        <is>
          <t>0                      BT 0701200F  37          1990</t>
        </is>
      </c>
      <c r="D924" t="inlineStr">
        <is>
          <t>Good and evil : interpreting a human condition / Edward Farley.</t>
        </is>
      </c>
      <c r="F924" t="inlineStr">
        <is>
          <t>No</t>
        </is>
      </c>
      <c r="G924" t="inlineStr">
        <is>
          <t>1</t>
        </is>
      </c>
      <c r="H924" t="inlineStr">
        <is>
          <t>No</t>
        </is>
      </c>
      <c r="I924" t="inlineStr">
        <is>
          <t>No</t>
        </is>
      </c>
      <c r="J924" t="inlineStr">
        <is>
          <t>0</t>
        </is>
      </c>
      <c r="K924" t="inlineStr">
        <is>
          <t>Farley, Edward, 1929-2014.</t>
        </is>
      </c>
      <c r="L924" t="inlineStr">
        <is>
          <t>Minneapolis : Fortress Press, c1990.</t>
        </is>
      </c>
      <c r="M924" t="inlineStr">
        <is>
          <t>1990</t>
        </is>
      </c>
      <c r="O924" t="inlineStr">
        <is>
          <t>eng</t>
        </is>
      </c>
      <c r="P924" t="inlineStr">
        <is>
          <t>mnu</t>
        </is>
      </c>
      <c r="R924" t="inlineStr">
        <is>
          <t xml:space="preserve">BT </t>
        </is>
      </c>
      <c r="S924" t="n">
        <v>8</v>
      </c>
      <c r="T924" t="n">
        <v>8</v>
      </c>
      <c r="U924" t="inlineStr">
        <is>
          <t>2004-09-07</t>
        </is>
      </c>
      <c r="V924" t="inlineStr">
        <is>
          <t>2004-09-07</t>
        </is>
      </c>
      <c r="W924" t="inlineStr">
        <is>
          <t>1991-09-17</t>
        </is>
      </c>
      <c r="X924" t="inlineStr">
        <is>
          <t>1991-09-17</t>
        </is>
      </c>
      <c r="Y924" t="n">
        <v>423</v>
      </c>
      <c r="Z924" t="n">
        <v>349</v>
      </c>
      <c r="AA924" t="n">
        <v>349</v>
      </c>
      <c r="AB924" t="n">
        <v>2</v>
      </c>
      <c r="AC924" t="n">
        <v>2</v>
      </c>
      <c r="AD924" t="n">
        <v>28</v>
      </c>
      <c r="AE924" t="n">
        <v>28</v>
      </c>
      <c r="AF924" t="n">
        <v>12</v>
      </c>
      <c r="AG924" t="n">
        <v>12</v>
      </c>
      <c r="AH924" t="n">
        <v>7</v>
      </c>
      <c r="AI924" t="n">
        <v>7</v>
      </c>
      <c r="AJ924" t="n">
        <v>17</v>
      </c>
      <c r="AK924" t="n">
        <v>17</v>
      </c>
      <c r="AL924" t="n">
        <v>1</v>
      </c>
      <c r="AM924" t="n">
        <v>1</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HYPERLINK("https://creighton-primo.hosted.exlibrisgroup.com/primo-explore/search?tab=default_tab&amp;search_scope=EVERYTHING&amp;vid=01CRU&amp;lang=en_US&amp;offset=0&amp;query=any,contains,991001750089702656","Catalog Record")</f>
        <v/>
      </c>
      <c r="AT924">
        <f>HYPERLINK("http://www.worldcat.org/oclc/22178774","WorldCat Record")</f>
        <v/>
      </c>
      <c r="AU924" t="inlineStr">
        <is>
          <t>347538775:eng</t>
        </is>
      </c>
      <c r="AV924" t="inlineStr">
        <is>
          <t>22178774</t>
        </is>
      </c>
      <c r="AW924" t="inlineStr">
        <is>
          <t>991001750089702656</t>
        </is>
      </c>
      <c r="AX924" t="inlineStr">
        <is>
          <t>991001750089702656</t>
        </is>
      </c>
      <c r="AY924" t="inlineStr">
        <is>
          <t>2260628600002656</t>
        </is>
      </c>
      <c r="AZ924" t="inlineStr">
        <is>
          <t>BOOK</t>
        </is>
      </c>
      <c r="BB924" t="inlineStr">
        <is>
          <t>9780800624477</t>
        </is>
      </c>
      <c r="BC924" t="inlineStr">
        <is>
          <t>32285000703362</t>
        </is>
      </c>
      <c r="BD924" t="inlineStr">
        <is>
          <t>893891800</t>
        </is>
      </c>
    </row>
    <row r="925">
      <c r="A925" t="inlineStr">
        <is>
          <t>No</t>
        </is>
      </c>
      <c r="B925" t="inlineStr">
        <is>
          <t>BT701.2 .G413</t>
        </is>
      </c>
      <c r="C925" t="inlineStr">
        <is>
          <t>0                      BT 0701200G  413</t>
        </is>
      </c>
      <c r="D925" t="inlineStr">
        <is>
          <t>The concept of man in the Bible / Albert Gelin. David M. Murphy, translator.</t>
        </is>
      </c>
      <c r="F925" t="inlineStr">
        <is>
          <t>No</t>
        </is>
      </c>
      <c r="G925" t="inlineStr">
        <is>
          <t>1</t>
        </is>
      </c>
      <c r="H925" t="inlineStr">
        <is>
          <t>No</t>
        </is>
      </c>
      <c r="I925" t="inlineStr">
        <is>
          <t>No</t>
        </is>
      </c>
      <c r="J925" t="inlineStr">
        <is>
          <t>0</t>
        </is>
      </c>
      <c r="K925" t="inlineStr">
        <is>
          <t>Gelin, Albert.</t>
        </is>
      </c>
      <c r="L925" t="inlineStr">
        <is>
          <t>Staten Island, N.Y., Alba House [1968]</t>
        </is>
      </c>
      <c r="M925" t="inlineStr">
        <is>
          <t>1968</t>
        </is>
      </c>
      <c r="O925" t="inlineStr">
        <is>
          <t>eng</t>
        </is>
      </c>
      <c r="P925" t="inlineStr">
        <is>
          <t>nyu</t>
        </is>
      </c>
      <c r="R925" t="inlineStr">
        <is>
          <t xml:space="preserve">BT </t>
        </is>
      </c>
      <c r="S925" t="n">
        <v>4</v>
      </c>
      <c r="T925" t="n">
        <v>4</v>
      </c>
      <c r="U925" t="inlineStr">
        <is>
          <t>1995-06-02</t>
        </is>
      </c>
      <c r="V925" t="inlineStr">
        <is>
          <t>1995-06-02</t>
        </is>
      </c>
      <c r="W925" t="inlineStr">
        <is>
          <t>1990-08-02</t>
        </is>
      </c>
      <c r="X925" t="inlineStr">
        <is>
          <t>1990-08-02</t>
        </is>
      </c>
      <c r="Y925" t="n">
        <v>216</v>
      </c>
      <c r="Z925" t="n">
        <v>189</v>
      </c>
      <c r="AA925" t="n">
        <v>189</v>
      </c>
      <c r="AB925" t="n">
        <v>3</v>
      </c>
      <c r="AC925" t="n">
        <v>3</v>
      </c>
      <c r="AD925" t="n">
        <v>26</v>
      </c>
      <c r="AE925" t="n">
        <v>26</v>
      </c>
      <c r="AF925" t="n">
        <v>7</v>
      </c>
      <c r="AG925" t="n">
        <v>7</v>
      </c>
      <c r="AH925" t="n">
        <v>6</v>
      </c>
      <c r="AI925" t="n">
        <v>6</v>
      </c>
      <c r="AJ925" t="n">
        <v>20</v>
      </c>
      <c r="AK925" t="n">
        <v>20</v>
      </c>
      <c r="AL925" t="n">
        <v>1</v>
      </c>
      <c r="AM925" t="n">
        <v>1</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HYPERLINK("https://creighton-primo.hosted.exlibrisgroup.com/primo-explore/search?tab=default_tab&amp;search_scope=EVERYTHING&amp;vid=01CRU&amp;lang=en_US&amp;offset=0&amp;query=any,contains,991002780729702656","Catalog Record")</f>
        <v/>
      </c>
      <c r="AT925">
        <f>HYPERLINK("http://www.worldcat.org/oclc/440130","WorldCat Record")</f>
        <v/>
      </c>
      <c r="AU925" t="inlineStr">
        <is>
          <t>9381702177:eng</t>
        </is>
      </c>
      <c r="AV925" t="inlineStr">
        <is>
          <t>440130</t>
        </is>
      </c>
      <c r="AW925" t="inlineStr">
        <is>
          <t>991002780729702656</t>
        </is>
      </c>
      <c r="AX925" t="inlineStr">
        <is>
          <t>991002780729702656</t>
        </is>
      </c>
      <c r="AY925" t="inlineStr">
        <is>
          <t>2256642290002656</t>
        </is>
      </c>
      <c r="AZ925" t="inlineStr">
        <is>
          <t>BOOK</t>
        </is>
      </c>
      <c r="BC925" t="inlineStr">
        <is>
          <t>32285000263201</t>
        </is>
      </c>
      <c r="BD925" t="inlineStr">
        <is>
          <t>893409524</t>
        </is>
      </c>
    </row>
    <row r="926">
      <c r="A926" t="inlineStr">
        <is>
          <t>No</t>
        </is>
      </c>
      <c r="B926" t="inlineStr">
        <is>
          <t>BT701.2 .H55 1984</t>
        </is>
      </c>
      <c r="C926" t="inlineStr">
        <is>
          <t>0                      BT 0701200H  55          1984</t>
        </is>
      </c>
      <c r="D926" t="inlineStr">
        <is>
          <t>Being human : a biblical perspective / Edmund Hill.</t>
        </is>
      </c>
      <c r="F926" t="inlineStr">
        <is>
          <t>No</t>
        </is>
      </c>
      <c r="G926" t="inlineStr">
        <is>
          <t>1</t>
        </is>
      </c>
      <c r="H926" t="inlineStr">
        <is>
          <t>No</t>
        </is>
      </c>
      <c r="I926" t="inlineStr">
        <is>
          <t>No</t>
        </is>
      </c>
      <c r="J926" t="inlineStr">
        <is>
          <t>0</t>
        </is>
      </c>
      <c r="K926" t="inlineStr">
        <is>
          <t>Hill, Edmund.</t>
        </is>
      </c>
      <c r="L926" t="inlineStr">
        <is>
          <t>London : Chapman, c1984, 1988 printing.</t>
        </is>
      </c>
      <c r="M926" t="inlineStr">
        <is>
          <t>1984</t>
        </is>
      </c>
      <c r="O926" t="inlineStr">
        <is>
          <t>eng</t>
        </is>
      </c>
      <c r="P926" t="inlineStr">
        <is>
          <t>enk</t>
        </is>
      </c>
      <c r="Q926" t="inlineStr">
        <is>
          <t>Introducing Catholic theology ; 3</t>
        </is>
      </c>
      <c r="R926" t="inlineStr">
        <is>
          <t xml:space="preserve">BT </t>
        </is>
      </c>
      <c r="S926" t="n">
        <v>3</v>
      </c>
      <c r="T926" t="n">
        <v>3</v>
      </c>
      <c r="U926" t="inlineStr">
        <is>
          <t>2008-09-26</t>
        </is>
      </c>
      <c r="V926" t="inlineStr">
        <is>
          <t>2008-09-26</t>
        </is>
      </c>
      <c r="W926" t="inlineStr">
        <is>
          <t>1991-09-19</t>
        </is>
      </c>
      <c r="X926" t="inlineStr">
        <is>
          <t>1991-09-19</t>
        </is>
      </c>
      <c r="Y926" t="n">
        <v>195</v>
      </c>
      <c r="Z926" t="n">
        <v>99</v>
      </c>
      <c r="AA926" t="n">
        <v>100</v>
      </c>
      <c r="AB926" t="n">
        <v>1</v>
      </c>
      <c r="AC926" t="n">
        <v>1</v>
      </c>
      <c r="AD926" t="n">
        <v>11</v>
      </c>
      <c r="AE926" t="n">
        <v>11</v>
      </c>
      <c r="AF926" t="n">
        <v>3</v>
      </c>
      <c r="AG926" t="n">
        <v>3</v>
      </c>
      <c r="AH926" t="n">
        <v>2</v>
      </c>
      <c r="AI926" t="n">
        <v>2</v>
      </c>
      <c r="AJ926" t="n">
        <v>9</v>
      </c>
      <c r="AK926" t="n">
        <v>9</v>
      </c>
      <c r="AL926" t="n">
        <v>0</v>
      </c>
      <c r="AM926" t="n">
        <v>0</v>
      </c>
      <c r="AN926" t="n">
        <v>0</v>
      </c>
      <c r="AO926" t="n">
        <v>0</v>
      </c>
      <c r="AP926" t="inlineStr">
        <is>
          <t>No</t>
        </is>
      </c>
      <c r="AQ926" t="inlineStr">
        <is>
          <t>Yes</t>
        </is>
      </c>
      <c r="AR926">
        <f>HYPERLINK("http://catalog.hathitrust.org/Record/000488438","HathiTrust Record")</f>
        <v/>
      </c>
      <c r="AS926">
        <f>HYPERLINK("https://creighton-primo.hosted.exlibrisgroup.com/primo-explore/search?tab=default_tab&amp;search_scope=EVERYTHING&amp;vid=01CRU&amp;lang=en_US&amp;offset=0&amp;query=any,contains,991000485509702656","Catalog Record")</f>
        <v/>
      </c>
      <c r="AT926">
        <f>HYPERLINK("http://www.worldcat.org/oclc/11069462","WorldCat Record")</f>
        <v/>
      </c>
      <c r="AU926" t="inlineStr">
        <is>
          <t>365794482:eng</t>
        </is>
      </c>
      <c r="AV926" t="inlineStr">
        <is>
          <t>11069462</t>
        </is>
      </c>
      <c r="AW926" t="inlineStr">
        <is>
          <t>991000485509702656</t>
        </is>
      </c>
      <c r="AX926" t="inlineStr">
        <is>
          <t>991000485509702656</t>
        </is>
      </c>
      <c r="AY926" t="inlineStr">
        <is>
          <t>2260116910002656</t>
        </is>
      </c>
      <c r="AZ926" t="inlineStr">
        <is>
          <t>BOOK</t>
        </is>
      </c>
      <c r="BB926" t="inlineStr">
        <is>
          <t>9780225663587</t>
        </is>
      </c>
      <c r="BC926" t="inlineStr">
        <is>
          <t>32285000748581</t>
        </is>
      </c>
      <c r="BD926" t="inlineStr">
        <is>
          <t>893790550</t>
        </is>
      </c>
    </row>
    <row r="927">
      <c r="A927" t="inlineStr">
        <is>
          <t>No</t>
        </is>
      </c>
      <c r="B927" t="inlineStr">
        <is>
          <t>BT701.2 .H67 1986</t>
        </is>
      </c>
      <c r="C927" t="inlineStr">
        <is>
          <t>0                      BT 0701200H  67          1986</t>
        </is>
      </c>
      <c r="D927" t="inlineStr">
        <is>
          <t>Gender &amp; God : love and desire in Christian spirituality / Rachel Hosmer.</t>
        </is>
      </c>
      <c r="F927" t="inlineStr">
        <is>
          <t>No</t>
        </is>
      </c>
      <c r="G927" t="inlineStr">
        <is>
          <t>1</t>
        </is>
      </c>
      <c r="H927" t="inlineStr">
        <is>
          <t>No</t>
        </is>
      </c>
      <c r="I927" t="inlineStr">
        <is>
          <t>No</t>
        </is>
      </c>
      <c r="J927" t="inlineStr">
        <is>
          <t>0</t>
        </is>
      </c>
      <c r="K927" t="inlineStr">
        <is>
          <t>Hosmer, Rachel.</t>
        </is>
      </c>
      <c r="L927" t="inlineStr">
        <is>
          <t>[Cambridge, MA] : Cowley, c1986.</t>
        </is>
      </c>
      <c r="M927" t="inlineStr">
        <is>
          <t>1986</t>
        </is>
      </c>
      <c r="O927" t="inlineStr">
        <is>
          <t>eng</t>
        </is>
      </c>
      <c r="P927" t="inlineStr">
        <is>
          <t>enk</t>
        </is>
      </c>
      <c r="R927" t="inlineStr">
        <is>
          <t xml:space="preserve">BT </t>
        </is>
      </c>
      <c r="S927" t="n">
        <v>3</v>
      </c>
      <c r="T927" t="n">
        <v>3</v>
      </c>
      <c r="U927" t="inlineStr">
        <is>
          <t>1999-07-19</t>
        </is>
      </c>
      <c r="V927" t="inlineStr">
        <is>
          <t>1999-07-19</t>
        </is>
      </c>
      <c r="W927" t="inlineStr">
        <is>
          <t>1991-09-19</t>
        </is>
      </c>
      <c r="X927" t="inlineStr">
        <is>
          <t>1991-09-19</t>
        </is>
      </c>
      <c r="Y927" t="n">
        <v>193</v>
      </c>
      <c r="Z927" t="n">
        <v>161</v>
      </c>
      <c r="AA927" t="n">
        <v>168</v>
      </c>
      <c r="AB927" t="n">
        <v>1</v>
      </c>
      <c r="AC927" t="n">
        <v>1</v>
      </c>
      <c r="AD927" t="n">
        <v>11</v>
      </c>
      <c r="AE927" t="n">
        <v>11</v>
      </c>
      <c r="AF927" t="n">
        <v>3</v>
      </c>
      <c r="AG927" t="n">
        <v>3</v>
      </c>
      <c r="AH927" t="n">
        <v>3</v>
      </c>
      <c r="AI927" t="n">
        <v>3</v>
      </c>
      <c r="AJ927" t="n">
        <v>7</v>
      </c>
      <c r="AK927" t="n">
        <v>7</v>
      </c>
      <c r="AL927" t="n">
        <v>0</v>
      </c>
      <c r="AM927" t="n">
        <v>0</v>
      </c>
      <c r="AN927" t="n">
        <v>0</v>
      </c>
      <c r="AO927" t="n">
        <v>0</v>
      </c>
      <c r="AP927" t="inlineStr">
        <is>
          <t>No</t>
        </is>
      </c>
      <c r="AQ927" t="inlineStr">
        <is>
          <t>Yes</t>
        </is>
      </c>
      <c r="AR927">
        <f>HYPERLINK("http://catalog.hathitrust.org/Record/000817590","HathiTrust Record")</f>
        <v/>
      </c>
      <c r="AS927">
        <f>HYPERLINK("https://creighton-primo.hosted.exlibrisgroup.com/primo-explore/search?tab=default_tab&amp;search_scope=EVERYTHING&amp;vid=01CRU&amp;lang=en_US&amp;offset=0&amp;query=any,contains,991000835899702656","Catalog Record")</f>
        <v/>
      </c>
      <c r="AT927">
        <f>HYPERLINK("http://www.worldcat.org/oclc/13496961","WorldCat Record")</f>
        <v/>
      </c>
      <c r="AU927" t="inlineStr">
        <is>
          <t>7897651:eng</t>
        </is>
      </c>
      <c r="AV927" t="inlineStr">
        <is>
          <t>13496961</t>
        </is>
      </c>
      <c r="AW927" t="inlineStr">
        <is>
          <t>991000835899702656</t>
        </is>
      </c>
      <c r="AX927" t="inlineStr">
        <is>
          <t>991000835899702656</t>
        </is>
      </c>
      <c r="AY927" t="inlineStr">
        <is>
          <t>2262418290002656</t>
        </is>
      </c>
      <c r="AZ927" t="inlineStr">
        <is>
          <t>BOOK</t>
        </is>
      </c>
      <c r="BB927" t="inlineStr">
        <is>
          <t>9780936384399</t>
        </is>
      </c>
      <c r="BC927" t="inlineStr">
        <is>
          <t>32285000748615</t>
        </is>
      </c>
      <c r="BD927" t="inlineStr">
        <is>
          <t>893438643</t>
        </is>
      </c>
    </row>
    <row r="928">
      <c r="A928" t="inlineStr">
        <is>
          <t>No</t>
        </is>
      </c>
      <c r="B928" t="inlineStr">
        <is>
          <t>BT701.2 .J35 1984</t>
        </is>
      </c>
      <c r="C928" t="inlineStr">
        <is>
          <t>0                      BT 0701200J  35          1984</t>
        </is>
      </c>
      <c r="D928" t="inlineStr">
        <is>
          <t>Angels, apes, and men / Stanley L. Jaki.</t>
        </is>
      </c>
      <c r="F928" t="inlineStr">
        <is>
          <t>No</t>
        </is>
      </c>
      <c r="G928" t="inlineStr">
        <is>
          <t>1</t>
        </is>
      </c>
      <c r="H928" t="inlineStr">
        <is>
          <t>No</t>
        </is>
      </c>
      <c r="I928" t="inlineStr">
        <is>
          <t>No</t>
        </is>
      </c>
      <c r="J928" t="inlineStr">
        <is>
          <t>0</t>
        </is>
      </c>
      <c r="K928" t="inlineStr">
        <is>
          <t>Jaki, Stanley L.</t>
        </is>
      </c>
      <c r="L928" t="inlineStr">
        <is>
          <t>Peru, Ill. : S. Sugden, 1984, c1983, 1987 printing.</t>
        </is>
      </c>
      <c r="M928" t="inlineStr">
        <is>
          <t>1983</t>
        </is>
      </c>
      <c r="O928" t="inlineStr">
        <is>
          <t>eng</t>
        </is>
      </c>
      <c r="P928" t="inlineStr">
        <is>
          <t>ilu</t>
        </is>
      </c>
      <c r="R928" t="inlineStr">
        <is>
          <t xml:space="preserve">BT </t>
        </is>
      </c>
      <c r="S928" t="n">
        <v>5</v>
      </c>
      <c r="T928" t="n">
        <v>5</v>
      </c>
      <c r="U928" t="inlineStr">
        <is>
          <t>2006-01-19</t>
        </is>
      </c>
      <c r="V928" t="inlineStr">
        <is>
          <t>2006-01-19</t>
        </is>
      </c>
      <c r="W928" t="inlineStr">
        <is>
          <t>1991-07-15</t>
        </is>
      </c>
      <c r="X928" t="inlineStr">
        <is>
          <t>1991-07-15</t>
        </is>
      </c>
      <c r="Y928" t="n">
        <v>243</v>
      </c>
      <c r="Z928" t="n">
        <v>195</v>
      </c>
      <c r="AA928" t="n">
        <v>236</v>
      </c>
      <c r="AB928" t="n">
        <v>4</v>
      </c>
      <c r="AC928" t="n">
        <v>4</v>
      </c>
      <c r="AD928" t="n">
        <v>12</v>
      </c>
      <c r="AE928" t="n">
        <v>20</v>
      </c>
      <c r="AF928" t="n">
        <v>4</v>
      </c>
      <c r="AG928" t="n">
        <v>6</v>
      </c>
      <c r="AH928" t="n">
        <v>5</v>
      </c>
      <c r="AI928" t="n">
        <v>5</v>
      </c>
      <c r="AJ928" t="n">
        <v>5</v>
      </c>
      <c r="AK928" t="n">
        <v>12</v>
      </c>
      <c r="AL928" t="n">
        <v>1</v>
      </c>
      <c r="AM928" t="n">
        <v>1</v>
      </c>
      <c r="AN928" t="n">
        <v>0</v>
      </c>
      <c r="AO928" t="n">
        <v>0</v>
      </c>
      <c r="AP928" t="inlineStr">
        <is>
          <t>No</t>
        </is>
      </c>
      <c r="AQ928" t="inlineStr">
        <is>
          <t>Yes</t>
        </is>
      </c>
      <c r="AR928">
        <f>HYPERLINK("http://catalog.hathitrust.org/Record/002202415","HathiTrust Record")</f>
        <v/>
      </c>
      <c r="AS928">
        <f>HYPERLINK("https://creighton-primo.hosted.exlibrisgroup.com/primo-explore/search?tab=default_tab&amp;search_scope=EVERYTHING&amp;vid=01CRU&amp;lang=en_US&amp;offset=0&amp;query=any,contains,991000719249702656","Catalog Record")</f>
        <v/>
      </c>
      <c r="AT928">
        <f>HYPERLINK("http://www.worldcat.org/oclc/12664243","WorldCat Record")</f>
        <v/>
      </c>
      <c r="AU928" t="inlineStr">
        <is>
          <t>2866878:eng</t>
        </is>
      </c>
      <c r="AV928" t="inlineStr">
        <is>
          <t>12664243</t>
        </is>
      </c>
      <c r="AW928" t="inlineStr">
        <is>
          <t>991000719249702656</t>
        </is>
      </c>
      <c r="AX928" t="inlineStr">
        <is>
          <t>991000719249702656</t>
        </is>
      </c>
      <c r="AY928" t="inlineStr">
        <is>
          <t>2264931030002656</t>
        </is>
      </c>
      <c r="AZ928" t="inlineStr">
        <is>
          <t>BOOK</t>
        </is>
      </c>
      <c r="BB928" t="inlineStr">
        <is>
          <t>9780893850173</t>
        </is>
      </c>
      <c r="BC928" t="inlineStr">
        <is>
          <t>32285000639327</t>
        </is>
      </c>
      <c r="BD928" t="inlineStr">
        <is>
          <t>893407454</t>
        </is>
      </c>
    </row>
    <row r="929">
      <c r="A929" t="inlineStr">
        <is>
          <t>No</t>
        </is>
      </c>
      <c r="B929" t="inlineStr">
        <is>
          <t>BT701.2 .K4 1973</t>
        </is>
      </c>
      <c r="C929" t="inlineStr">
        <is>
          <t>0                      BT 0701200K  4           1973</t>
        </is>
      </c>
      <c r="D929" t="inlineStr">
        <is>
          <t>Apology for wonder / Sam Keen.</t>
        </is>
      </c>
      <c r="F929" t="inlineStr">
        <is>
          <t>No</t>
        </is>
      </c>
      <c r="G929" t="inlineStr">
        <is>
          <t>1</t>
        </is>
      </c>
      <c r="H929" t="inlineStr">
        <is>
          <t>No</t>
        </is>
      </c>
      <c r="I929" t="inlineStr">
        <is>
          <t>No</t>
        </is>
      </c>
      <c r="J929" t="inlineStr">
        <is>
          <t>0</t>
        </is>
      </c>
      <c r="K929" t="inlineStr">
        <is>
          <t>Keen, Sam.</t>
        </is>
      </c>
      <c r="L929" t="inlineStr">
        <is>
          <t>New York : Harper &amp; Row, 1973, c1969.</t>
        </is>
      </c>
      <c r="M929" t="inlineStr">
        <is>
          <t>1973</t>
        </is>
      </c>
      <c r="N929" t="inlineStr">
        <is>
          <t>1st Harper &amp; Row paperback ed.</t>
        </is>
      </c>
      <c r="O929" t="inlineStr">
        <is>
          <t>eng</t>
        </is>
      </c>
      <c r="P929" t="inlineStr">
        <is>
          <t>nyu</t>
        </is>
      </c>
      <c r="R929" t="inlineStr">
        <is>
          <t xml:space="preserve">BT </t>
        </is>
      </c>
      <c r="S929" t="n">
        <v>3</v>
      </c>
      <c r="T929" t="n">
        <v>3</v>
      </c>
      <c r="U929" t="inlineStr">
        <is>
          <t>1995-06-26</t>
        </is>
      </c>
      <c r="V929" t="inlineStr">
        <is>
          <t>1995-06-26</t>
        </is>
      </c>
      <c r="W929" t="inlineStr">
        <is>
          <t>1991-09-19</t>
        </is>
      </c>
      <c r="X929" t="inlineStr">
        <is>
          <t>1991-09-19</t>
        </is>
      </c>
      <c r="Y929" t="n">
        <v>56</v>
      </c>
      <c r="Z929" t="n">
        <v>45</v>
      </c>
      <c r="AA929" t="n">
        <v>571</v>
      </c>
      <c r="AB929" t="n">
        <v>1</v>
      </c>
      <c r="AC929" t="n">
        <v>6</v>
      </c>
      <c r="AD929" t="n">
        <v>3</v>
      </c>
      <c r="AE929" t="n">
        <v>36</v>
      </c>
      <c r="AF929" t="n">
        <v>2</v>
      </c>
      <c r="AG929" t="n">
        <v>11</v>
      </c>
      <c r="AH929" t="n">
        <v>0</v>
      </c>
      <c r="AI929" t="n">
        <v>9</v>
      </c>
      <c r="AJ929" t="n">
        <v>3</v>
      </c>
      <c r="AK929" t="n">
        <v>23</v>
      </c>
      <c r="AL929" t="n">
        <v>0</v>
      </c>
      <c r="AM929" t="n">
        <v>5</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HYPERLINK("https://creighton-primo.hosted.exlibrisgroup.com/primo-explore/search?tab=default_tab&amp;search_scope=EVERYTHING&amp;vid=01CRU&amp;lang=en_US&amp;offset=0&amp;query=any,contains,991005129729702656","Catalog Record")</f>
        <v/>
      </c>
      <c r="AT929">
        <f>HYPERLINK("http://www.worldcat.org/oclc/7562082","WorldCat Record")</f>
        <v/>
      </c>
      <c r="AU929" t="inlineStr">
        <is>
          <t>403763:eng</t>
        </is>
      </c>
      <c r="AV929" t="inlineStr">
        <is>
          <t>7562082</t>
        </is>
      </c>
      <c r="AW929" t="inlineStr">
        <is>
          <t>991005129729702656</t>
        </is>
      </c>
      <c r="AX929" t="inlineStr">
        <is>
          <t>991005129729702656</t>
        </is>
      </c>
      <c r="AY929" t="inlineStr">
        <is>
          <t>2268779160002656</t>
        </is>
      </c>
      <c r="AZ929" t="inlineStr">
        <is>
          <t>BOOK</t>
        </is>
      </c>
      <c r="BC929" t="inlineStr">
        <is>
          <t>32285000748623</t>
        </is>
      </c>
      <c r="BD929" t="inlineStr">
        <is>
          <t>893248411</t>
        </is>
      </c>
    </row>
    <row r="930">
      <c r="A930" t="inlineStr">
        <is>
          <t>No</t>
        </is>
      </c>
      <c r="B930" t="inlineStr">
        <is>
          <t>BT701.2 .L54</t>
        </is>
      </c>
      <c r="C930" t="inlineStr">
        <is>
          <t>0                      BT 0701200L  54</t>
        </is>
      </c>
      <c r="D930" t="inlineStr">
        <is>
          <t>Marx and Teilhard : two ways to the new humanity / Richard Lischer.</t>
        </is>
      </c>
      <c r="F930" t="inlineStr">
        <is>
          <t>No</t>
        </is>
      </c>
      <c r="G930" t="inlineStr">
        <is>
          <t>1</t>
        </is>
      </c>
      <c r="H930" t="inlineStr">
        <is>
          <t>No</t>
        </is>
      </c>
      <c r="I930" t="inlineStr">
        <is>
          <t>No</t>
        </is>
      </c>
      <c r="J930" t="inlineStr">
        <is>
          <t>0</t>
        </is>
      </c>
      <c r="K930" t="inlineStr">
        <is>
          <t>Lischer, Richard.</t>
        </is>
      </c>
      <c r="L930" t="inlineStr">
        <is>
          <t>Maryknoll, N.Y. : Orbis Books, c1979.</t>
        </is>
      </c>
      <c r="M930" t="inlineStr">
        <is>
          <t>1979</t>
        </is>
      </c>
      <c r="O930" t="inlineStr">
        <is>
          <t>eng</t>
        </is>
      </c>
      <c r="P930" t="inlineStr">
        <is>
          <t>nyu</t>
        </is>
      </c>
      <c r="R930" t="inlineStr">
        <is>
          <t xml:space="preserve">BT </t>
        </is>
      </c>
      <c r="S930" t="n">
        <v>3</v>
      </c>
      <c r="T930" t="n">
        <v>3</v>
      </c>
      <c r="U930" t="inlineStr">
        <is>
          <t>2009-07-16</t>
        </is>
      </c>
      <c r="V930" t="inlineStr">
        <is>
          <t>2009-07-16</t>
        </is>
      </c>
      <c r="W930" t="inlineStr">
        <is>
          <t>1990-08-02</t>
        </is>
      </c>
      <c r="X930" t="inlineStr">
        <is>
          <t>1990-08-02</t>
        </is>
      </c>
      <c r="Y930" t="n">
        <v>424</v>
      </c>
      <c r="Z930" t="n">
        <v>361</v>
      </c>
      <c r="AA930" t="n">
        <v>362</v>
      </c>
      <c r="AB930" t="n">
        <v>2</v>
      </c>
      <c r="AC930" t="n">
        <v>2</v>
      </c>
      <c r="AD930" t="n">
        <v>25</v>
      </c>
      <c r="AE930" t="n">
        <v>25</v>
      </c>
      <c r="AF930" t="n">
        <v>8</v>
      </c>
      <c r="AG930" t="n">
        <v>8</v>
      </c>
      <c r="AH930" t="n">
        <v>6</v>
      </c>
      <c r="AI930" t="n">
        <v>6</v>
      </c>
      <c r="AJ930" t="n">
        <v>16</v>
      </c>
      <c r="AK930" t="n">
        <v>16</v>
      </c>
      <c r="AL930" t="n">
        <v>1</v>
      </c>
      <c r="AM930" t="n">
        <v>1</v>
      </c>
      <c r="AN930" t="n">
        <v>0</v>
      </c>
      <c r="AO930" t="n">
        <v>0</v>
      </c>
      <c r="AP930" t="inlineStr">
        <is>
          <t>No</t>
        </is>
      </c>
      <c r="AQ930" t="inlineStr">
        <is>
          <t>Yes</t>
        </is>
      </c>
      <c r="AR930">
        <f>HYPERLINK("http://catalog.hathitrust.org/Record/007118478","HathiTrust Record")</f>
        <v/>
      </c>
      <c r="AS930">
        <f>HYPERLINK("https://creighton-primo.hosted.exlibrisgroup.com/primo-explore/search?tab=default_tab&amp;search_scope=EVERYTHING&amp;vid=01CRU&amp;lang=en_US&amp;offset=0&amp;query=any,contains,991004721339702656","Catalog Record")</f>
        <v/>
      </c>
      <c r="AT930">
        <f>HYPERLINK("http://www.worldcat.org/oclc/4804589","WorldCat Record")</f>
        <v/>
      </c>
      <c r="AU930" t="inlineStr">
        <is>
          <t>866980808:eng</t>
        </is>
      </c>
      <c r="AV930" t="inlineStr">
        <is>
          <t>4804589</t>
        </is>
      </c>
      <c r="AW930" t="inlineStr">
        <is>
          <t>991004721339702656</t>
        </is>
      </c>
      <c r="AX930" t="inlineStr">
        <is>
          <t>991004721339702656</t>
        </is>
      </c>
      <c r="AY930" t="inlineStr">
        <is>
          <t>2270347820002656</t>
        </is>
      </c>
      <c r="AZ930" t="inlineStr">
        <is>
          <t>BOOK</t>
        </is>
      </c>
      <c r="BB930" t="inlineStr">
        <is>
          <t>9780883443033</t>
        </is>
      </c>
      <c r="BC930" t="inlineStr">
        <is>
          <t>32285000263219</t>
        </is>
      </c>
      <c r="BD930" t="inlineStr">
        <is>
          <t>893507157</t>
        </is>
      </c>
    </row>
    <row r="931">
      <c r="A931" t="inlineStr">
        <is>
          <t>No</t>
        </is>
      </c>
      <c r="B931" t="inlineStr">
        <is>
          <t>BT701.2 .M275</t>
        </is>
      </c>
      <c r="C931" t="inlineStr">
        <is>
          <t>0                      BT 0701200M  275</t>
        </is>
      </c>
      <c r="D931" t="inlineStr">
        <is>
          <t>The golden chain : a study in the theological anthropology of Issac of Stella / Bernard McGinn.</t>
        </is>
      </c>
      <c r="F931" t="inlineStr">
        <is>
          <t>No</t>
        </is>
      </c>
      <c r="G931" t="inlineStr">
        <is>
          <t>1</t>
        </is>
      </c>
      <c r="H931" t="inlineStr">
        <is>
          <t>No</t>
        </is>
      </c>
      <c r="I931" t="inlineStr">
        <is>
          <t>No</t>
        </is>
      </c>
      <c r="J931" t="inlineStr">
        <is>
          <t>0</t>
        </is>
      </c>
      <c r="K931" t="inlineStr">
        <is>
          <t>McGinn, Bernard, 1937-</t>
        </is>
      </c>
      <c r="L931" t="inlineStr">
        <is>
          <t>Washington : Cistercian Publications, 1972.</t>
        </is>
      </c>
      <c r="M931" t="inlineStr">
        <is>
          <t>1972</t>
        </is>
      </c>
      <c r="O931" t="inlineStr">
        <is>
          <t>eng</t>
        </is>
      </c>
      <c r="P931" t="inlineStr">
        <is>
          <t>dcu</t>
        </is>
      </c>
      <c r="Q931" t="inlineStr">
        <is>
          <t>Cistercian studies series ; no. 15</t>
        </is>
      </c>
      <c r="R931" t="inlineStr">
        <is>
          <t xml:space="preserve">BT </t>
        </is>
      </c>
      <c r="S931" t="n">
        <v>2</v>
      </c>
      <c r="T931" t="n">
        <v>2</v>
      </c>
      <c r="U931" t="inlineStr">
        <is>
          <t>2002-02-12</t>
        </is>
      </c>
      <c r="V931" t="inlineStr">
        <is>
          <t>2002-02-12</t>
        </is>
      </c>
      <c r="W931" t="inlineStr">
        <is>
          <t>1991-09-19</t>
        </is>
      </c>
      <c r="X931" t="inlineStr">
        <is>
          <t>1991-09-19</t>
        </is>
      </c>
      <c r="Y931" t="n">
        <v>253</v>
      </c>
      <c r="Z931" t="n">
        <v>214</v>
      </c>
      <c r="AA931" t="n">
        <v>215</v>
      </c>
      <c r="AB931" t="n">
        <v>1</v>
      </c>
      <c r="AC931" t="n">
        <v>1</v>
      </c>
      <c r="AD931" t="n">
        <v>23</v>
      </c>
      <c r="AE931" t="n">
        <v>23</v>
      </c>
      <c r="AF931" t="n">
        <v>5</v>
      </c>
      <c r="AG931" t="n">
        <v>5</v>
      </c>
      <c r="AH931" t="n">
        <v>7</v>
      </c>
      <c r="AI931" t="n">
        <v>7</v>
      </c>
      <c r="AJ931" t="n">
        <v>19</v>
      </c>
      <c r="AK931" t="n">
        <v>19</v>
      </c>
      <c r="AL931" t="n">
        <v>0</v>
      </c>
      <c r="AM931" t="n">
        <v>0</v>
      </c>
      <c r="AN931" t="n">
        <v>0</v>
      </c>
      <c r="AO931" t="n">
        <v>0</v>
      </c>
      <c r="AP931" t="inlineStr">
        <is>
          <t>No</t>
        </is>
      </c>
      <c r="AQ931" t="inlineStr">
        <is>
          <t>Yes</t>
        </is>
      </c>
      <c r="AR931">
        <f>HYPERLINK("http://catalog.hathitrust.org/Record/006759686","HathiTrust Record")</f>
        <v/>
      </c>
      <c r="AS931">
        <f>HYPERLINK("https://creighton-primo.hosted.exlibrisgroup.com/primo-explore/search?tab=default_tab&amp;search_scope=EVERYTHING&amp;vid=01CRU&amp;lang=en_US&amp;offset=0&amp;query=any,contains,991003236699702656","Catalog Record")</f>
        <v/>
      </c>
      <c r="AT931">
        <f>HYPERLINK("http://www.worldcat.org/oclc/745243","WorldCat Record")</f>
        <v/>
      </c>
      <c r="AU931" t="inlineStr">
        <is>
          <t>1821132:eng</t>
        </is>
      </c>
      <c r="AV931" t="inlineStr">
        <is>
          <t>745243</t>
        </is>
      </c>
      <c r="AW931" t="inlineStr">
        <is>
          <t>991003236699702656</t>
        </is>
      </c>
      <c r="AX931" t="inlineStr">
        <is>
          <t>991003236699702656</t>
        </is>
      </c>
      <c r="AY931" t="inlineStr">
        <is>
          <t>2267842040002656</t>
        </is>
      </c>
      <c r="AZ931" t="inlineStr">
        <is>
          <t>BOOK</t>
        </is>
      </c>
      <c r="BB931" t="inlineStr">
        <is>
          <t>9780879078157</t>
        </is>
      </c>
      <c r="BC931" t="inlineStr">
        <is>
          <t>32285000748631</t>
        </is>
      </c>
      <c r="BD931" t="inlineStr">
        <is>
          <t>893518280</t>
        </is>
      </c>
    </row>
    <row r="932">
      <c r="A932" t="inlineStr">
        <is>
          <t>No</t>
        </is>
      </c>
      <c r="B932" t="inlineStr">
        <is>
          <t>BT701.2 .M4</t>
        </is>
      </c>
      <c r="C932" t="inlineStr">
        <is>
          <t>0                      BT 0701200M  4</t>
        </is>
      </c>
      <c r="D932" t="inlineStr">
        <is>
          <t>Personalities and powers : a theology of personal becoming / [by] Robert E. Meagher.</t>
        </is>
      </c>
      <c r="F932" t="inlineStr">
        <is>
          <t>No</t>
        </is>
      </c>
      <c r="G932" t="inlineStr">
        <is>
          <t>1</t>
        </is>
      </c>
      <c r="H932" t="inlineStr">
        <is>
          <t>No</t>
        </is>
      </c>
      <c r="I932" t="inlineStr">
        <is>
          <t>No</t>
        </is>
      </c>
      <c r="J932" t="inlineStr">
        <is>
          <t>0</t>
        </is>
      </c>
      <c r="K932" t="inlineStr">
        <is>
          <t>Meagher, Robert E.</t>
        </is>
      </c>
      <c r="L932" t="inlineStr">
        <is>
          <t>[New York] Herder and Herder [1968]</t>
        </is>
      </c>
      <c r="M932" t="inlineStr">
        <is>
          <t>1968</t>
        </is>
      </c>
      <c r="O932" t="inlineStr">
        <is>
          <t>eng</t>
        </is>
      </c>
      <c r="P932" t="inlineStr">
        <is>
          <t>nyu</t>
        </is>
      </c>
      <c r="R932" t="inlineStr">
        <is>
          <t xml:space="preserve">BT </t>
        </is>
      </c>
      <c r="S932" t="n">
        <v>2</v>
      </c>
      <c r="T932" t="n">
        <v>2</v>
      </c>
      <c r="U932" t="inlineStr">
        <is>
          <t>1997-04-22</t>
        </is>
      </c>
      <c r="V932" t="inlineStr">
        <is>
          <t>1997-04-22</t>
        </is>
      </c>
      <c r="W932" t="inlineStr">
        <is>
          <t>1991-09-19</t>
        </is>
      </c>
      <c r="X932" t="inlineStr">
        <is>
          <t>1991-09-19</t>
        </is>
      </c>
      <c r="Y932" t="n">
        <v>142</v>
      </c>
      <c r="Z932" t="n">
        <v>130</v>
      </c>
      <c r="AA932" t="n">
        <v>135</v>
      </c>
      <c r="AB932" t="n">
        <v>3</v>
      </c>
      <c r="AC932" t="n">
        <v>3</v>
      </c>
      <c r="AD932" t="n">
        <v>18</v>
      </c>
      <c r="AE932" t="n">
        <v>18</v>
      </c>
      <c r="AF932" t="n">
        <v>3</v>
      </c>
      <c r="AG932" t="n">
        <v>3</v>
      </c>
      <c r="AH932" t="n">
        <v>6</v>
      </c>
      <c r="AI932" t="n">
        <v>6</v>
      </c>
      <c r="AJ932" t="n">
        <v>12</v>
      </c>
      <c r="AK932" t="n">
        <v>12</v>
      </c>
      <c r="AL932" t="n">
        <v>1</v>
      </c>
      <c r="AM932" t="n">
        <v>1</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HYPERLINK("https://creighton-primo.hosted.exlibrisgroup.com/primo-explore/search?tab=default_tab&amp;search_scope=EVERYTHING&amp;vid=01CRU&amp;lang=en_US&amp;offset=0&amp;query=any,contains,991005433159702656","Catalog Record")</f>
        <v/>
      </c>
      <c r="AT932">
        <f>HYPERLINK("http://www.worldcat.org/oclc/1658","WorldCat Record")</f>
        <v/>
      </c>
      <c r="AU932" t="inlineStr">
        <is>
          <t>422149384:eng</t>
        </is>
      </c>
      <c r="AV932" t="inlineStr">
        <is>
          <t>1658</t>
        </is>
      </c>
      <c r="AW932" t="inlineStr">
        <is>
          <t>991005433159702656</t>
        </is>
      </c>
      <c r="AX932" t="inlineStr">
        <is>
          <t>991005433159702656</t>
        </is>
      </c>
      <c r="AY932" t="inlineStr">
        <is>
          <t>2271316160002656</t>
        </is>
      </c>
      <c r="AZ932" t="inlineStr">
        <is>
          <t>BOOK</t>
        </is>
      </c>
      <c r="BC932" t="inlineStr">
        <is>
          <t>32285000748649</t>
        </is>
      </c>
      <c r="BD932" t="inlineStr">
        <is>
          <t>893339093</t>
        </is>
      </c>
    </row>
    <row r="933">
      <c r="A933" t="inlineStr">
        <is>
          <t>No</t>
        </is>
      </c>
      <c r="B933" t="inlineStr">
        <is>
          <t>BT701.2 .M5613</t>
        </is>
      </c>
      <c r="C933" t="inlineStr">
        <is>
          <t>0                      BT 0701200M  5613</t>
        </is>
      </c>
      <c r="D933" t="inlineStr">
        <is>
          <t>Man : Christian anthropology in the conflicts of the present / Jürgen Moltmann ; translated by John Sturdy.</t>
        </is>
      </c>
      <c r="F933" t="inlineStr">
        <is>
          <t>No</t>
        </is>
      </c>
      <c r="G933" t="inlineStr">
        <is>
          <t>1</t>
        </is>
      </c>
      <c r="H933" t="inlineStr">
        <is>
          <t>No</t>
        </is>
      </c>
      <c r="I933" t="inlineStr">
        <is>
          <t>No</t>
        </is>
      </c>
      <c r="J933" t="inlineStr">
        <is>
          <t>0</t>
        </is>
      </c>
      <c r="K933" t="inlineStr">
        <is>
          <t>Moltmann, Jürgen.</t>
        </is>
      </c>
      <c r="L933" t="inlineStr">
        <is>
          <t>Philadelphia : Fortress Press, [1974]</t>
        </is>
      </c>
      <c r="M933" t="inlineStr">
        <is>
          <t>1974</t>
        </is>
      </c>
      <c r="O933" t="inlineStr">
        <is>
          <t>eng</t>
        </is>
      </c>
      <c r="P933" t="inlineStr">
        <is>
          <t>pau</t>
        </is>
      </c>
      <c r="R933" t="inlineStr">
        <is>
          <t xml:space="preserve">BT </t>
        </is>
      </c>
      <c r="S933" t="n">
        <v>4</v>
      </c>
      <c r="T933" t="n">
        <v>4</v>
      </c>
      <c r="U933" t="inlineStr">
        <is>
          <t>2006-06-13</t>
        </is>
      </c>
      <c r="V933" t="inlineStr">
        <is>
          <t>2006-06-13</t>
        </is>
      </c>
      <c r="W933" t="inlineStr">
        <is>
          <t>1991-09-19</t>
        </is>
      </c>
      <c r="X933" t="inlineStr">
        <is>
          <t>1991-09-19</t>
        </is>
      </c>
      <c r="Y933" t="n">
        <v>666</v>
      </c>
      <c r="Z933" t="n">
        <v>602</v>
      </c>
      <c r="AA933" t="n">
        <v>626</v>
      </c>
      <c r="AB933" t="n">
        <v>4</v>
      </c>
      <c r="AC933" t="n">
        <v>4</v>
      </c>
      <c r="AD933" t="n">
        <v>36</v>
      </c>
      <c r="AE933" t="n">
        <v>36</v>
      </c>
      <c r="AF933" t="n">
        <v>15</v>
      </c>
      <c r="AG933" t="n">
        <v>15</v>
      </c>
      <c r="AH933" t="n">
        <v>7</v>
      </c>
      <c r="AI933" t="n">
        <v>7</v>
      </c>
      <c r="AJ933" t="n">
        <v>21</v>
      </c>
      <c r="AK933" t="n">
        <v>21</v>
      </c>
      <c r="AL933" t="n">
        <v>3</v>
      </c>
      <c r="AM933" t="n">
        <v>3</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HYPERLINK("https://creighton-primo.hosted.exlibrisgroup.com/primo-explore/search?tab=default_tab&amp;search_scope=EVERYTHING&amp;vid=01CRU&amp;lang=en_US&amp;offset=0&amp;query=any,contains,991003765829702656","Catalog Record")</f>
        <v/>
      </c>
      <c r="AT933">
        <f>HYPERLINK("http://www.worldcat.org/oclc/1458372","WorldCat Record")</f>
        <v/>
      </c>
      <c r="AU933" t="inlineStr">
        <is>
          <t>2542092636:eng</t>
        </is>
      </c>
      <c r="AV933" t="inlineStr">
        <is>
          <t>1458372</t>
        </is>
      </c>
      <c r="AW933" t="inlineStr">
        <is>
          <t>991003765829702656</t>
        </is>
      </c>
      <c r="AX933" t="inlineStr">
        <is>
          <t>991003765829702656</t>
        </is>
      </c>
      <c r="AY933" t="inlineStr">
        <is>
          <t>2257087840002656</t>
        </is>
      </c>
      <c r="AZ933" t="inlineStr">
        <is>
          <t>BOOK</t>
        </is>
      </c>
      <c r="BB933" t="inlineStr">
        <is>
          <t>9780800610661</t>
        </is>
      </c>
      <c r="BC933" t="inlineStr">
        <is>
          <t>32285000748656</t>
        </is>
      </c>
      <c r="BD933" t="inlineStr">
        <is>
          <t>893787744</t>
        </is>
      </c>
    </row>
    <row r="934">
      <c r="A934" t="inlineStr">
        <is>
          <t>No</t>
        </is>
      </c>
      <c r="B934" t="inlineStr">
        <is>
          <t>BT701.2 .M57 1975</t>
        </is>
      </c>
      <c r="C934" t="inlineStr">
        <is>
          <t>0                      BT 0701200M  57          1975</t>
        </is>
      </c>
      <c r="D934" t="inlineStr">
        <is>
          <t>Man without tears : soundings for a Christian anthropology / Christopher F. Mooney.</t>
        </is>
      </c>
      <c r="F934" t="inlineStr">
        <is>
          <t>No</t>
        </is>
      </c>
      <c r="G934" t="inlineStr">
        <is>
          <t>1</t>
        </is>
      </c>
      <c r="H934" t="inlineStr">
        <is>
          <t>No</t>
        </is>
      </c>
      <c r="I934" t="inlineStr">
        <is>
          <t>No</t>
        </is>
      </c>
      <c r="J934" t="inlineStr">
        <is>
          <t>0</t>
        </is>
      </c>
      <c r="K934" t="inlineStr">
        <is>
          <t>Mooney, Christopher F.</t>
        </is>
      </c>
      <c r="L934" t="inlineStr">
        <is>
          <t>New York : Harper &amp; Row, [1975]</t>
        </is>
      </c>
      <c r="M934" t="inlineStr">
        <is>
          <t>1975</t>
        </is>
      </c>
      <c r="N934" t="inlineStr">
        <is>
          <t>1st ed.</t>
        </is>
      </c>
      <c r="O934" t="inlineStr">
        <is>
          <t>eng</t>
        </is>
      </c>
      <c r="P934" t="inlineStr">
        <is>
          <t>nyu</t>
        </is>
      </c>
      <c r="R934" t="inlineStr">
        <is>
          <t xml:space="preserve">BT </t>
        </is>
      </c>
      <c r="S934" t="n">
        <v>1</v>
      </c>
      <c r="T934" t="n">
        <v>1</v>
      </c>
      <c r="U934" t="inlineStr">
        <is>
          <t>1992-08-27</t>
        </is>
      </c>
      <c r="V934" t="inlineStr">
        <is>
          <t>1992-08-27</t>
        </is>
      </c>
      <c r="W934" t="inlineStr">
        <is>
          <t>1990-08-14</t>
        </is>
      </c>
      <c r="X934" t="inlineStr">
        <is>
          <t>1990-08-14</t>
        </is>
      </c>
      <c r="Y934" t="n">
        <v>339</v>
      </c>
      <c r="Z934" t="n">
        <v>305</v>
      </c>
      <c r="AA934" t="n">
        <v>309</v>
      </c>
      <c r="AB934" t="n">
        <v>4</v>
      </c>
      <c r="AC934" t="n">
        <v>4</v>
      </c>
      <c r="AD934" t="n">
        <v>23</v>
      </c>
      <c r="AE934" t="n">
        <v>23</v>
      </c>
      <c r="AF934" t="n">
        <v>6</v>
      </c>
      <c r="AG934" t="n">
        <v>6</v>
      </c>
      <c r="AH934" t="n">
        <v>4</v>
      </c>
      <c r="AI934" t="n">
        <v>4</v>
      </c>
      <c r="AJ934" t="n">
        <v>20</v>
      </c>
      <c r="AK934" t="n">
        <v>20</v>
      </c>
      <c r="AL934" t="n">
        <v>2</v>
      </c>
      <c r="AM934" t="n">
        <v>2</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HYPERLINK("https://creighton-primo.hosted.exlibrisgroup.com/primo-explore/search?tab=default_tab&amp;search_scope=EVERYTHING&amp;vid=01CRU&amp;lang=en_US&amp;offset=0&amp;query=any,contains,991003661799702656","Catalog Record")</f>
        <v/>
      </c>
      <c r="AT934">
        <f>HYPERLINK("http://www.worldcat.org/oclc/1272564","WorldCat Record")</f>
        <v/>
      </c>
      <c r="AU934" t="inlineStr">
        <is>
          <t>2582300781:eng</t>
        </is>
      </c>
      <c r="AV934" t="inlineStr">
        <is>
          <t>1272564</t>
        </is>
      </c>
      <c r="AW934" t="inlineStr">
        <is>
          <t>991003661799702656</t>
        </is>
      </c>
      <c r="AX934" t="inlineStr">
        <is>
          <t>991003661799702656</t>
        </is>
      </c>
      <c r="AY934" t="inlineStr">
        <is>
          <t>2266560580002656</t>
        </is>
      </c>
      <c r="AZ934" t="inlineStr">
        <is>
          <t>BOOK</t>
        </is>
      </c>
      <c r="BB934" t="inlineStr">
        <is>
          <t>9780060659219</t>
        </is>
      </c>
      <c r="BC934" t="inlineStr">
        <is>
          <t>32285000268333</t>
        </is>
      </c>
      <c r="BD934" t="inlineStr">
        <is>
          <t>893512218</t>
        </is>
      </c>
    </row>
    <row r="935">
      <c r="A935" t="inlineStr">
        <is>
          <t>No</t>
        </is>
      </c>
      <c r="B935" t="inlineStr">
        <is>
          <t>BT701.2 .M58</t>
        </is>
      </c>
      <c r="C935" t="inlineStr">
        <is>
          <t>0                      BT 0701200M  58</t>
        </is>
      </c>
      <c r="D935" t="inlineStr">
        <is>
          <t>The Biblical meaning of man / Wulstan Mork.</t>
        </is>
      </c>
      <c r="F935" t="inlineStr">
        <is>
          <t>No</t>
        </is>
      </c>
      <c r="G935" t="inlineStr">
        <is>
          <t>1</t>
        </is>
      </c>
      <c r="H935" t="inlineStr">
        <is>
          <t>No</t>
        </is>
      </c>
      <c r="I935" t="inlineStr">
        <is>
          <t>No</t>
        </is>
      </c>
      <c r="J935" t="inlineStr">
        <is>
          <t>0</t>
        </is>
      </c>
      <c r="K935" t="inlineStr">
        <is>
          <t>Mork, Wulstan.</t>
        </is>
      </c>
      <c r="L935" t="inlineStr">
        <is>
          <t>Milwaukee, Bruce Pub. Co. [1967]</t>
        </is>
      </c>
      <c r="M935" t="inlineStr">
        <is>
          <t>1967</t>
        </is>
      </c>
      <c r="O935" t="inlineStr">
        <is>
          <t>eng</t>
        </is>
      </c>
      <c r="P935" t="inlineStr">
        <is>
          <t>wiu</t>
        </is>
      </c>
      <c r="Q935" t="inlineStr">
        <is>
          <t>Impact books</t>
        </is>
      </c>
      <c r="R935" t="inlineStr">
        <is>
          <t xml:space="preserve">BT </t>
        </is>
      </c>
      <c r="S935" t="n">
        <v>2</v>
      </c>
      <c r="T935" t="n">
        <v>2</v>
      </c>
      <c r="U935" t="inlineStr">
        <is>
          <t>1996-09-30</t>
        </is>
      </c>
      <c r="V935" t="inlineStr">
        <is>
          <t>1996-09-30</t>
        </is>
      </c>
      <c r="W935" t="inlineStr">
        <is>
          <t>1991-09-19</t>
        </is>
      </c>
      <c r="X935" t="inlineStr">
        <is>
          <t>1991-09-19</t>
        </is>
      </c>
      <c r="Y935" t="n">
        <v>261</v>
      </c>
      <c r="Z935" t="n">
        <v>221</v>
      </c>
      <c r="AA935" t="n">
        <v>226</v>
      </c>
      <c r="AB935" t="n">
        <v>3</v>
      </c>
      <c r="AC935" t="n">
        <v>3</v>
      </c>
      <c r="AD935" t="n">
        <v>22</v>
      </c>
      <c r="AE935" t="n">
        <v>22</v>
      </c>
      <c r="AF935" t="n">
        <v>6</v>
      </c>
      <c r="AG935" t="n">
        <v>6</v>
      </c>
      <c r="AH935" t="n">
        <v>6</v>
      </c>
      <c r="AI935" t="n">
        <v>6</v>
      </c>
      <c r="AJ935" t="n">
        <v>18</v>
      </c>
      <c r="AK935" t="n">
        <v>18</v>
      </c>
      <c r="AL935" t="n">
        <v>0</v>
      </c>
      <c r="AM935" t="n">
        <v>0</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HYPERLINK("https://creighton-primo.hosted.exlibrisgroup.com/primo-explore/search?tab=default_tab&amp;search_scope=EVERYTHING&amp;vid=01CRU&amp;lang=en_US&amp;offset=0&amp;query=any,contains,991003368879702656","Catalog Record")</f>
        <v/>
      </c>
      <c r="AT935">
        <f>HYPERLINK("http://www.worldcat.org/oclc/904630","WorldCat Record")</f>
        <v/>
      </c>
      <c r="AU935" t="inlineStr">
        <is>
          <t>114330179:eng</t>
        </is>
      </c>
      <c r="AV935" t="inlineStr">
        <is>
          <t>904630</t>
        </is>
      </c>
      <c r="AW935" t="inlineStr">
        <is>
          <t>991003368879702656</t>
        </is>
      </c>
      <c r="AX935" t="inlineStr">
        <is>
          <t>991003368879702656</t>
        </is>
      </c>
      <c r="AY935" t="inlineStr">
        <is>
          <t>2263540590002656</t>
        </is>
      </c>
      <c r="AZ935" t="inlineStr">
        <is>
          <t>BOOK</t>
        </is>
      </c>
      <c r="BC935" t="inlineStr">
        <is>
          <t>32285000748664</t>
        </is>
      </c>
      <c r="BD935" t="inlineStr">
        <is>
          <t>893686488</t>
        </is>
      </c>
    </row>
    <row r="936">
      <c r="A936" t="inlineStr">
        <is>
          <t>No</t>
        </is>
      </c>
      <c r="B936" t="inlineStr">
        <is>
          <t>BT701.2 .M6 1967</t>
        </is>
      </c>
      <c r="C936" t="inlineStr">
        <is>
          <t>0                      BT 0701200M  6           1967</t>
        </is>
      </c>
      <c r="D936" t="inlineStr">
        <is>
          <t>Man and nature in the New Testament : some reflections on Biblical ecology / by C. F. D. Moule.</t>
        </is>
      </c>
      <c r="F936" t="inlineStr">
        <is>
          <t>No</t>
        </is>
      </c>
      <c r="G936" t="inlineStr">
        <is>
          <t>1</t>
        </is>
      </c>
      <c r="H936" t="inlineStr">
        <is>
          <t>No</t>
        </is>
      </c>
      <c r="I936" t="inlineStr">
        <is>
          <t>No</t>
        </is>
      </c>
      <c r="J936" t="inlineStr">
        <is>
          <t>0</t>
        </is>
      </c>
      <c r="K936" t="inlineStr">
        <is>
          <t>Moule, C. F. D. (Charles Francis Digby), 1908-2007.</t>
        </is>
      </c>
      <c r="L936" t="inlineStr">
        <is>
          <t>Philadelphia, Fortress Press [1967]</t>
        </is>
      </c>
      <c r="M936" t="inlineStr">
        <is>
          <t>1967</t>
        </is>
      </c>
      <c r="O936" t="inlineStr">
        <is>
          <t>eng</t>
        </is>
      </c>
      <c r="P936" t="inlineStr">
        <is>
          <t>pau</t>
        </is>
      </c>
      <c r="Q936" t="inlineStr">
        <is>
          <t>Facet books. Biblical series ; 17</t>
        </is>
      </c>
      <c r="R936" t="inlineStr">
        <is>
          <t xml:space="preserve">BT </t>
        </is>
      </c>
      <c r="S936" t="n">
        <v>3</v>
      </c>
      <c r="T936" t="n">
        <v>3</v>
      </c>
      <c r="U936" t="inlineStr">
        <is>
          <t>1997-11-05</t>
        </is>
      </c>
      <c r="V936" t="inlineStr">
        <is>
          <t>1997-11-05</t>
        </is>
      </c>
      <c r="W936" t="inlineStr">
        <is>
          <t>1991-09-19</t>
        </is>
      </c>
      <c r="X936" t="inlineStr">
        <is>
          <t>1991-09-19</t>
        </is>
      </c>
      <c r="Y936" t="n">
        <v>317</v>
      </c>
      <c r="Z936" t="n">
        <v>282</v>
      </c>
      <c r="AA936" t="n">
        <v>282</v>
      </c>
      <c r="AB936" t="n">
        <v>1</v>
      </c>
      <c r="AC936" t="n">
        <v>1</v>
      </c>
      <c r="AD936" t="n">
        <v>23</v>
      </c>
      <c r="AE936" t="n">
        <v>23</v>
      </c>
      <c r="AF936" t="n">
        <v>10</v>
      </c>
      <c r="AG936" t="n">
        <v>10</v>
      </c>
      <c r="AH936" t="n">
        <v>6</v>
      </c>
      <c r="AI936" t="n">
        <v>6</v>
      </c>
      <c r="AJ936" t="n">
        <v>15</v>
      </c>
      <c r="AK936" t="n">
        <v>15</v>
      </c>
      <c r="AL936" t="n">
        <v>0</v>
      </c>
      <c r="AM936" t="n">
        <v>0</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HYPERLINK("https://creighton-primo.hosted.exlibrisgroup.com/primo-explore/search?tab=default_tab&amp;search_scope=EVERYTHING&amp;vid=01CRU&amp;lang=en_US&amp;offset=0&amp;query=any,contains,991002410289702656","Catalog Record")</f>
        <v/>
      </c>
      <c r="AT936">
        <f>HYPERLINK("http://www.worldcat.org/oclc/339335","WorldCat Record")</f>
        <v/>
      </c>
      <c r="AU936" t="inlineStr">
        <is>
          <t>10227504639:eng</t>
        </is>
      </c>
      <c r="AV936" t="inlineStr">
        <is>
          <t>339335</t>
        </is>
      </c>
      <c r="AW936" t="inlineStr">
        <is>
          <t>991002410289702656</t>
        </is>
      </c>
      <c r="AX936" t="inlineStr">
        <is>
          <t>991002410289702656</t>
        </is>
      </c>
      <c r="AY936" t="inlineStr">
        <is>
          <t>2259128860002656</t>
        </is>
      </c>
      <c r="AZ936" t="inlineStr">
        <is>
          <t>BOOK</t>
        </is>
      </c>
      <c r="BC936" t="inlineStr">
        <is>
          <t>32285000748672</t>
        </is>
      </c>
      <c r="BD936" t="inlineStr">
        <is>
          <t>893440126</t>
        </is>
      </c>
    </row>
    <row r="937">
      <c r="A937" t="inlineStr">
        <is>
          <t>No</t>
        </is>
      </c>
      <c r="B937" t="inlineStr">
        <is>
          <t>BT701.2 .N4413 1987</t>
        </is>
      </c>
      <c r="C937" t="inlineStr">
        <is>
          <t>0                      BT 0701200N  4413        1987</t>
        </is>
      </c>
      <c r="D937" t="inlineStr">
        <is>
          <t>Deification in Christ : Orthodox perspectives on the nature of the human person / Panayiotis Nellas ; translated from the Greek by Norman Russell ; with a foreword by Bishop Kallistos Ware of Diokleia.</t>
        </is>
      </c>
      <c r="F937" t="inlineStr">
        <is>
          <t>No</t>
        </is>
      </c>
      <c r="G937" t="inlineStr">
        <is>
          <t>1</t>
        </is>
      </c>
      <c r="H937" t="inlineStr">
        <is>
          <t>No</t>
        </is>
      </c>
      <c r="I937" t="inlineStr">
        <is>
          <t>No</t>
        </is>
      </c>
      <c r="J937" t="inlineStr">
        <is>
          <t>0</t>
        </is>
      </c>
      <c r="K937" t="inlineStr">
        <is>
          <t>Nellas, Panayiotis, 1936-1986.</t>
        </is>
      </c>
      <c r="L937" t="inlineStr">
        <is>
          <t>Crestwood, N.Y. : St. Vladimir's Seminary Press, 1987.</t>
        </is>
      </c>
      <c r="M937" t="inlineStr">
        <is>
          <t>1987</t>
        </is>
      </c>
      <c r="O937" t="inlineStr">
        <is>
          <t>eng</t>
        </is>
      </c>
      <c r="P937" t="inlineStr">
        <is>
          <t>nyu</t>
        </is>
      </c>
      <c r="Q937" t="inlineStr">
        <is>
          <t>Contemporary Greek theologians ; no. 5</t>
        </is>
      </c>
      <c r="R937" t="inlineStr">
        <is>
          <t xml:space="preserve">BT </t>
        </is>
      </c>
      <c r="S937" t="n">
        <v>5</v>
      </c>
      <c r="T937" t="n">
        <v>5</v>
      </c>
      <c r="U937" t="inlineStr">
        <is>
          <t>2008-10-23</t>
        </is>
      </c>
      <c r="V937" t="inlineStr">
        <is>
          <t>2008-10-23</t>
        </is>
      </c>
      <c r="W937" t="inlineStr">
        <is>
          <t>2001-07-10</t>
        </is>
      </c>
      <c r="X937" t="inlineStr">
        <is>
          <t>2001-07-10</t>
        </is>
      </c>
      <c r="Y937" t="n">
        <v>213</v>
      </c>
      <c r="Z937" t="n">
        <v>169</v>
      </c>
      <c r="AA937" t="n">
        <v>179</v>
      </c>
      <c r="AB937" t="n">
        <v>1</v>
      </c>
      <c r="AC937" t="n">
        <v>1</v>
      </c>
      <c r="AD937" t="n">
        <v>15</v>
      </c>
      <c r="AE937" t="n">
        <v>15</v>
      </c>
      <c r="AF937" t="n">
        <v>4</v>
      </c>
      <c r="AG937" t="n">
        <v>4</v>
      </c>
      <c r="AH937" t="n">
        <v>3</v>
      </c>
      <c r="AI937" t="n">
        <v>3</v>
      </c>
      <c r="AJ937" t="n">
        <v>11</v>
      </c>
      <c r="AK937" t="n">
        <v>11</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HYPERLINK("https://creighton-primo.hosted.exlibrisgroup.com/primo-explore/search?tab=default_tab&amp;search_scope=EVERYTHING&amp;vid=01CRU&amp;lang=en_US&amp;offset=0&amp;query=any,contains,991003564239702656","Catalog Record")</f>
        <v/>
      </c>
      <c r="AT937">
        <f>HYPERLINK("http://www.worldcat.org/oclc/15018445","WorldCat Record")</f>
        <v/>
      </c>
      <c r="AU937" t="inlineStr">
        <is>
          <t>8603172:eng</t>
        </is>
      </c>
      <c r="AV937" t="inlineStr">
        <is>
          <t>15018445</t>
        </is>
      </c>
      <c r="AW937" t="inlineStr">
        <is>
          <t>991003564239702656</t>
        </is>
      </c>
      <c r="AX937" t="inlineStr">
        <is>
          <t>991003564239702656</t>
        </is>
      </c>
      <c r="AY937" t="inlineStr">
        <is>
          <t>2265551210002656</t>
        </is>
      </c>
      <c r="AZ937" t="inlineStr">
        <is>
          <t>BOOK</t>
        </is>
      </c>
      <c r="BB937" t="inlineStr">
        <is>
          <t>9780881410303</t>
        </is>
      </c>
      <c r="BC937" t="inlineStr">
        <is>
          <t>32285004331046</t>
        </is>
      </c>
      <c r="BD937" t="inlineStr">
        <is>
          <t>893604914</t>
        </is>
      </c>
    </row>
    <row r="938">
      <c r="A938" t="inlineStr">
        <is>
          <t>No</t>
        </is>
      </c>
      <c r="B938" t="inlineStr">
        <is>
          <t>BT701.2 .N5</t>
        </is>
      </c>
      <c r="C938" t="inlineStr">
        <is>
          <t>0                      BT 0701200N  5</t>
        </is>
      </c>
      <c r="D938" t="inlineStr">
        <is>
          <t>Conflicting images of man / edited by William Nicholls.</t>
        </is>
      </c>
      <c r="F938" t="inlineStr">
        <is>
          <t>No</t>
        </is>
      </c>
      <c r="G938" t="inlineStr">
        <is>
          <t>1</t>
        </is>
      </c>
      <c r="H938" t="inlineStr">
        <is>
          <t>No</t>
        </is>
      </c>
      <c r="I938" t="inlineStr">
        <is>
          <t>No</t>
        </is>
      </c>
      <c r="J938" t="inlineStr">
        <is>
          <t>0</t>
        </is>
      </c>
      <c r="K938" t="inlineStr">
        <is>
          <t>Nicholls, William, editor.</t>
        </is>
      </c>
      <c r="L938" t="inlineStr">
        <is>
          <t>New York, Seabury Press [1966]</t>
        </is>
      </c>
      <c r="M938" t="inlineStr">
        <is>
          <t>1966</t>
        </is>
      </c>
      <c r="O938" t="inlineStr">
        <is>
          <t>eng</t>
        </is>
      </c>
      <c r="P938" t="inlineStr">
        <is>
          <t>nyu</t>
        </is>
      </c>
      <c r="R938" t="inlineStr">
        <is>
          <t xml:space="preserve">BT </t>
        </is>
      </c>
      <c r="S938" t="n">
        <v>3</v>
      </c>
      <c r="T938" t="n">
        <v>3</v>
      </c>
      <c r="U938" t="inlineStr">
        <is>
          <t>1996-11-15</t>
        </is>
      </c>
      <c r="V938" t="inlineStr">
        <is>
          <t>1996-11-15</t>
        </is>
      </c>
      <c r="W938" t="inlineStr">
        <is>
          <t>1991-09-19</t>
        </is>
      </c>
      <c r="X938" t="inlineStr">
        <is>
          <t>1991-09-19</t>
        </is>
      </c>
      <c r="Y938" t="n">
        <v>768</v>
      </c>
      <c r="Z938" t="n">
        <v>689</v>
      </c>
      <c r="AA938" t="n">
        <v>724</v>
      </c>
      <c r="AB938" t="n">
        <v>5</v>
      </c>
      <c r="AC938" t="n">
        <v>6</v>
      </c>
      <c r="AD938" t="n">
        <v>32</v>
      </c>
      <c r="AE938" t="n">
        <v>33</v>
      </c>
      <c r="AF938" t="n">
        <v>10</v>
      </c>
      <c r="AG938" t="n">
        <v>10</v>
      </c>
      <c r="AH938" t="n">
        <v>5</v>
      </c>
      <c r="AI938" t="n">
        <v>5</v>
      </c>
      <c r="AJ938" t="n">
        <v>20</v>
      </c>
      <c r="AK938" t="n">
        <v>20</v>
      </c>
      <c r="AL938" t="n">
        <v>4</v>
      </c>
      <c r="AM938" t="n">
        <v>5</v>
      </c>
      <c r="AN938" t="n">
        <v>0</v>
      </c>
      <c r="AO938" t="n">
        <v>0</v>
      </c>
      <c r="AP938" t="inlineStr">
        <is>
          <t>No</t>
        </is>
      </c>
      <c r="AQ938" t="inlineStr">
        <is>
          <t>Yes</t>
        </is>
      </c>
      <c r="AR938">
        <f>HYPERLINK("http://catalog.hathitrust.org/Record/001412443","HathiTrust Record")</f>
        <v/>
      </c>
      <c r="AS938">
        <f>HYPERLINK("https://creighton-primo.hosted.exlibrisgroup.com/primo-explore/search?tab=default_tab&amp;search_scope=EVERYTHING&amp;vid=01CRU&amp;lang=en_US&amp;offset=0&amp;query=any,contains,991002643979702656","Catalog Record")</f>
        <v/>
      </c>
      <c r="AT938">
        <f>HYPERLINK("http://www.worldcat.org/oclc/385158","WorldCat Record")</f>
        <v/>
      </c>
      <c r="AU938" t="inlineStr">
        <is>
          <t>1089332:eng</t>
        </is>
      </c>
      <c r="AV938" t="inlineStr">
        <is>
          <t>385158</t>
        </is>
      </c>
      <c r="AW938" t="inlineStr">
        <is>
          <t>991002643979702656</t>
        </is>
      </c>
      <c r="AX938" t="inlineStr">
        <is>
          <t>991002643979702656</t>
        </is>
      </c>
      <c r="AY938" t="inlineStr">
        <is>
          <t>2258846220002656</t>
        </is>
      </c>
      <c r="AZ938" t="inlineStr">
        <is>
          <t>BOOK</t>
        </is>
      </c>
      <c r="BC938" t="inlineStr">
        <is>
          <t>32285000748680</t>
        </is>
      </c>
      <c r="BD938" t="inlineStr">
        <is>
          <t>893622529</t>
        </is>
      </c>
    </row>
    <row r="939">
      <c r="A939" t="inlineStr">
        <is>
          <t>No</t>
        </is>
      </c>
      <c r="B939" t="inlineStr">
        <is>
          <t>BT701.2 .O33</t>
        </is>
      </c>
      <c r="C939" t="inlineStr">
        <is>
          <t>0                      BT 0701200O  33</t>
        </is>
      </c>
      <c r="D939" t="inlineStr">
        <is>
          <t>Christian anthropology : a meaning for human life / John F. O'Grady.</t>
        </is>
      </c>
      <c r="F939" t="inlineStr">
        <is>
          <t>No</t>
        </is>
      </c>
      <c r="G939" t="inlineStr">
        <is>
          <t>1</t>
        </is>
      </c>
      <c r="H939" t="inlineStr">
        <is>
          <t>No</t>
        </is>
      </c>
      <c r="I939" t="inlineStr">
        <is>
          <t>No</t>
        </is>
      </c>
      <c r="J939" t="inlineStr">
        <is>
          <t>0</t>
        </is>
      </c>
      <c r="K939" t="inlineStr">
        <is>
          <t>O'Grady, John F.</t>
        </is>
      </c>
      <c r="L939" t="inlineStr">
        <is>
          <t>New York : Paulist Press, c1976.</t>
        </is>
      </c>
      <c r="M939" t="inlineStr">
        <is>
          <t>1976</t>
        </is>
      </c>
      <c r="O939" t="inlineStr">
        <is>
          <t>eng</t>
        </is>
      </c>
      <c r="P939" t="inlineStr">
        <is>
          <t>nyu</t>
        </is>
      </c>
      <c r="R939" t="inlineStr">
        <is>
          <t xml:space="preserve">BT </t>
        </is>
      </c>
      <c r="S939" t="n">
        <v>2</v>
      </c>
      <c r="T939" t="n">
        <v>2</v>
      </c>
      <c r="U939" t="inlineStr">
        <is>
          <t>2006-07-23</t>
        </is>
      </c>
      <c r="V939" t="inlineStr">
        <is>
          <t>2006-07-23</t>
        </is>
      </c>
      <c r="W939" t="inlineStr">
        <is>
          <t>1991-09-19</t>
        </is>
      </c>
      <c r="X939" t="inlineStr">
        <is>
          <t>1991-09-19</t>
        </is>
      </c>
      <c r="Y939" t="n">
        <v>250</v>
      </c>
      <c r="Z939" t="n">
        <v>210</v>
      </c>
      <c r="AA939" t="n">
        <v>210</v>
      </c>
      <c r="AB939" t="n">
        <v>3</v>
      </c>
      <c r="AC939" t="n">
        <v>3</v>
      </c>
      <c r="AD939" t="n">
        <v>21</v>
      </c>
      <c r="AE939" t="n">
        <v>21</v>
      </c>
      <c r="AF939" t="n">
        <v>6</v>
      </c>
      <c r="AG939" t="n">
        <v>6</v>
      </c>
      <c r="AH939" t="n">
        <v>5</v>
      </c>
      <c r="AI939" t="n">
        <v>5</v>
      </c>
      <c r="AJ939" t="n">
        <v>16</v>
      </c>
      <c r="AK939" t="n">
        <v>16</v>
      </c>
      <c r="AL939" t="n">
        <v>1</v>
      </c>
      <c r="AM939" t="n">
        <v>1</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HYPERLINK("https://creighton-primo.hosted.exlibrisgroup.com/primo-explore/search?tab=default_tab&amp;search_scope=EVERYTHING&amp;vid=01CRU&amp;lang=en_US&amp;offset=0&amp;query=any,contains,991003958289702656","Catalog Record")</f>
        <v/>
      </c>
      <c r="AT939">
        <f>HYPERLINK("http://www.worldcat.org/oclc/1973247","WorldCat Record")</f>
        <v/>
      </c>
      <c r="AU939" t="inlineStr">
        <is>
          <t>366521312:eng</t>
        </is>
      </c>
      <c r="AV939" t="inlineStr">
        <is>
          <t>1973247</t>
        </is>
      </c>
      <c r="AW939" t="inlineStr">
        <is>
          <t>991003958289702656</t>
        </is>
      </c>
      <c r="AX939" t="inlineStr">
        <is>
          <t>991003958289702656</t>
        </is>
      </c>
      <c r="AY939" t="inlineStr">
        <is>
          <t>2266123000002656</t>
        </is>
      </c>
      <c r="AZ939" t="inlineStr">
        <is>
          <t>BOOK</t>
        </is>
      </c>
      <c r="BB939" t="inlineStr">
        <is>
          <t>9780809119073</t>
        </is>
      </c>
      <c r="BC939" t="inlineStr">
        <is>
          <t>32285000748698</t>
        </is>
      </c>
      <c r="BD939" t="inlineStr">
        <is>
          <t>893331039</t>
        </is>
      </c>
    </row>
    <row r="940">
      <c r="A940" t="inlineStr">
        <is>
          <t>No</t>
        </is>
      </c>
      <c r="B940" t="inlineStr">
        <is>
          <t>BT701.2 .P34</t>
        </is>
      </c>
      <c r="C940" t="inlineStr">
        <is>
          <t>0                      BT 0701200P  34</t>
        </is>
      </c>
      <c r="D940" t="inlineStr">
        <is>
          <t>Human nature, election, and history / by Wolfhart Pannenberg.</t>
        </is>
      </c>
      <c r="F940" t="inlineStr">
        <is>
          <t>No</t>
        </is>
      </c>
      <c r="G940" t="inlineStr">
        <is>
          <t>1</t>
        </is>
      </c>
      <c r="H940" t="inlineStr">
        <is>
          <t>No</t>
        </is>
      </c>
      <c r="I940" t="inlineStr">
        <is>
          <t>No</t>
        </is>
      </c>
      <c r="J940" t="inlineStr">
        <is>
          <t>0</t>
        </is>
      </c>
      <c r="K940" t="inlineStr">
        <is>
          <t>Pannenberg, Wolfhart, 1928-2014.</t>
        </is>
      </c>
      <c r="L940" t="inlineStr">
        <is>
          <t>Philadelphia : Westminster Press, c1977.</t>
        </is>
      </c>
      <c r="M940" t="inlineStr">
        <is>
          <t>1977</t>
        </is>
      </c>
      <c r="N940" t="inlineStr">
        <is>
          <t>1st ed.</t>
        </is>
      </c>
      <c r="O940" t="inlineStr">
        <is>
          <t>eng</t>
        </is>
      </c>
      <c r="P940" t="inlineStr">
        <is>
          <t>pau</t>
        </is>
      </c>
      <c r="R940" t="inlineStr">
        <is>
          <t xml:space="preserve">BT </t>
        </is>
      </c>
      <c r="S940" t="n">
        <v>1</v>
      </c>
      <c r="T940" t="n">
        <v>1</v>
      </c>
      <c r="U940" t="inlineStr">
        <is>
          <t>2005-10-27</t>
        </is>
      </c>
      <c r="V940" t="inlineStr">
        <is>
          <t>2005-10-27</t>
        </is>
      </c>
      <c r="W940" t="inlineStr">
        <is>
          <t>1990-08-02</t>
        </is>
      </c>
      <c r="X940" t="inlineStr">
        <is>
          <t>1990-08-02</t>
        </is>
      </c>
      <c r="Y940" t="n">
        <v>579</v>
      </c>
      <c r="Z940" t="n">
        <v>492</v>
      </c>
      <c r="AA940" t="n">
        <v>494</v>
      </c>
      <c r="AB940" t="n">
        <v>5</v>
      </c>
      <c r="AC940" t="n">
        <v>5</v>
      </c>
      <c r="AD940" t="n">
        <v>35</v>
      </c>
      <c r="AE940" t="n">
        <v>35</v>
      </c>
      <c r="AF940" t="n">
        <v>12</v>
      </c>
      <c r="AG940" t="n">
        <v>12</v>
      </c>
      <c r="AH940" t="n">
        <v>7</v>
      </c>
      <c r="AI940" t="n">
        <v>7</v>
      </c>
      <c r="AJ940" t="n">
        <v>21</v>
      </c>
      <c r="AK940" t="n">
        <v>21</v>
      </c>
      <c r="AL940" t="n">
        <v>4</v>
      </c>
      <c r="AM940" t="n">
        <v>4</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HYPERLINK("https://creighton-primo.hosted.exlibrisgroup.com/primo-explore/search?tab=default_tab&amp;search_scope=EVERYTHING&amp;vid=01CRU&amp;lang=en_US&amp;offset=0&amp;query=any,contains,991004363969702656","Catalog Record")</f>
        <v/>
      </c>
      <c r="AT940">
        <f>HYPERLINK("http://www.worldcat.org/oclc/3168619","WorldCat Record")</f>
        <v/>
      </c>
      <c r="AU940" t="inlineStr">
        <is>
          <t>1150967706:eng</t>
        </is>
      </c>
      <c r="AV940" t="inlineStr">
        <is>
          <t>3168619</t>
        </is>
      </c>
      <c r="AW940" t="inlineStr">
        <is>
          <t>991004363969702656</t>
        </is>
      </c>
      <c r="AX940" t="inlineStr">
        <is>
          <t>991004363969702656</t>
        </is>
      </c>
      <c r="AY940" t="inlineStr">
        <is>
          <t>2260818050002656</t>
        </is>
      </c>
      <c r="AZ940" t="inlineStr">
        <is>
          <t>BOOK</t>
        </is>
      </c>
      <c r="BB940" t="inlineStr">
        <is>
          <t>9780664241452</t>
        </is>
      </c>
      <c r="BC940" t="inlineStr">
        <is>
          <t>32285000263227</t>
        </is>
      </c>
      <c r="BD940" t="inlineStr">
        <is>
          <t>893235396</t>
        </is>
      </c>
    </row>
    <row r="941">
      <c r="A941" t="inlineStr">
        <is>
          <t>No</t>
        </is>
      </c>
      <c r="B941" t="inlineStr">
        <is>
          <t>BT701.2 .R313 1965a</t>
        </is>
      </c>
      <c r="C941" t="inlineStr">
        <is>
          <t>0                      BT 0701200R  313         1965a</t>
        </is>
      </c>
      <c r="D941" t="inlineStr">
        <is>
          <t>Hominisation : the evolutionary origin of man as a theological problem / Karl Rahner. [Translated by W.T.O'Hara.</t>
        </is>
      </c>
      <c r="F941" t="inlineStr">
        <is>
          <t>No</t>
        </is>
      </c>
      <c r="G941" t="inlineStr">
        <is>
          <t>1</t>
        </is>
      </c>
      <c r="H941" t="inlineStr">
        <is>
          <t>No</t>
        </is>
      </c>
      <c r="I941" t="inlineStr">
        <is>
          <t>No</t>
        </is>
      </c>
      <c r="J941" t="inlineStr">
        <is>
          <t>0</t>
        </is>
      </c>
      <c r="K941" t="inlineStr">
        <is>
          <t>Rahner, Karl, 1904-1984.</t>
        </is>
      </c>
      <c r="L941" t="inlineStr">
        <is>
          <t>New York] Herder and Herder [1965]</t>
        </is>
      </c>
      <c r="M941" t="inlineStr">
        <is>
          <t>1965</t>
        </is>
      </c>
      <c r="O941" t="inlineStr">
        <is>
          <t>eng</t>
        </is>
      </c>
      <c r="P941" t="inlineStr">
        <is>
          <t>nyu</t>
        </is>
      </c>
      <c r="Q941" t="inlineStr">
        <is>
          <t>Quaestiones disputatae ; 13</t>
        </is>
      </c>
      <c r="R941" t="inlineStr">
        <is>
          <t xml:space="preserve">BT </t>
        </is>
      </c>
      <c r="S941" t="n">
        <v>3</v>
      </c>
      <c r="T941" t="n">
        <v>3</v>
      </c>
      <c r="U941" t="inlineStr">
        <is>
          <t>2009-02-18</t>
        </is>
      </c>
      <c r="V941" t="inlineStr">
        <is>
          <t>2009-02-18</t>
        </is>
      </c>
      <c r="W941" t="inlineStr">
        <is>
          <t>1990-05-04</t>
        </is>
      </c>
      <c r="X941" t="inlineStr">
        <is>
          <t>1990-05-04</t>
        </is>
      </c>
      <c r="Y941" t="n">
        <v>363</v>
      </c>
      <c r="Z941" t="n">
        <v>335</v>
      </c>
      <c r="AA941" t="n">
        <v>370</v>
      </c>
      <c r="AB941" t="n">
        <v>5</v>
      </c>
      <c r="AC941" t="n">
        <v>5</v>
      </c>
      <c r="AD941" t="n">
        <v>37</v>
      </c>
      <c r="AE941" t="n">
        <v>37</v>
      </c>
      <c r="AF941" t="n">
        <v>12</v>
      </c>
      <c r="AG941" t="n">
        <v>12</v>
      </c>
      <c r="AH941" t="n">
        <v>9</v>
      </c>
      <c r="AI941" t="n">
        <v>9</v>
      </c>
      <c r="AJ941" t="n">
        <v>24</v>
      </c>
      <c r="AK941" t="n">
        <v>24</v>
      </c>
      <c r="AL941" t="n">
        <v>3</v>
      </c>
      <c r="AM941" t="n">
        <v>3</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HYPERLINK("https://creighton-primo.hosted.exlibrisgroup.com/primo-explore/search?tab=default_tab&amp;search_scope=EVERYTHING&amp;vid=01CRU&amp;lang=en_US&amp;offset=0&amp;query=any,contains,991003132019702656","Catalog Record")</f>
        <v/>
      </c>
      <c r="AT941">
        <f>HYPERLINK("http://www.worldcat.org/oclc/675016","WorldCat Record")</f>
        <v/>
      </c>
      <c r="AU941" t="inlineStr">
        <is>
          <t>292365224:eng</t>
        </is>
      </c>
      <c r="AV941" t="inlineStr">
        <is>
          <t>675016</t>
        </is>
      </c>
      <c r="AW941" t="inlineStr">
        <is>
          <t>991003132019702656</t>
        </is>
      </c>
      <c r="AX941" t="inlineStr">
        <is>
          <t>991003132019702656</t>
        </is>
      </c>
      <c r="AY941" t="inlineStr">
        <is>
          <t>2267179720002656</t>
        </is>
      </c>
      <c r="AZ941" t="inlineStr">
        <is>
          <t>BOOK</t>
        </is>
      </c>
      <c r="BC941" t="inlineStr">
        <is>
          <t>32285000149384</t>
        </is>
      </c>
      <c r="BD941" t="inlineStr">
        <is>
          <t>893604464</t>
        </is>
      </c>
    </row>
    <row r="942">
      <c r="A942" t="inlineStr">
        <is>
          <t>No</t>
        </is>
      </c>
      <c r="B942" t="inlineStr">
        <is>
          <t>BT701.2 .S36</t>
        </is>
      </c>
      <c r="C942" t="inlineStr">
        <is>
          <t>0                      BT 0701200S  36</t>
        </is>
      </c>
      <c r="D942" t="inlineStr">
        <is>
          <t>God's world in the making / by Peter Schoonenberg.</t>
        </is>
      </c>
      <c r="F942" t="inlineStr">
        <is>
          <t>No</t>
        </is>
      </c>
      <c r="G942" t="inlineStr">
        <is>
          <t>1</t>
        </is>
      </c>
      <c r="H942" t="inlineStr">
        <is>
          <t>No</t>
        </is>
      </c>
      <c r="I942" t="inlineStr">
        <is>
          <t>No</t>
        </is>
      </c>
      <c r="J942" t="inlineStr">
        <is>
          <t>0</t>
        </is>
      </c>
      <c r="K942" t="inlineStr">
        <is>
          <t>Schoonenberg, Piet J. A. M., 1911-1999.</t>
        </is>
      </c>
      <c r="L942" t="inlineStr">
        <is>
          <t>Pittsburgh, Pa. : Duquesne University Press, 1964.</t>
        </is>
      </c>
      <c r="M942" t="inlineStr">
        <is>
          <t>1964</t>
        </is>
      </c>
      <c r="O942" t="inlineStr">
        <is>
          <t>eng</t>
        </is>
      </c>
      <c r="P942" t="inlineStr">
        <is>
          <t>pau</t>
        </is>
      </c>
      <c r="Q942" t="inlineStr">
        <is>
          <t>Duquesne studies. Theological series ; 2</t>
        </is>
      </c>
      <c r="R942" t="inlineStr">
        <is>
          <t xml:space="preserve">BT </t>
        </is>
      </c>
      <c r="S942" t="n">
        <v>8</v>
      </c>
      <c r="T942" t="n">
        <v>8</v>
      </c>
      <c r="U942" t="inlineStr">
        <is>
          <t>2005-04-07</t>
        </is>
      </c>
      <c r="V942" t="inlineStr">
        <is>
          <t>2005-04-07</t>
        </is>
      </c>
      <c r="W942" t="inlineStr">
        <is>
          <t>1990-08-02</t>
        </is>
      </c>
      <c r="X942" t="inlineStr">
        <is>
          <t>1990-08-02</t>
        </is>
      </c>
      <c r="Y942" t="n">
        <v>369</v>
      </c>
      <c r="Z942" t="n">
        <v>324</v>
      </c>
      <c r="AA942" t="n">
        <v>360</v>
      </c>
      <c r="AB942" t="n">
        <v>5</v>
      </c>
      <c r="AC942" t="n">
        <v>5</v>
      </c>
      <c r="AD942" t="n">
        <v>35</v>
      </c>
      <c r="AE942" t="n">
        <v>37</v>
      </c>
      <c r="AF942" t="n">
        <v>13</v>
      </c>
      <c r="AG942" t="n">
        <v>14</v>
      </c>
      <c r="AH942" t="n">
        <v>8</v>
      </c>
      <c r="AI942" t="n">
        <v>8</v>
      </c>
      <c r="AJ942" t="n">
        <v>24</v>
      </c>
      <c r="AK942" t="n">
        <v>25</v>
      </c>
      <c r="AL942" t="n">
        <v>2</v>
      </c>
      <c r="AM942" t="n">
        <v>2</v>
      </c>
      <c r="AN942" t="n">
        <v>0</v>
      </c>
      <c r="AO942" t="n">
        <v>0</v>
      </c>
      <c r="AP942" t="inlineStr">
        <is>
          <t>No</t>
        </is>
      </c>
      <c r="AQ942" t="inlineStr">
        <is>
          <t>Yes</t>
        </is>
      </c>
      <c r="AR942">
        <f>HYPERLINK("http://catalog.hathitrust.org/Record/001644510","HathiTrust Record")</f>
        <v/>
      </c>
      <c r="AS942">
        <f>HYPERLINK("https://creighton-primo.hosted.exlibrisgroup.com/primo-explore/search?tab=default_tab&amp;search_scope=EVERYTHING&amp;vid=01CRU&amp;lang=en_US&amp;offset=0&amp;query=any,contains,991003127869702656","Catalog Record")</f>
        <v/>
      </c>
      <c r="AT942">
        <f>HYPERLINK("http://www.worldcat.org/oclc/671688","WorldCat Record")</f>
        <v/>
      </c>
      <c r="AU942" t="inlineStr">
        <is>
          <t>9657455751:eng</t>
        </is>
      </c>
      <c r="AV942" t="inlineStr">
        <is>
          <t>671688</t>
        </is>
      </c>
      <c r="AW942" t="inlineStr">
        <is>
          <t>991003127869702656</t>
        </is>
      </c>
      <c r="AX942" t="inlineStr">
        <is>
          <t>991003127869702656</t>
        </is>
      </c>
      <c r="AY942" t="inlineStr">
        <is>
          <t>2265200550002656</t>
        </is>
      </c>
      <c r="AZ942" t="inlineStr">
        <is>
          <t>BOOK</t>
        </is>
      </c>
      <c r="BC942" t="inlineStr">
        <is>
          <t>32285000263235</t>
        </is>
      </c>
      <c r="BD942" t="inlineStr">
        <is>
          <t>893774425</t>
        </is>
      </c>
    </row>
    <row r="943">
      <c r="A943" t="inlineStr">
        <is>
          <t>No</t>
        </is>
      </c>
      <c r="B943" t="inlineStr">
        <is>
          <t>BT701.2 .S47</t>
        </is>
      </c>
      <c r="C943" t="inlineStr">
        <is>
          <t>0                      BT 0701200S  47</t>
        </is>
      </c>
      <c r="D943" t="inlineStr">
        <is>
          <t>The mystery of man : an anthropologic study / by Owen Sharkey.</t>
        </is>
      </c>
      <c r="F943" t="inlineStr">
        <is>
          <t>No</t>
        </is>
      </c>
      <c r="G943" t="inlineStr">
        <is>
          <t>1</t>
        </is>
      </c>
      <c r="H943" t="inlineStr">
        <is>
          <t>No</t>
        </is>
      </c>
      <c r="I943" t="inlineStr">
        <is>
          <t>No</t>
        </is>
      </c>
      <c r="J943" t="inlineStr">
        <is>
          <t>0</t>
        </is>
      </c>
      <c r="K943" t="inlineStr">
        <is>
          <t>Sharkey, Owen, 1917-</t>
        </is>
      </c>
      <c r="L943" t="inlineStr">
        <is>
          <t>Philadelphia : Franklin Pub. Co., [1975]</t>
        </is>
      </c>
      <c r="M943" t="inlineStr">
        <is>
          <t>1975</t>
        </is>
      </c>
      <c r="O943" t="inlineStr">
        <is>
          <t>eng</t>
        </is>
      </c>
      <c r="P943" t="inlineStr">
        <is>
          <t>pau</t>
        </is>
      </c>
      <c r="R943" t="inlineStr">
        <is>
          <t xml:space="preserve">BT </t>
        </is>
      </c>
      <c r="S943" t="n">
        <v>2</v>
      </c>
      <c r="T943" t="n">
        <v>2</v>
      </c>
      <c r="U943" t="inlineStr">
        <is>
          <t>1998-02-03</t>
        </is>
      </c>
      <c r="V943" t="inlineStr">
        <is>
          <t>1998-02-03</t>
        </is>
      </c>
      <c r="W943" t="inlineStr">
        <is>
          <t>1991-09-23</t>
        </is>
      </c>
      <c r="X943" t="inlineStr">
        <is>
          <t>1991-09-23</t>
        </is>
      </c>
      <c r="Y943" t="n">
        <v>113</v>
      </c>
      <c r="Z943" t="n">
        <v>93</v>
      </c>
      <c r="AA943" t="n">
        <v>93</v>
      </c>
      <c r="AB943" t="n">
        <v>1</v>
      </c>
      <c r="AC943" t="n">
        <v>1</v>
      </c>
      <c r="AD943" t="n">
        <v>10</v>
      </c>
      <c r="AE943" t="n">
        <v>10</v>
      </c>
      <c r="AF943" t="n">
        <v>4</v>
      </c>
      <c r="AG943" t="n">
        <v>4</v>
      </c>
      <c r="AH943" t="n">
        <v>2</v>
      </c>
      <c r="AI943" t="n">
        <v>2</v>
      </c>
      <c r="AJ943" t="n">
        <v>9</v>
      </c>
      <c r="AK943" t="n">
        <v>9</v>
      </c>
      <c r="AL943" t="n">
        <v>0</v>
      </c>
      <c r="AM943" t="n">
        <v>0</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HYPERLINK("https://creighton-primo.hosted.exlibrisgroup.com/primo-explore/search?tab=default_tab&amp;search_scope=EVERYTHING&amp;vid=01CRU&amp;lang=en_US&amp;offset=0&amp;query=any,contains,991003719059702656","Catalog Record")</f>
        <v/>
      </c>
      <c r="AT943">
        <f>HYPERLINK("http://www.worldcat.org/oclc/1364845","WorldCat Record")</f>
        <v/>
      </c>
      <c r="AU943" t="inlineStr">
        <is>
          <t>308792520:eng</t>
        </is>
      </c>
      <c r="AV943" t="inlineStr">
        <is>
          <t>1364845</t>
        </is>
      </c>
      <c r="AW943" t="inlineStr">
        <is>
          <t>991003719059702656</t>
        </is>
      </c>
      <c r="AX943" t="inlineStr">
        <is>
          <t>991003719059702656</t>
        </is>
      </c>
      <c r="AY943" t="inlineStr">
        <is>
          <t>2257155200002656</t>
        </is>
      </c>
      <c r="AZ943" t="inlineStr">
        <is>
          <t>BOOK</t>
        </is>
      </c>
      <c r="BB943" t="inlineStr">
        <is>
          <t>9780871330468</t>
        </is>
      </c>
      <c r="BC943" t="inlineStr">
        <is>
          <t>32285000748730</t>
        </is>
      </c>
      <c r="BD943" t="inlineStr">
        <is>
          <t>893336845</t>
        </is>
      </c>
    </row>
    <row r="944">
      <c r="A944" t="inlineStr">
        <is>
          <t>No</t>
        </is>
      </c>
      <c r="B944" t="inlineStr">
        <is>
          <t>BT701.2 .S5513</t>
        </is>
      </c>
      <c r="C944" t="inlineStr">
        <is>
          <t>0                      BT 0701200S  5513</t>
        </is>
      </c>
      <c r="D944" t="inlineStr">
        <is>
          <t>Divine humanness / by Aarne Siirala. Translated by T. A. Kantonen.</t>
        </is>
      </c>
      <c r="F944" t="inlineStr">
        <is>
          <t>No</t>
        </is>
      </c>
      <c r="G944" t="inlineStr">
        <is>
          <t>1</t>
        </is>
      </c>
      <c r="H944" t="inlineStr">
        <is>
          <t>No</t>
        </is>
      </c>
      <c r="I944" t="inlineStr">
        <is>
          <t>No</t>
        </is>
      </c>
      <c r="J944" t="inlineStr">
        <is>
          <t>0</t>
        </is>
      </c>
      <c r="K944" t="inlineStr">
        <is>
          <t>Siirala, Aarne.</t>
        </is>
      </c>
      <c r="L944" t="inlineStr">
        <is>
          <t>Philadelphia, Fortress Press [1970]</t>
        </is>
      </c>
      <c r="M944" t="inlineStr">
        <is>
          <t>1970</t>
        </is>
      </c>
      <c r="O944" t="inlineStr">
        <is>
          <t>eng</t>
        </is>
      </c>
      <c r="P944" t="inlineStr">
        <is>
          <t>pau</t>
        </is>
      </c>
      <c r="R944" t="inlineStr">
        <is>
          <t xml:space="preserve">BT </t>
        </is>
      </c>
      <c r="S944" t="n">
        <v>1</v>
      </c>
      <c r="T944" t="n">
        <v>1</v>
      </c>
      <c r="U944" t="inlineStr">
        <is>
          <t>2004-11-16</t>
        </is>
      </c>
      <c r="V944" t="inlineStr">
        <is>
          <t>2004-11-16</t>
        </is>
      </c>
      <c r="W944" t="inlineStr">
        <is>
          <t>1990-03-06</t>
        </is>
      </c>
      <c r="X944" t="inlineStr">
        <is>
          <t>1990-03-06</t>
        </is>
      </c>
      <c r="Y944" t="n">
        <v>226</v>
      </c>
      <c r="Z944" t="n">
        <v>186</v>
      </c>
      <c r="AA944" t="n">
        <v>186</v>
      </c>
      <c r="AB944" t="n">
        <v>2</v>
      </c>
      <c r="AC944" t="n">
        <v>2</v>
      </c>
      <c r="AD944" t="n">
        <v>13</v>
      </c>
      <c r="AE944" t="n">
        <v>13</v>
      </c>
      <c r="AF944" t="n">
        <v>4</v>
      </c>
      <c r="AG944" t="n">
        <v>4</v>
      </c>
      <c r="AH944" t="n">
        <v>2</v>
      </c>
      <c r="AI944" t="n">
        <v>2</v>
      </c>
      <c r="AJ944" t="n">
        <v>9</v>
      </c>
      <c r="AK944" t="n">
        <v>9</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HYPERLINK("https://creighton-primo.hosted.exlibrisgroup.com/primo-explore/search?tab=default_tab&amp;search_scope=EVERYTHING&amp;vid=01CRU&amp;lang=en_US&amp;offset=0&amp;query=any,contains,991000517229702656","Catalog Record")</f>
        <v/>
      </c>
      <c r="AT944">
        <f>HYPERLINK("http://www.worldcat.org/oclc/86429","WorldCat Record")</f>
        <v/>
      </c>
      <c r="AU944" t="inlineStr">
        <is>
          <t>18720847:eng</t>
        </is>
      </c>
      <c r="AV944" t="inlineStr">
        <is>
          <t>86429</t>
        </is>
      </c>
      <c r="AW944" t="inlineStr">
        <is>
          <t>991000517229702656</t>
        </is>
      </c>
      <c r="AX944" t="inlineStr">
        <is>
          <t>991000517229702656</t>
        </is>
      </c>
      <c r="AY944" t="inlineStr">
        <is>
          <t>2270359320002656</t>
        </is>
      </c>
      <c r="AZ944" t="inlineStr">
        <is>
          <t>BOOK</t>
        </is>
      </c>
      <c r="BC944" t="inlineStr">
        <is>
          <t>32285000077106</t>
        </is>
      </c>
      <c r="BD944" t="inlineStr">
        <is>
          <t>893614244</t>
        </is>
      </c>
    </row>
    <row r="945">
      <c r="A945" t="inlineStr">
        <is>
          <t>No</t>
        </is>
      </c>
      <c r="B945" t="inlineStr">
        <is>
          <t>BT701.2 .V313</t>
        </is>
      </c>
      <c r="C945" t="inlineStr">
        <is>
          <t>0                      BT 0701200V  313</t>
        </is>
      </c>
      <c r="D945" t="inlineStr">
        <is>
          <t>The flesh, instrument of salvation : a theology of the human body / Cipriano Vagaggini.</t>
        </is>
      </c>
      <c r="F945" t="inlineStr">
        <is>
          <t>No</t>
        </is>
      </c>
      <c r="G945" t="inlineStr">
        <is>
          <t>1</t>
        </is>
      </c>
      <c r="H945" t="inlineStr">
        <is>
          <t>No</t>
        </is>
      </c>
      <c r="I945" t="inlineStr">
        <is>
          <t>No</t>
        </is>
      </c>
      <c r="J945" t="inlineStr">
        <is>
          <t>0</t>
        </is>
      </c>
      <c r="K945" t="inlineStr">
        <is>
          <t>Vagaggini, Cipriano, 1909-1999.</t>
        </is>
      </c>
      <c r="L945" t="inlineStr">
        <is>
          <t>Staten Island, N.Y., Alba House [1969]</t>
        </is>
      </c>
      <c r="M945" t="inlineStr">
        <is>
          <t>1969</t>
        </is>
      </c>
      <c r="O945" t="inlineStr">
        <is>
          <t>eng</t>
        </is>
      </c>
      <c r="P945" t="inlineStr">
        <is>
          <t>nyu</t>
        </is>
      </c>
      <c r="R945" t="inlineStr">
        <is>
          <t xml:space="preserve">BT </t>
        </is>
      </c>
      <c r="S945" t="n">
        <v>1</v>
      </c>
      <c r="T945" t="n">
        <v>1</v>
      </c>
      <c r="U945" t="inlineStr">
        <is>
          <t>1995-04-18</t>
        </is>
      </c>
      <c r="V945" t="inlineStr">
        <is>
          <t>1995-04-18</t>
        </is>
      </c>
      <c r="W945" t="inlineStr">
        <is>
          <t>1990-02-15</t>
        </is>
      </c>
      <c r="X945" t="inlineStr">
        <is>
          <t>1990-02-15</t>
        </is>
      </c>
      <c r="Y945" t="n">
        <v>169</v>
      </c>
      <c r="Z945" t="n">
        <v>144</v>
      </c>
      <c r="AA945" t="n">
        <v>144</v>
      </c>
      <c r="AB945" t="n">
        <v>2</v>
      </c>
      <c r="AC945" t="n">
        <v>2</v>
      </c>
      <c r="AD945" t="n">
        <v>25</v>
      </c>
      <c r="AE945" t="n">
        <v>25</v>
      </c>
      <c r="AF945" t="n">
        <v>6</v>
      </c>
      <c r="AG945" t="n">
        <v>6</v>
      </c>
      <c r="AH945" t="n">
        <v>8</v>
      </c>
      <c r="AI945" t="n">
        <v>8</v>
      </c>
      <c r="AJ945" t="n">
        <v>21</v>
      </c>
      <c r="AK945" t="n">
        <v>21</v>
      </c>
      <c r="AL945" t="n">
        <v>0</v>
      </c>
      <c r="AM945" t="n">
        <v>0</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HYPERLINK("https://creighton-primo.hosted.exlibrisgroup.com/primo-explore/search?tab=default_tab&amp;search_scope=EVERYTHING&amp;vid=01CRU&amp;lang=en_US&amp;offset=0&amp;query=any,contains,991005437619702656","Catalog Record")</f>
        <v/>
      </c>
      <c r="AT945">
        <f>HYPERLINK("http://www.worldcat.org/oclc/5440","WorldCat Record")</f>
        <v/>
      </c>
      <c r="AU945" t="inlineStr">
        <is>
          <t>1128805:eng</t>
        </is>
      </c>
      <c r="AV945" t="inlineStr">
        <is>
          <t>5440</t>
        </is>
      </c>
      <c r="AW945" t="inlineStr">
        <is>
          <t>991005437619702656</t>
        </is>
      </c>
      <c r="AX945" t="inlineStr">
        <is>
          <t>991005437619702656</t>
        </is>
      </c>
      <c r="AY945" t="inlineStr">
        <is>
          <t>2264627260002656</t>
        </is>
      </c>
      <c r="AZ945" t="inlineStr">
        <is>
          <t>BOOK</t>
        </is>
      </c>
      <c r="BC945" t="inlineStr">
        <is>
          <t>32285000053958</t>
        </is>
      </c>
      <c r="BD945" t="inlineStr">
        <is>
          <t>893236835</t>
        </is>
      </c>
    </row>
    <row r="946">
      <c r="A946" t="inlineStr">
        <is>
          <t>No</t>
        </is>
      </c>
      <c r="B946" t="inlineStr">
        <is>
          <t>BT701.2 .W46</t>
        </is>
      </c>
      <c r="C946" t="inlineStr">
        <is>
          <t>0                      BT 0701200W  46</t>
        </is>
      </c>
      <c r="D946" t="inlineStr">
        <is>
          <t>The image of man in C. S. Lewis / William Luther White.</t>
        </is>
      </c>
      <c r="F946" t="inlineStr">
        <is>
          <t>No</t>
        </is>
      </c>
      <c r="G946" t="inlineStr">
        <is>
          <t>1</t>
        </is>
      </c>
      <c r="H946" t="inlineStr">
        <is>
          <t>No</t>
        </is>
      </c>
      <c r="I946" t="inlineStr">
        <is>
          <t>No</t>
        </is>
      </c>
      <c r="J946" t="inlineStr">
        <is>
          <t>0</t>
        </is>
      </c>
      <c r="K946" t="inlineStr">
        <is>
          <t>White, William Luther, 1931-</t>
        </is>
      </c>
      <c r="L946" t="inlineStr">
        <is>
          <t>Nashville, Abingdon Press [1969]</t>
        </is>
      </c>
      <c r="M946" t="inlineStr">
        <is>
          <t>1969</t>
        </is>
      </c>
      <c r="O946" t="inlineStr">
        <is>
          <t>eng</t>
        </is>
      </c>
      <c r="P946" t="inlineStr">
        <is>
          <t>tnu</t>
        </is>
      </c>
      <c r="R946" t="inlineStr">
        <is>
          <t xml:space="preserve">BT </t>
        </is>
      </c>
      <c r="S946" t="n">
        <v>2</v>
      </c>
      <c r="T946" t="n">
        <v>2</v>
      </c>
      <c r="U946" t="inlineStr">
        <is>
          <t>2002-04-17</t>
        </is>
      </c>
      <c r="V946" t="inlineStr">
        <is>
          <t>2002-04-17</t>
        </is>
      </c>
      <c r="W946" t="inlineStr">
        <is>
          <t>1991-09-23</t>
        </is>
      </c>
      <c r="X946" t="inlineStr">
        <is>
          <t>1991-09-23</t>
        </is>
      </c>
      <c r="Y946" t="n">
        <v>852</v>
      </c>
      <c r="Z946" t="n">
        <v>773</v>
      </c>
      <c r="AA946" t="n">
        <v>806</v>
      </c>
      <c r="AB946" t="n">
        <v>3</v>
      </c>
      <c r="AC946" t="n">
        <v>3</v>
      </c>
      <c r="AD946" t="n">
        <v>34</v>
      </c>
      <c r="AE946" t="n">
        <v>36</v>
      </c>
      <c r="AF946" t="n">
        <v>16</v>
      </c>
      <c r="AG946" t="n">
        <v>16</v>
      </c>
      <c r="AH946" t="n">
        <v>6</v>
      </c>
      <c r="AI946" t="n">
        <v>7</v>
      </c>
      <c r="AJ946" t="n">
        <v>19</v>
      </c>
      <c r="AK946" t="n">
        <v>21</v>
      </c>
      <c r="AL946" t="n">
        <v>2</v>
      </c>
      <c r="AM946" t="n">
        <v>2</v>
      </c>
      <c r="AN946" t="n">
        <v>0</v>
      </c>
      <c r="AO946" t="n">
        <v>0</v>
      </c>
      <c r="AP946" t="inlineStr">
        <is>
          <t>No</t>
        </is>
      </c>
      <c r="AQ946" t="inlineStr">
        <is>
          <t>Yes</t>
        </is>
      </c>
      <c r="AR946">
        <f>HYPERLINK("http://catalog.hathitrust.org/Record/001412448","HathiTrust Record")</f>
        <v/>
      </c>
      <c r="AS946">
        <f>HYPERLINK("https://creighton-primo.hosted.exlibrisgroup.com/primo-explore/search?tab=default_tab&amp;search_scope=EVERYTHING&amp;vid=01CRU&amp;lang=en_US&amp;offset=0&amp;query=any,contains,991000080719702656","Catalog Record")</f>
        <v/>
      </c>
      <c r="AT946">
        <f>HYPERLINK("http://www.worldcat.org/oclc/31451","WorldCat Record")</f>
        <v/>
      </c>
      <c r="AU946" t="inlineStr">
        <is>
          <t>1182685:eng</t>
        </is>
      </c>
      <c r="AV946" t="inlineStr">
        <is>
          <t>31451</t>
        </is>
      </c>
      <c r="AW946" t="inlineStr">
        <is>
          <t>991000080719702656</t>
        </is>
      </c>
      <c r="AX946" t="inlineStr">
        <is>
          <t>991000080719702656</t>
        </is>
      </c>
      <c r="AY946" t="inlineStr">
        <is>
          <t>2261002870002656</t>
        </is>
      </c>
      <c r="AZ946" t="inlineStr">
        <is>
          <t>BOOK</t>
        </is>
      </c>
      <c r="BB946" t="inlineStr">
        <is>
          <t>9780687186730</t>
        </is>
      </c>
      <c r="BC946" t="inlineStr">
        <is>
          <t>32285000748771</t>
        </is>
      </c>
      <c r="BD946" t="inlineStr">
        <is>
          <t>893521374</t>
        </is>
      </c>
    </row>
    <row r="947">
      <c r="A947" t="inlineStr">
        <is>
          <t>No</t>
        </is>
      </c>
      <c r="B947" t="inlineStr">
        <is>
          <t>BT701.3 .F35 2001</t>
        </is>
      </c>
      <c r="C947" t="inlineStr">
        <is>
          <t>0                      BT 0701300F  35          2001</t>
        </is>
      </c>
      <c r="D947" t="inlineStr">
        <is>
          <t>Faith, reason, and political life today / edited by Peter Augustine Lawler and Dale McConkey.</t>
        </is>
      </c>
      <c r="F947" t="inlineStr">
        <is>
          <t>No</t>
        </is>
      </c>
      <c r="G947" t="inlineStr">
        <is>
          <t>1</t>
        </is>
      </c>
      <c r="H947" t="inlineStr">
        <is>
          <t>No</t>
        </is>
      </c>
      <c r="I947" t="inlineStr">
        <is>
          <t>No</t>
        </is>
      </c>
      <c r="J947" t="inlineStr">
        <is>
          <t>0</t>
        </is>
      </c>
      <c r="L947" t="inlineStr">
        <is>
          <t>Lanham, Md. : Lexington Books, c2001.</t>
        </is>
      </c>
      <c r="M947" t="inlineStr">
        <is>
          <t>2001</t>
        </is>
      </c>
      <c r="O947" t="inlineStr">
        <is>
          <t>eng</t>
        </is>
      </c>
      <c r="P947" t="inlineStr">
        <is>
          <t>mdu</t>
        </is>
      </c>
      <c r="Q947" t="inlineStr">
        <is>
          <t>Applications of political theory</t>
        </is>
      </c>
      <c r="R947" t="inlineStr">
        <is>
          <t xml:space="preserve">BT </t>
        </is>
      </c>
      <c r="S947" t="n">
        <v>2</v>
      </c>
      <c r="T947" t="n">
        <v>2</v>
      </c>
      <c r="U947" t="inlineStr">
        <is>
          <t>2004-11-22</t>
        </is>
      </c>
      <c r="V947" t="inlineStr">
        <is>
          <t>2004-11-22</t>
        </is>
      </c>
      <c r="W947" t="inlineStr">
        <is>
          <t>2003-10-27</t>
        </is>
      </c>
      <c r="X947" t="inlineStr">
        <is>
          <t>2003-10-27</t>
        </is>
      </c>
      <c r="Y947" t="n">
        <v>150</v>
      </c>
      <c r="Z947" t="n">
        <v>131</v>
      </c>
      <c r="AA947" t="n">
        <v>149</v>
      </c>
      <c r="AB947" t="n">
        <v>2</v>
      </c>
      <c r="AC947" t="n">
        <v>2</v>
      </c>
      <c r="AD947" t="n">
        <v>11</v>
      </c>
      <c r="AE947" t="n">
        <v>12</v>
      </c>
      <c r="AF947" t="n">
        <v>5</v>
      </c>
      <c r="AG947" t="n">
        <v>6</v>
      </c>
      <c r="AH947" t="n">
        <v>2</v>
      </c>
      <c r="AI947" t="n">
        <v>3</v>
      </c>
      <c r="AJ947" t="n">
        <v>7</v>
      </c>
      <c r="AK947" t="n">
        <v>7</v>
      </c>
      <c r="AL947" t="n">
        <v>1</v>
      </c>
      <c r="AM947" t="n">
        <v>1</v>
      </c>
      <c r="AN947" t="n">
        <v>0</v>
      </c>
      <c r="AO947" t="n">
        <v>0</v>
      </c>
      <c r="AP947" t="inlineStr">
        <is>
          <t>No</t>
        </is>
      </c>
      <c r="AQ947" t="inlineStr">
        <is>
          <t>Yes</t>
        </is>
      </c>
      <c r="AR947">
        <f>HYPERLINK("http://catalog.hathitrust.org/Record/004170496","HathiTrust Record")</f>
        <v/>
      </c>
      <c r="AS947">
        <f>HYPERLINK("https://creighton-primo.hosted.exlibrisgroup.com/primo-explore/search?tab=default_tab&amp;search_scope=EVERYTHING&amp;vid=01CRU&amp;lang=en_US&amp;offset=0&amp;query=any,contains,991004156559702656","Catalog Record")</f>
        <v/>
      </c>
      <c r="AT947">
        <f>HYPERLINK("http://www.worldcat.org/oclc/45052707","WorldCat Record")</f>
        <v/>
      </c>
      <c r="AU947" t="inlineStr">
        <is>
          <t>353792441:eng</t>
        </is>
      </c>
      <c r="AV947" t="inlineStr">
        <is>
          <t>45052707</t>
        </is>
      </c>
      <c r="AW947" t="inlineStr">
        <is>
          <t>991004156559702656</t>
        </is>
      </c>
      <c r="AX947" t="inlineStr">
        <is>
          <t>991004156559702656</t>
        </is>
      </c>
      <c r="AY947" t="inlineStr">
        <is>
          <t>2270051930002656</t>
        </is>
      </c>
      <c r="AZ947" t="inlineStr">
        <is>
          <t>BOOK</t>
        </is>
      </c>
      <c r="BB947" t="inlineStr">
        <is>
          <t>9780739102220</t>
        </is>
      </c>
      <c r="BC947" t="inlineStr">
        <is>
          <t>32285004790704</t>
        </is>
      </c>
      <c r="BD947" t="inlineStr">
        <is>
          <t>893800657</t>
        </is>
      </c>
    </row>
    <row r="948">
      <c r="A948" t="inlineStr">
        <is>
          <t>No</t>
        </is>
      </c>
      <c r="B948" t="inlineStr">
        <is>
          <t>BT702 .A844 1997</t>
        </is>
      </c>
      <c r="C948" t="inlineStr">
        <is>
          <t>0                      BT 0702000A  844         1997</t>
        </is>
      </c>
      <c r="D948" t="inlineStr">
        <is>
          <t>The humanizing brain : where religion and neuroscience meet / James B. Ashbrook and Carol Rausch Albright ; foreword by Anne Harrington.</t>
        </is>
      </c>
      <c r="F948" t="inlineStr">
        <is>
          <t>No</t>
        </is>
      </c>
      <c r="G948" t="inlineStr">
        <is>
          <t>1</t>
        </is>
      </c>
      <c r="H948" t="inlineStr">
        <is>
          <t>No</t>
        </is>
      </c>
      <c r="I948" t="inlineStr">
        <is>
          <t>No</t>
        </is>
      </c>
      <c r="J948" t="inlineStr">
        <is>
          <t>0</t>
        </is>
      </c>
      <c r="K948" t="inlineStr">
        <is>
          <t>Ashbrook, James B., 1925-</t>
        </is>
      </c>
      <c r="L948" t="inlineStr">
        <is>
          <t>Cleveland, Ohio : Pilgrim Press, 1997.</t>
        </is>
      </c>
      <c r="M948" t="inlineStr">
        <is>
          <t>1997</t>
        </is>
      </c>
      <c r="O948" t="inlineStr">
        <is>
          <t>eng</t>
        </is>
      </c>
      <c r="P948" t="inlineStr">
        <is>
          <t>ohu</t>
        </is>
      </c>
      <c r="R948" t="inlineStr">
        <is>
          <t xml:space="preserve">BT </t>
        </is>
      </c>
      <c r="S948" t="n">
        <v>3</v>
      </c>
      <c r="T948" t="n">
        <v>3</v>
      </c>
      <c r="U948" t="inlineStr">
        <is>
          <t>2009-11-30</t>
        </is>
      </c>
      <c r="V948" t="inlineStr">
        <is>
          <t>2009-11-30</t>
        </is>
      </c>
      <c r="W948" t="inlineStr">
        <is>
          <t>1998-08-18</t>
        </is>
      </c>
      <c r="X948" t="inlineStr">
        <is>
          <t>1998-08-18</t>
        </is>
      </c>
      <c r="Y948" t="n">
        <v>290</v>
      </c>
      <c r="Z948" t="n">
        <v>255</v>
      </c>
      <c r="AA948" t="n">
        <v>257</v>
      </c>
      <c r="AB948" t="n">
        <v>5</v>
      </c>
      <c r="AC948" t="n">
        <v>5</v>
      </c>
      <c r="AD948" t="n">
        <v>22</v>
      </c>
      <c r="AE948" t="n">
        <v>22</v>
      </c>
      <c r="AF948" t="n">
        <v>8</v>
      </c>
      <c r="AG948" t="n">
        <v>8</v>
      </c>
      <c r="AH948" t="n">
        <v>4</v>
      </c>
      <c r="AI948" t="n">
        <v>4</v>
      </c>
      <c r="AJ948" t="n">
        <v>13</v>
      </c>
      <c r="AK948" t="n">
        <v>13</v>
      </c>
      <c r="AL948" t="n">
        <v>4</v>
      </c>
      <c r="AM948" t="n">
        <v>4</v>
      </c>
      <c r="AN948" t="n">
        <v>0</v>
      </c>
      <c r="AO948" t="n">
        <v>0</v>
      </c>
      <c r="AP948" t="inlineStr">
        <is>
          <t>No</t>
        </is>
      </c>
      <c r="AQ948" t="inlineStr">
        <is>
          <t>Yes</t>
        </is>
      </c>
      <c r="AR948">
        <f>HYPERLINK("http://catalog.hathitrust.org/Record/003949120","HathiTrust Record")</f>
        <v/>
      </c>
      <c r="AS948">
        <f>HYPERLINK("https://creighton-primo.hosted.exlibrisgroup.com/primo-explore/search?tab=default_tab&amp;search_scope=EVERYTHING&amp;vid=01CRU&amp;lang=en_US&amp;offset=0&amp;query=any,contains,991002826009702656","Catalog Record")</f>
        <v/>
      </c>
      <c r="AT948">
        <f>HYPERLINK("http://www.worldcat.org/oclc/37211245","WorldCat Record")</f>
        <v/>
      </c>
      <c r="AU948" t="inlineStr">
        <is>
          <t>630061:eng</t>
        </is>
      </c>
      <c r="AV948" t="inlineStr">
        <is>
          <t>37211245</t>
        </is>
      </c>
      <c r="AW948" t="inlineStr">
        <is>
          <t>991002826009702656</t>
        </is>
      </c>
      <c r="AX948" t="inlineStr">
        <is>
          <t>991002826009702656</t>
        </is>
      </c>
      <c r="AY948" t="inlineStr">
        <is>
          <t>2258762660002656</t>
        </is>
      </c>
      <c r="AZ948" t="inlineStr">
        <is>
          <t>BOOK</t>
        </is>
      </c>
      <c r="BB948" t="inlineStr">
        <is>
          <t>9780829812008</t>
        </is>
      </c>
      <c r="BC948" t="inlineStr">
        <is>
          <t>32285003453668</t>
        </is>
      </c>
      <c r="BD948" t="inlineStr">
        <is>
          <t>893227332</t>
        </is>
      </c>
    </row>
    <row r="949">
      <c r="A949" t="inlineStr">
        <is>
          <t>No</t>
        </is>
      </c>
      <c r="B949" t="inlineStr">
        <is>
          <t>BT702 .P63 1999</t>
        </is>
      </c>
      <c r="C949" t="inlineStr">
        <is>
          <t>0                      BT 0702000P  63          1999</t>
        </is>
      </c>
      <c r="D949" t="inlineStr">
        <is>
          <t>The church impotent : the feminization of Christianity / Leon J. Podles.</t>
        </is>
      </c>
      <c r="F949" t="inlineStr">
        <is>
          <t>No</t>
        </is>
      </c>
      <c r="G949" t="inlineStr">
        <is>
          <t>1</t>
        </is>
      </c>
      <c r="H949" t="inlineStr">
        <is>
          <t>No</t>
        </is>
      </c>
      <c r="I949" t="inlineStr">
        <is>
          <t>No</t>
        </is>
      </c>
      <c r="J949" t="inlineStr">
        <is>
          <t>0</t>
        </is>
      </c>
      <c r="K949" t="inlineStr">
        <is>
          <t>Podles, Leon J., 1946-</t>
        </is>
      </c>
      <c r="L949" t="inlineStr">
        <is>
          <t>Dallas : Spence Pub., 1999.</t>
        </is>
      </c>
      <c r="M949" t="inlineStr">
        <is>
          <t>1999</t>
        </is>
      </c>
      <c r="O949" t="inlineStr">
        <is>
          <t>eng</t>
        </is>
      </c>
      <c r="P949" t="inlineStr">
        <is>
          <t>txu</t>
        </is>
      </c>
      <c r="R949" t="inlineStr">
        <is>
          <t xml:space="preserve">BT </t>
        </is>
      </c>
      <c r="S949" t="n">
        <v>4</v>
      </c>
      <c r="T949" t="n">
        <v>4</v>
      </c>
      <c r="U949" t="inlineStr">
        <is>
          <t>2001-03-30</t>
        </is>
      </c>
      <c r="V949" t="inlineStr">
        <is>
          <t>2001-03-30</t>
        </is>
      </c>
      <c r="W949" t="inlineStr">
        <is>
          <t>1999-09-30</t>
        </is>
      </c>
      <c r="X949" t="inlineStr">
        <is>
          <t>1999-09-30</t>
        </is>
      </c>
      <c r="Y949" t="n">
        <v>368</v>
      </c>
      <c r="Z949" t="n">
        <v>329</v>
      </c>
      <c r="AA949" t="n">
        <v>344</v>
      </c>
      <c r="AB949" t="n">
        <v>4</v>
      </c>
      <c r="AC949" t="n">
        <v>4</v>
      </c>
      <c r="AD949" t="n">
        <v>22</v>
      </c>
      <c r="AE949" t="n">
        <v>23</v>
      </c>
      <c r="AF949" t="n">
        <v>8</v>
      </c>
      <c r="AG949" t="n">
        <v>9</v>
      </c>
      <c r="AH949" t="n">
        <v>5</v>
      </c>
      <c r="AI949" t="n">
        <v>5</v>
      </c>
      <c r="AJ949" t="n">
        <v>15</v>
      </c>
      <c r="AK949" t="n">
        <v>15</v>
      </c>
      <c r="AL949" t="n">
        <v>1</v>
      </c>
      <c r="AM949" t="n">
        <v>1</v>
      </c>
      <c r="AN949" t="n">
        <v>0</v>
      </c>
      <c r="AO949" t="n">
        <v>0</v>
      </c>
      <c r="AP949" t="inlineStr">
        <is>
          <t>No</t>
        </is>
      </c>
      <c r="AQ949" t="inlineStr">
        <is>
          <t>Yes</t>
        </is>
      </c>
      <c r="AR949">
        <f>HYPERLINK("http://catalog.hathitrust.org/Record/012273839","HathiTrust Record")</f>
        <v/>
      </c>
      <c r="AS949">
        <f>HYPERLINK("https://creighton-primo.hosted.exlibrisgroup.com/primo-explore/search?tab=default_tab&amp;search_scope=EVERYTHING&amp;vid=01CRU&amp;lang=en_US&amp;offset=0&amp;query=any,contains,991005428409702656","Catalog Record")</f>
        <v/>
      </c>
      <c r="AT949">
        <f>HYPERLINK("http://www.worldcat.org/oclc/39130335","WorldCat Record")</f>
        <v/>
      </c>
      <c r="AU949" t="inlineStr">
        <is>
          <t>917112365:eng</t>
        </is>
      </c>
      <c r="AV949" t="inlineStr">
        <is>
          <t>39130335</t>
        </is>
      </c>
      <c r="AW949" t="inlineStr">
        <is>
          <t>991005428409702656</t>
        </is>
      </c>
      <c r="AX949" t="inlineStr">
        <is>
          <t>991005428409702656</t>
        </is>
      </c>
      <c r="AY949" t="inlineStr">
        <is>
          <t>2265076080002656</t>
        </is>
      </c>
      <c r="AZ949" t="inlineStr">
        <is>
          <t>BOOK</t>
        </is>
      </c>
      <c r="BB949" t="inlineStr">
        <is>
          <t>9781890626075</t>
        </is>
      </c>
      <c r="BC949" t="inlineStr">
        <is>
          <t>32285003591962</t>
        </is>
      </c>
      <c r="BD949" t="inlineStr">
        <is>
          <t>893701593</t>
        </is>
      </c>
    </row>
    <row r="950">
      <c r="A950" t="inlineStr">
        <is>
          <t>No</t>
        </is>
      </c>
      <c r="B950" t="inlineStr">
        <is>
          <t>BT703 .B7</t>
        </is>
      </c>
      <c r="C950" t="inlineStr">
        <is>
          <t>0                      BT 0703000B  7</t>
        </is>
      </c>
      <c r="D950" t="inlineStr">
        <is>
          <t>Man and his destiny in the great religions : an historical and comparative study containing the Wilde Lectures in Natural and Comparative Religion delivered in the University of Oxford, 1954-1957 / S.G.F. Brandon.</t>
        </is>
      </c>
      <c r="F950" t="inlineStr">
        <is>
          <t>No</t>
        </is>
      </c>
      <c r="G950" t="inlineStr">
        <is>
          <t>1</t>
        </is>
      </c>
      <c r="H950" t="inlineStr">
        <is>
          <t>No</t>
        </is>
      </c>
      <c r="I950" t="inlineStr">
        <is>
          <t>No</t>
        </is>
      </c>
      <c r="J950" t="inlineStr">
        <is>
          <t>0</t>
        </is>
      </c>
      <c r="K950" t="inlineStr">
        <is>
          <t>Brandon, S. G. F. (Samuel George Frederick), 1907-1971.</t>
        </is>
      </c>
      <c r="L950" t="inlineStr">
        <is>
          <t>Manchester : University Press, [1962]</t>
        </is>
      </c>
      <c r="M950" t="inlineStr">
        <is>
          <t>1962</t>
        </is>
      </c>
      <c r="O950" t="inlineStr">
        <is>
          <t>eng</t>
        </is>
      </c>
      <c r="P950" t="inlineStr">
        <is>
          <t>enk</t>
        </is>
      </c>
      <c r="R950" t="inlineStr">
        <is>
          <t xml:space="preserve">BT </t>
        </is>
      </c>
      <c r="S950" t="n">
        <v>3</v>
      </c>
      <c r="T950" t="n">
        <v>3</v>
      </c>
      <c r="U950" t="inlineStr">
        <is>
          <t>2001-01-16</t>
        </is>
      </c>
      <c r="V950" t="inlineStr">
        <is>
          <t>2001-01-16</t>
        </is>
      </c>
      <c r="W950" t="inlineStr">
        <is>
          <t>1991-09-23</t>
        </is>
      </c>
      <c r="X950" t="inlineStr">
        <is>
          <t>1991-09-23</t>
        </is>
      </c>
      <c r="Y950" t="n">
        <v>372</v>
      </c>
      <c r="Z950" t="n">
        <v>290</v>
      </c>
      <c r="AA950" t="n">
        <v>441</v>
      </c>
      <c r="AB950" t="n">
        <v>4</v>
      </c>
      <c r="AC950" t="n">
        <v>4</v>
      </c>
      <c r="AD950" t="n">
        <v>11</v>
      </c>
      <c r="AE950" t="n">
        <v>22</v>
      </c>
      <c r="AF950" t="n">
        <v>1</v>
      </c>
      <c r="AG950" t="n">
        <v>5</v>
      </c>
      <c r="AH950" t="n">
        <v>2</v>
      </c>
      <c r="AI950" t="n">
        <v>5</v>
      </c>
      <c r="AJ950" t="n">
        <v>7</v>
      </c>
      <c r="AK950" t="n">
        <v>14</v>
      </c>
      <c r="AL950" t="n">
        <v>3</v>
      </c>
      <c r="AM950" t="n">
        <v>3</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HYPERLINK("https://creighton-primo.hosted.exlibrisgroup.com/primo-explore/search?tab=default_tab&amp;search_scope=EVERYTHING&amp;vid=01CRU&amp;lang=en_US&amp;offset=0&amp;query=any,contains,991000386119702656","Catalog Record")</f>
        <v/>
      </c>
      <c r="AT950">
        <f>HYPERLINK("http://www.worldcat.org/oclc/10512892","WorldCat Record")</f>
        <v/>
      </c>
      <c r="AU950" t="inlineStr">
        <is>
          <t>3070779:eng</t>
        </is>
      </c>
      <c r="AV950" t="inlineStr">
        <is>
          <t>10512892</t>
        </is>
      </c>
      <c r="AW950" t="inlineStr">
        <is>
          <t>991000386119702656</t>
        </is>
      </c>
      <c r="AX950" t="inlineStr">
        <is>
          <t>991000386119702656</t>
        </is>
      </c>
      <c r="AY950" t="inlineStr">
        <is>
          <t>2260834190002656</t>
        </is>
      </c>
      <c r="AZ950" t="inlineStr">
        <is>
          <t>BOOK</t>
        </is>
      </c>
      <c r="BC950" t="inlineStr">
        <is>
          <t>32285000748813</t>
        </is>
      </c>
      <c r="BD950" t="inlineStr">
        <is>
          <t>893237265</t>
        </is>
      </c>
    </row>
    <row r="951">
      <c r="A951" t="inlineStr">
        <is>
          <t>No</t>
        </is>
      </c>
      <c r="B951" t="inlineStr">
        <is>
          <t>BT703 .C523 1982</t>
        </is>
      </c>
      <c r="C951" t="inlineStr">
        <is>
          <t>0                      BT 0703000C  523         1982</t>
        </is>
      </c>
      <c r="D951" t="inlineStr">
        <is>
          <t>A Christian understanding of the human person : basic readings / edited by Eugene Lauer and Joel Mlecko.</t>
        </is>
      </c>
      <c r="F951" t="inlineStr">
        <is>
          <t>No</t>
        </is>
      </c>
      <c r="G951" t="inlineStr">
        <is>
          <t>1</t>
        </is>
      </c>
      <c r="H951" t="inlineStr">
        <is>
          <t>No</t>
        </is>
      </c>
      <c r="I951" t="inlineStr">
        <is>
          <t>No</t>
        </is>
      </c>
      <c r="J951" t="inlineStr">
        <is>
          <t>0</t>
        </is>
      </c>
      <c r="L951" t="inlineStr">
        <is>
          <t>New York : Paulist Press, c1982.</t>
        </is>
      </c>
      <c r="M951" t="inlineStr">
        <is>
          <t>1982</t>
        </is>
      </c>
      <c r="O951" t="inlineStr">
        <is>
          <t>eng</t>
        </is>
      </c>
      <c r="P951" t="inlineStr">
        <is>
          <t>nyu</t>
        </is>
      </c>
      <c r="R951" t="inlineStr">
        <is>
          <t xml:space="preserve">BT </t>
        </is>
      </c>
      <c r="S951" t="n">
        <v>3</v>
      </c>
      <c r="T951" t="n">
        <v>3</v>
      </c>
      <c r="U951" t="inlineStr">
        <is>
          <t>1996-11-15</t>
        </is>
      </c>
      <c r="V951" t="inlineStr">
        <is>
          <t>1996-11-15</t>
        </is>
      </c>
      <c r="W951" t="inlineStr">
        <is>
          <t>1990-08-02</t>
        </is>
      </c>
      <c r="X951" t="inlineStr">
        <is>
          <t>1990-08-02</t>
        </is>
      </c>
      <c r="Y951" t="n">
        <v>217</v>
      </c>
      <c r="Z951" t="n">
        <v>197</v>
      </c>
      <c r="AA951" t="n">
        <v>202</v>
      </c>
      <c r="AB951" t="n">
        <v>3</v>
      </c>
      <c r="AC951" t="n">
        <v>3</v>
      </c>
      <c r="AD951" t="n">
        <v>23</v>
      </c>
      <c r="AE951" t="n">
        <v>23</v>
      </c>
      <c r="AF951" t="n">
        <v>10</v>
      </c>
      <c r="AG951" t="n">
        <v>10</v>
      </c>
      <c r="AH951" t="n">
        <v>4</v>
      </c>
      <c r="AI951" t="n">
        <v>4</v>
      </c>
      <c r="AJ951" t="n">
        <v>14</v>
      </c>
      <c r="AK951" t="n">
        <v>14</v>
      </c>
      <c r="AL951" t="n">
        <v>1</v>
      </c>
      <c r="AM951" t="n">
        <v>1</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HYPERLINK("https://creighton-primo.hosted.exlibrisgroup.com/primo-explore/search?tab=default_tab&amp;search_scope=EVERYTHING&amp;vid=01CRU&amp;lang=en_US&amp;offset=0&amp;query=any,contains,991000013869702656","Catalog Record")</f>
        <v/>
      </c>
      <c r="AT951">
        <f>HYPERLINK("http://www.worldcat.org/oclc/8708612","WorldCat Record")</f>
        <v/>
      </c>
      <c r="AU951" t="inlineStr">
        <is>
          <t>1042374715:eng</t>
        </is>
      </c>
      <c r="AV951" t="inlineStr">
        <is>
          <t>8708612</t>
        </is>
      </c>
      <c r="AW951" t="inlineStr">
        <is>
          <t>991000013869702656</t>
        </is>
      </c>
      <c r="AX951" t="inlineStr">
        <is>
          <t>991000013869702656</t>
        </is>
      </c>
      <c r="AY951" t="inlineStr">
        <is>
          <t>2258278300002656</t>
        </is>
      </c>
      <c r="AZ951" t="inlineStr">
        <is>
          <t>BOOK</t>
        </is>
      </c>
      <c r="BB951" t="inlineStr">
        <is>
          <t>9780809124336</t>
        </is>
      </c>
      <c r="BC951" t="inlineStr">
        <is>
          <t>32285000263268</t>
        </is>
      </c>
      <c r="BD951" t="inlineStr">
        <is>
          <t>893314594</t>
        </is>
      </c>
    </row>
    <row r="952">
      <c r="A952" t="inlineStr">
        <is>
          <t>No</t>
        </is>
      </c>
      <c r="B952" t="inlineStr">
        <is>
          <t>BT703 .M33</t>
        </is>
      </c>
      <c r="C952" t="inlineStr">
        <is>
          <t>0                      BT 0703000M  33</t>
        </is>
      </c>
      <c r="D952" t="inlineStr">
        <is>
          <t>Man before God: toward a theology of man; readings in theology [by] Juan Alfaro [and others] Foreword by Ronald E. Murphy. Compiled at the Canisianum, Innsbruck. [Editors: Denis Burkhard and others. Translators: Donald Becker and others]</t>
        </is>
      </c>
      <c r="F952" t="inlineStr">
        <is>
          <t>No</t>
        </is>
      </c>
      <c r="G952" t="inlineStr">
        <is>
          <t>1</t>
        </is>
      </c>
      <c r="H952" t="inlineStr">
        <is>
          <t>No</t>
        </is>
      </c>
      <c r="I952" t="inlineStr">
        <is>
          <t>No</t>
        </is>
      </c>
      <c r="J952" t="inlineStr">
        <is>
          <t>0</t>
        </is>
      </c>
      <c r="L952" t="inlineStr">
        <is>
          <t>New York, P.J. Kenedy [1966]</t>
        </is>
      </c>
      <c r="M952" t="inlineStr">
        <is>
          <t>1966</t>
        </is>
      </c>
      <c r="O952" t="inlineStr">
        <is>
          <t>eng</t>
        </is>
      </c>
      <c r="P952" t="inlineStr">
        <is>
          <t>nyu</t>
        </is>
      </c>
      <c r="R952" t="inlineStr">
        <is>
          <t xml:space="preserve">BT </t>
        </is>
      </c>
      <c r="S952" t="n">
        <v>4</v>
      </c>
      <c r="T952" t="n">
        <v>4</v>
      </c>
      <c r="U952" t="inlineStr">
        <is>
          <t>1999-02-25</t>
        </is>
      </c>
      <c r="V952" t="inlineStr">
        <is>
          <t>1999-02-25</t>
        </is>
      </c>
      <c r="W952" t="inlineStr">
        <is>
          <t>1990-08-02</t>
        </is>
      </c>
      <c r="X952" t="inlineStr">
        <is>
          <t>1990-08-02</t>
        </is>
      </c>
      <c r="Y952" t="n">
        <v>292</v>
      </c>
      <c r="Z952" t="n">
        <v>265</v>
      </c>
      <c r="AA952" t="n">
        <v>272</v>
      </c>
      <c r="AB952" t="n">
        <v>1</v>
      </c>
      <c r="AC952" t="n">
        <v>1</v>
      </c>
      <c r="AD952" t="n">
        <v>35</v>
      </c>
      <c r="AE952" t="n">
        <v>35</v>
      </c>
      <c r="AF952" t="n">
        <v>13</v>
      </c>
      <c r="AG952" t="n">
        <v>13</v>
      </c>
      <c r="AH952" t="n">
        <v>9</v>
      </c>
      <c r="AI952" t="n">
        <v>9</v>
      </c>
      <c r="AJ952" t="n">
        <v>25</v>
      </c>
      <c r="AK952" t="n">
        <v>25</v>
      </c>
      <c r="AL952" t="n">
        <v>0</v>
      </c>
      <c r="AM952" t="n">
        <v>0</v>
      </c>
      <c r="AN952" t="n">
        <v>0</v>
      </c>
      <c r="AO952" t="n">
        <v>0</v>
      </c>
      <c r="AP952" t="inlineStr">
        <is>
          <t>No</t>
        </is>
      </c>
      <c r="AQ952" t="inlineStr">
        <is>
          <t>Yes</t>
        </is>
      </c>
      <c r="AR952">
        <f>HYPERLINK("http://catalog.hathitrust.org/Record/006641805","HathiTrust Record")</f>
        <v/>
      </c>
      <c r="AS952">
        <f>HYPERLINK("https://creighton-primo.hosted.exlibrisgroup.com/primo-explore/search?tab=default_tab&amp;search_scope=EVERYTHING&amp;vid=01CRU&amp;lang=en_US&amp;offset=0&amp;query=any,contains,991003106299702656","Catalog Record")</f>
        <v/>
      </c>
      <c r="AT952">
        <f>HYPERLINK("http://www.worldcat.org/oclc/654336","WorldCat Record")</f>
        <v/>
      </c>
      <c r="AU952" t="inlineStr">
        <is>
          <t>712524:eng</t>
        </is>
      </c>
      <c r="AV952" t="inlineStr">
        <is>
          <t>654336</t>
        </is>
      </c>
      <c r="AW952" t="inlineStr">
        <is>
          <t>991003106299702656</t>
        </is>
      </c>
      <c r="AX952" t="inlineStr">
        <is>
          <t>991003106299702656</t>
        </is>
      </c>
      <c r="AY952" t="inlineStr">
        <is>
          <t>2261968100002656</t>
        </is>
      </c>
      <c r="AZ952" t="inlineStr">
        <is>
          <t>BOOK</t>
        </is>
      </c>
      <c r="BC952" t="inlineStr">
        <is>
          <t>32285000263276</t>
        </is>
      </c>
      <c r="BD952" t="inlineStr">
        <is>
          <t>893239889</t>
        </is>
      </c>
    </row>
    <row r="953">
      <c r="A953" t="inlineStr">
        <is>
          <t>No</t>
        </is>
      </c>
      <c r="B953" t="inlineStr">
        <is>
          <t>BT703 .W69</t>
        </is>
      </c>
      <c r="C953" t="inlineStr">
        <is>
          <t>0                      BT 0703000W  69</t>
        </is>
      </c>
      <c r="D953" t="inlineStr">
        <is>
          <t>A Christian humanism : Karol Wojtyla's existential personalism / by Andrew N. Woznicki.</t>
        </is>
      </c>
      <c r="F953" t="inlineStr">
        <is>
          <t>No</t>
        </is>
      </c>
      <c r="G953" t="inlineStr">
        <is>
          <t>1</t>
        </is>
      </c>
      <c r="H953" t="inlineStr">
        <is>
          <t>No</t>
        </is>
      </c>
      <c r="I953" t="inlineStr">
        <is>
          <t>No</t>
        </is>
      </c>
      <c r="J953" t="inlineStr">
        <is>
          <t>0</t>
        </is>
      </c>
      <c r="K953" t="inlineStr">
        <is>
          <t>Woznicki, Andrew N.</t>
        </is>
      </c>
      <c r="L953" t="inlineStr">
        <is>
          <t>New Britain, Ct. : Mariel Publications, c1980.</t>
        </is>
      </c>
      <c r="M953" t="inlineStr">
        <is>
          <t>1980</t>
        </is>
      </c>
      <c r="O953" t="inlineStr">
        <is>
          <t>eng</t>
        </is>
      </c>
      <c r="P953" t="inlineStr">
        <is>
          <t>ctu</t>
        </is>
      </c>
      <c r="R953" t="inlineStr">
        <is>
          <t xml:space="preserve">BT </t>
        </is>
      </c>
      <c r="S953" t="n">
        <v>8</v>
      </c>
      <c r="T953" t="n">
        <v>8</v>
      </c>
      <c r="U953" t="inlineStr">
        <is>
          <t>2008-10-23</t>
        </is>
      </c>
      <c r="V953" t="inlineStr">
        <is>
          <t>2008-10-23</t>
        </is>
      </c>
      <c r="W953" t="inlineStr">
        <is>
          <t>1990-08-02</t>
        </is>
      </c>
      <c r="X953" t="inlineStr">
        <is>
          <t>1990-08-02</t>
        </is>
      </c>
      <c r="Y953" t="n">
        <v>182</v>
      </c>
      <c r="Z953" t="n">
        <v>155</v>
      </c>
      <c r="AA953" t="n">
        <v>156</v>
      </c>
      <c r="AB953" t="n">
        <v>1</v>
      </c>
      <c r="AC953" t="n">
        <v>1</v>
      </c>
      <c r="AD953" t="n">
        <v>23</v>
      </c>
      <c r="AE953" t="n">
        <v>23</v>
      </c>
      <c r="AF953" t="n">
        <v>9</v>
      </c>
      <c r="AG953" t="n">
        <v>9</v>
      </c>
      <c r="AH953" t="n">
        <v>7</v>
      </c>
      <c r="AI953" t="n">
        <v>7</v>
      </c>
      <c r="AJ953" t="n">
        <v>17</v>
      </c>
      <c r="AK953" t="n">
        <v>17</v>
      </c>
      <c r="AL953" t="n">
        <v>0</v>
      </c>
      <c r="AM953" t="n">
        <v>0</v>
      </c>
      <c r="AN953" t="n">
        <v>0</v>
      </c>
      <c r="AO953" t="n">
        <v>0</v>
      </c>
      <c r="AP953" t="inlineStr">
        <is>
          <t>No</t>
        </is>
      </c>
      <c r="AQ953" t="inlineStr">
        <is>
          <t>Yes</t>
        </is>
      </c>
      <c r="AR953">
        <f>HYPERLINK("http://catalog.hathitrust.org/Record/000728849","HathiTrust Record")</f>
        <v/>
      </c>
      <c r="AS953">
        <f>HYPERLINK("https://creighton-primo.hosted.exlibrisgroup.com/primo-explore/search?tab=default_tab&amp;search_scope=EVERYTHING&amp;vid=01CRU&amp;lang=en_US&amp;offset=0&amp;query=any,contains,991004954689702656","Catalog Record")</f>
        <v/>
      </c>
      <c r="AT953">
        <f>HYPERLINK("http://www.worldcat.org/oclc/6277194","WorldCat Record")</f>
        <v/>
      </c>
      <c r="AU953" t="inlineStr">
        <is>
          <t>21591859:eng</t>
        </is>
      </c>
      <c r="AV953" t="inlineStr">
        <is>
          <t>6277194</t>
        </is>
      </c>
      <c r="AW953" t="inlineStr">
        <is>
          <t>991004954689702656</t>
        </is>
      </c>
      <c r="AX953" t="inlineStr">
        <is>
          <t>991004954689702656</t>
        </is>
      </c>
      <c r="AY953" t="inlineStr">
        <is>
          <t>2266435000002656</t>
        </is>
      </c>
      <c r="AZ953" t="inlineStr">
        <is>
          <t>BOOK</t>
        </is>
      </c>
      <c r="BC953" t="inlineStr">
        <is>
          <t>32285000263284</t>
        </is>
      </c>
      <c r="BD953" t="inlineStr">
        <is>
          <t>893776620</t>
        </is>
      </c>
    </row>
    <row r="954">
      <c r="A954" t="inlineStr">
        <is>
          <t>No</t>
        </is>
      </c>
      <c r="B954" t="inlineStr">
        <is>
          <t>BT703.5 .J36 1996</t>
        </is>
      </c>
      <c r="C954" t="inlineStr">
        <is>
          <t>0                      BT 0703500J  36          1996</t>
        </is>
      </c>
      <c r="D954" t="inlineStr">
        <is>
          <t>What are they saying about masculine spirituality? / David C. James.</t>
        </is>
      </c>
      <c r="F954" t="inlineStr">
        <is>
          <t>No</t>
        </is>
      </c>
      <c r="G954" t="inlineStr">
        <is>
          <t>1</t>
        </is>
      </c>
      <c r="H954" t="inlineStr">
        <is>
          <t>No</t>
        </is>
      </c>
      <c r="I954" t="inlineStr">
        <is>
          <t>No</t>
        </is>
      </c>
      <c r="J954" t="inlineStr">
        <is>
          <t>0</t>
        </is>
      </c>
      <c r="K954" t="inlineStr">
        <is>
          <t>James, David C., 1955 November 7-</t>
        </is>
      </c>
      <c r="L954" t="inlineStr">
        <is>
          <t>New York : Paulist Press, c1996.</t>
        </is>
      </c>
      <c r="M954" t="inlineStr">
        <is>
          <t>1996</t>
        </is>
      </c>
      <c r="O954" t="inlineStr">
        <is>
          <t>eng</t>
        </is>
      </c>
      <c r="P954" t="inlineStr">
        <is>
          <t>nyu</t>
        </is>
      </c>
      <c r="R954" t="inlineStr">
        <is>
          <t xml:space="preserve">BT </t>
        </is>
      </c>
      <c r="S954" t="n">
        <v>9</v>
      </c>
      <c r="T954" t="n">
        <v>9</v>
      </c>
      <c r="U954" t="inlineStr">
        <is>
          <t>2006-07-13</t>
        </is>
      </c>
      <c r="V954" t="inlineStr">
        <is>
          <t>2006-07-13</t>
        </is>
      </c>
      <c r="W954" t="inlineStr">
        <is>
          <t>1996-08-27</t>
        </is>
      </c>
      <c r="X954" t="inlineStr">
        <is>
          <t>1996-08-27</t>
        </is>
      </c>
      <c r="Y954" t="n">
        <v>259</v>
      </c>
      <c r="Z954" t="n">
        <v>209</v>
      </c>
      <c r="AA954" t="n">
        <v>209</v>
      </c>
      <c r="AB954" t="n">
        <v>2</v>
      </c>
      <c r="AC954" t="n">
        <v>2</v>
      </c>
      <c r="AD954" t="n">
        <v>21</v>
      </c>
      <c r="AE954" t="n">
        <v>21</v>
      </c>
      <c r="AF954" t="n">
        <v>8</v>
      </c>
      <c r="AG954" t="n">
        <v>8</v>
      </c>
      <c r="AH954" t="n">
        <v>3</v>
      </c>
      <c r="AI954" t="n">
        <v>3</v>
      </c>
      <c r="AJ954" t="n">
        <v>14</v>
      </c>
      <c r="AK954" t="n">
        <v>14</v>
      </c>
      <c r="AL954" t="n">
        <v>1</v>
      </c>
      <c r="AM954" t="n">
        <v>1</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HYPERLINK("https://creighton-primo.hosted.exlibrisgroup.com/primo-explore/search?tab=default_tab&amp;search_scope=EVERYTHING&amp;vid=01CRU&amp;lang=en_US&amp;offset=0&amp;query=any,contains,991002552829702656","Catalog Record")</f>
        <v/>
      </c>
      <c r="AT954">
        <f>HYPERLINK("http://www.worldcat.org/oclc/33165812","WorldCat Record")</f>
        <v/>
      </c>
      <c r="AU954" t="inlineStr">
        <is>
          <t>37591954:eng</t>
        </is>
      </c>
      <c r="AV954" t="inlineStr">
        <is>
          <t>33165812</t>
        </is>
      </c>
      <c r="AW954" t="inlineStr">
        <is>
          <t>991002552829702656</t>
        </is>
      </c>
      <c r="AX954" t="inlineStr">
        <is>
          <t>991002552829702656</t>
        </is>
      </c>
      <c r="AY954" t="inlineStr">
        <is>
          <t>2257131100002656</t>
        </is>
      </c>
      <c r="AZ954" t="inlineStr">
        <is>
          <t>BOOK</t>
        </is>
      </c>
      <c r="BB954" t="inlineStr">
        <is>
          <t>9780809136322</t>
        </is>
      </c>
      <c r="BC954" t="inlineStr">
        <is>
          <t>32285002292372</t>
        </is>
      </c>
      <c r="BD954" t="inlineStr">
        <is>
          <t>893903958</t>
        </is>
      </c>
    </row>
    <row r="955">
      <c r="A955" t="inlineStr">
        <is>
          <t>No</t>
        </is>
      </c>
      <c r="B955" t="inlineStr">
        <is>
          <t>BT703.5 .P33 1996</t>
        </is>
      </c>
      <c r="C955" t="inlineStr">
        <is>
          <t>0                      BT 0703500P  33          1996</t>
        </is>
      </c>
      <c r="D955" t="inlineStr">
        <is>
          <t>The quest for the male soul : in search of something more / Martin Pable.</t>
        </is>
      </c>
      <c r="F955" t="inlineStr">
        <is>
          <t>No</t>
        </is>
      </c>
      <c r="G955" t="inlineStr">
        <is>
          <t>1</t>
        </is>
      </c>
      <c r="H955" t="inlineStr">
        <is>
          <t>No</t>
        </is>
      </c>
      <c r="I955" t="inlineStr">
        <is>
          <t>No</t>
        </is>
      </c>
      <c r="J955" t="inlineStr">
        <is>
          <t>0</t>
        </is>
      </c>
      <c r="K955" t="inlineStr">
        <is>
          <t>Pable, Martin W.</t>
        </is>
      </c>
      <c r="L955" t="inlineStr">
        <is>
          <t>Notre Dame, Ind. : Ave Maria Press, c1996.</t>
        </is>
      </c>
      <c r="M955" t="inlineStr">
        <is>
          <t>1996</t>
        </is>
      </c>
      <c r="O955" t="inlineStr">
        <is>
          <t>eng</t>
        </is>
      </c>
      <c r="P955" t="inlineStr">
        <is>
          <t>inu</t>
        </is>
      </c>
      <c r="R955" t="inlineStr">
        <is>
          <t xml:space="preserve">BT </t>
        </is>
      </c>
      <c r="S955" t="n">
        <v>7</v>
      </c>
      <c r="T955" t="n">
        <v>7</v>
      </c>
      <c r="U955" t="inlineStr">
        <is>
          <t>2003-06-11</t>
        </is>
      </c>
      <c r="V955" t="inlineStr">
        <is>
          <t>2003-06-11</t>
        </is>
      </c>
      <c r="W955" t="inlineStr">
        <is>
          <t>1996-12-16</t>
        </is>
      </c>
      <c r="X955" t="inlineStr">
        <is>
          <t>1996-12-16</t>
        </is>
      </c>
      <c r="Y955" t="n">
        <v>101</v>
      </c>
      <c r="Z955" t="n">
        <v>86</v>
      </c>
      <c r="AA955" t="n">
        <v>91</v>
      </c>
      <c r="AB955" t="n">
        <v>2</v>
      </c>
      <c r="AC955" t="n">
        <v>2</v>
      </c>
      <c r="AD955" t="n">
        <v>9</v>
      </c>
      <c r="AE955" t="n">
        <v>9</v>
      </c>
      <c r="AF955" t="n">
        <v>1</v>
      </c>
      <c r="AG955" t="n">
        <v>1</v>
      </c>
      <c r="AH955" t="n">
        <v>2</v>
      </c>
      <c r="AI955" t="n">
        <v>2</v>
      </c>
      <c r="AJ955" t="n">
        <v>6</v>
      </c>
      <c r="AK955" t="n">
        <v>6</v>
      </c>
      <c r="AL955" t="n">
        <v>1</v>
      </c>
      <c r="AM955" t="n">
        <v>1</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HYPERLINK("https://creighton-primo.hosted.exlibrisgroup.com/primo-explore/search?tab=default_tab&amp;search_scope=EVERYTHING&amp;vid=01CRU&amp;lang=en_US&amp;offset=0&amp;query=any,contains,991002681809702656","Catalog Record")</f>
        <v/>
      </c>
      <c r="AT955">
        <f>HYPERLINK("http://www.worldcat.org/oclc/35042928","WorldCat Record")</f>
        <v/>
      </c>
      <c r="AU955" t="inlineStr">
        <is>
          <t>355943860:eng</t>
        </is>
      </c>
      <c r="AV955" t="inlineStr">
        <is>
          <t>35042928</t>
        </is>
      </c>
      <c r="AW955" t="inlineStr">
        <is>
          <t>991002681809702656</t>
        </is>
      </c>
      <c r="AX955" t="inlineStr">
        <is>
          <t>991002681809702656</t>
        </is>
      </c>
      <c r="AY955" t="inlineStr">
        <is>
          <t>2257805340002656</t>
        </is>
      </c>
      <c r="AZ955" t="inlineStr">
        <is>
          <t>BOOK</t>
        </is>
      </c>
      <c r="BB955" t="inlineStr">
        <is>
          <t>9780877935803</t>
        </is>
      </c>
      <c r="BC955" t="inlineStr">
        <is>
          <t>32285002393527</t>
        </is>
      </c>
      <c r="BD955" t="inlineStr">
        <is>
          <t>893904023</t>
        </is>
      </c>
    </row>
    <row r="956">
      <c r="A956" t="inlineStr">
        <is>
          <t>No</t>
        </is>
      </c>
      <c r="B956" t="inlineStr">
        <is>
          <t>BT704 .A95 1989</t>
        </is>
      </c>
      <c r="C956" t="inlineStr">
        <is>
          <t>0                      BT 0704000A  95          1989</t>
        </is>
      </c>
      <c r="D956" t="inlineStr">
        <is>
          <t>Eros and the sacred / Paul Avis.</t>
        </is>
      </c>
      <c r="F956" t="inlineStr">
        <is>
          <t>No</t>
        </is>
      </c>
      <c r="G956" t="inlineStr">
        <is>
          <t>1</t>
        </is>
      </c>
      <c r="H956" t="inlineStr">
        <is>
          <t>No</t>
        </is>
      </c>
      <c r="I956" t="inlineStr">
        <is>
          <t>No</t>
        </is>
      </c>
      <c r="J956" t="inlineStr">
        <is>
          <t>0</t>
        </is>
      </c>
      <c r="K956" t="inlineStr">
        <is>
          <t>Avis, Paul D. L.</t>
        </is>
      </c>
      <c r="L956" t="inlineStr">
        <is>
          <t>London : SPCK, 1989.</t>
        </is>
      </c>
      <c r="M956" t="inlineStr">
        <is>
          <t>1989</t>
        </is>
      </c>
      <c r="O956" t="inlineStr">
        <is>
          <t>eng</t>
        </is>
      </c>
      <c r="P956" t="inlineStr">
        <is>
          <t>enk</t>
        </is>
      </c>
      <c r="R956" t="inlineStr">
        <is>
          <t xml:space="preserve">BT </t>
        </is>
      </c>
      <c r="S956" t="n">
        <v>7</v>
      </c>
      <c r="T956" t="n">
        <v>7</v>
      </c>
      <c r="U956" t="inlineStr">
        <is>
          <t>1999-07-09</t>
        </is>
      </c>
      <c r="V956" t="inlineStr">
        <is>
          <t>1999-07-09</t>
        </is>
      </c>
      <c r="W956" t="inlineStr">
        <is>
          <t>1992-02-13</t>
        </is>
      </c>
      <c r="X956" t="inlineStr">
        <is>
          <t>1992-02-13</t>
        </is>
      </c>
      <c r="Y956" t="n">
        <v>106</v>
      </c>
      <c r="Z956" t="n">
        <v>50</v>
      </c>
      <c r="AA956" t="n">
        <v>158</v>
      </c>
      <c r="AB956" t="n">
        <v>1</v>
      </c>
      <c r="AC956" t="n">
        <v>2</v>
      </c>
      <c r="AD956" t="n">
        <v>4</v>
      </c>
      <c r="AE956" t="n">
        <v>12</v>
      </c>
      <c r="AF956" t="n">
        <v>0</v>
      </c>
      <c r="AG956" t="n">
        <v>3</v>
      </c>
      <c r="AH956" t="n">
        <v>1</v>
      </c>
      <c r="AI956" t="n">
        <v>4</v>
      </c>
      <c r="AJ956" t="n">
        <v>3</v>
      </c>
      <c r="AK956" t="n">
        <v>7</v>
      </c>
      <c r="AL956" t="n">
        <v>0</v>
      </c>
      <c r="AM956" t="n">
        <v>1</v>
      </c>
      <c r="AN956" t="n">
        <v>0</v>
      </c>
      <c r="AO956" t="n">
        <v>0</v>
      </c>
      <c r="AP956" t="inlineStr">
        <is>
          <t>No</t>
        </is>
      </c>
      <c r="AQ956" t="inlineStr">
        <is>
          <t>Yes</t>
        </is>
      </c>
      <c r="AR956">
        <f>HYPERLINK("http://catalog.hathitrust.org/Record/001823937","HathiTrust Record")</f>
        <v/>
      </c>
      <c r="AS956">
        <f>HYPERLINK("https://creighton-primo.hosted.exlibrisgroup.com/primo-explore/search?tab=default_tab&amp;search_scope=EVERYTHING&amp;vid=01CRU&amp;lang=en_US&amp;offset=0&amp;query=any,contains,991001527679702656","Catalog Record")</f>
        <v/>
      </c>
      <c r="AT956">
        <f>HYPERLINK("http://www.worldcat.org/oclc/20013802","WorldCat Record")</f>
        <v/>
      </c>
      <c r="AU956" t="inlineStr">
        <is>
          <t>21344237:eng</t>
        </is>
      </c>
      <c r="AV956" t="inlineStr">
        <is>
          <t>20013802</t>
        </is>
      </c>
      <c r="AW956" t="inlineStr">
        <is>
          <t>991001527679702656</t>
        </is>
      </c>
      <c r="AX956" t="inlineStr">
        <is>
          <t>991001527679702656</t>
        </is>
      </c>
      <c r="AY956" t="inlineStr">
        <is>
          <t>2261988220002656</t>
        </is>
      </c>
      <c r="AZ956" t="inlineStr">
        <is>
          <t>BOOK</t>
        </is>
      </c>
      <c r="BB956" t="inlineStr">
        <is>
          <t>9780281044245</t>
        </is>
      </c>
      <c r="BC956" t="inlineStr">
        <is>
          <t>32285000935097</t>
        </is>
      </c>
      <c r="BD956" t="inlineStr">
        <is>
          <t>893608931</t>
        </is>
      </c>
    </row>
    <row r="957">
      <c r="A957" t="inlineStr">
        <is>
          <t>No</t>
        </is>
      </c>
      <c r="B957" t="inlineStr">
        <is>
          <t>BT704 .C44 1988</t>
        </is>
      </c>
      <c r="C957" t="inlineStr">
        <is>
          <t>0                      BT 0704000C  44          1988</t>
        </is>
      </c>
      <c r="D957" t="inlineStr">
        <is>
          <t>Woman to woman : handing on our experiences of the joyful, sorrowful, and glorious mysteries of life / by Ronda Chervin, Terri Vorndran Nichols and the Marian Women in Ministry.</t>
        </is>
      </c>
      <c r="F957" t="inlineStr">
        <is>
          <t>No</t>
        </is>
      </c>
      <c r="G957" t="inlineStr">
        <is>
          <t>1</t>
        </is>
      </c>
      <c r="H957" t="inlineStr">
        <is>
          <t>No</t>
        </is>
      </c>
      <c r="I957" t="inlineStr">
        <is>
          <t>No</t>
        </is>
      </c>
      <c r="J957" t="inlineStr">
        <is>
          <t>0</t>
        </is>
      </c>
      <c r="K957" t="inlineStr">
        <is>
          <t>Chervin, Ronda.</t>
        </is>
      </c>
      <c r="L957" t="inlineStr">
        <is>
          <t>San Francisco : Ignatius Press, 1988.</t>
        </is>
      </c>
      <c r="M957" t="inlineStr">
        <is>
          <t>1988</t>
        </is>
      </c>
      <c r="O957" t="inlineStr">
        <is>
          <t>eng</t>
        </is>
      </c>
      <c r="P957" t="inlineStr">
        <is>
          <t>cau</t>
        </is>
      </c>
      <c r="R957" t="inlineStr">
        <is>
          <t xml:space="preserve">BT </t>
        </is>
      </c>
      <c r="S957" t="n">
        <v>4</v>
      </c>
      <c r="T957" t="n">
        <v>4</v>
      </c>
      <c r="U957" t="inlineStr">
        <is>
          <t>1995-04-04</t>
        </is>
      </c>
      <c r="V957" t="inlineStr">
        <is>
          <t>1995-04-04</t>
        </is>
      </c>
      <c r="W957" t="inlineStr">
        <is>
          <t>1990-01-09</t>
        </is>
      </c>
      <c r="X957" t="inlineStr">
        <is>
          <t>1990-01-09</t>
        </is>
      </c>
      <c r="Y957" t="n">
        <v>78</v>
      </c>
      <c r="Z957" t="n">
        <v>68</v>
      </c>
      <c r="AA957" t="n">
        <v>73</v>
      </c>
      <c r="AB957" t="n">
        <v>1</v>
      </c>
      <c r="AC957" t="n">
        <v>1</v>
      </c>
      <c r="AD957" t="n">
        <v>7</v>
      </c>
      <c r="AE957" t="n">
        <v>7</v>
      </c>
      <c r="AF957" t="n">
        <v>0</v>
      </c>
      <c r="AG957" t="n">
        <v>0</v>
      </c>
      <c r="AH957" t="n">
        <v>3</v>
      </c>
      <c r="AI957" t="n">
        <v>3</v>
      </c>
      <c r="AJ957" t="n">
        <v>4</v>
      </c>
      <c r="AK957" t="n">
        <v>4</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HYPERLINK("https://creighton-primo.hosted.exlibrisgroup.com/primo-explore/search?tab=default_tab&amp;search_scope=EVERYTHING&amp;vid=01CRU&amp;lang=en_US&amp;offset=0&amp;query=any,contains,991001437619702656","Catalog Record")</f>
        <v/>
      </c>
      <c r="AT957">
        <f>HYPERLINK("http://www.worldcat.org/oclc/19133918","WorldCat Record")</f>
        <v/>
      </c>
      <c r="AU957" t="inlineStr">
        <is>
          <t>19205659:eng</t>
        </is>
      </c>
      <c r="AV957" t="inlineStr">
        <is>
          <t>19133918</t>
        </is>
      </c>
      <c r="AW957" t="inlineStr">
        <is>
          <t>991001437619702656</t>
        </is>
      </c>
      <c r="AX957" t="inlineStr">
        <is>
          <t>991001437619702656</t>
        </is>
      </c>
      <c r="AY957" t="inlineStr">
        <is>
          <t>2256339220002656</t>
        </is>
      </c>
      <c r="AZ957" t="inlineStr">
        <is>
          <t>BOOK</t>
        </is>
      </c>
      <c r="BB957" t="inlineStr">
        <is>
          <t>9780898701821</t>
        </is>
      </c>
      <c r="BC957" t="inlineStr">
        <is>
          <t>32285000005560</t>
        </is>
      </c>
      <c r="BD957" t="inlineStr">
        <is>
          <t>893696748</t>
        </is>
      </c>
    </row>
    <row r="958">
      <c r="A958" t="inlineStr">
        <is>
          <t>No</t>
        </is>
      </c>
      <c r="B958" t="inlineStr">
        <is>
          <t>BT704 .D65 1987</t>
        </is>
      </c>
      <c r="C958" t="inlineStr">
        <is>
          <t>0                      BT 0704000D  65          1987</t>
        </is>
      </c>
      <c r="D958" t="inlineStr">
        <is>
          <t>Dispossessed daughters of Eve : faith and feminism / Susan Dowell and Linda Hurcombe.</t>
        </is>
      </c>
      <c r="F958" t="inlineStr">
        <is>
          <t>No</t>
        </is>
      </c>
      <c r="G958" t="inlineStr">
        <is>
          <t>1</t>
        </is>
      </c>
      <c r="H958" t="inlineStr">
        <is>
          <t>No</t>
        </is>
      </c>
      <c r="I958" t="inlineStr">
        <is>
          <t>No</t>
        </is>
      </c>
      <c r="J958" t="inlineStr">
        <is>
          <t>0</t>
        </is>
      </c>
      <c r="K958" t="inlineStr">
        <is>
          <t>Dowell, Susan.</t>
        </is>
      </c>
      <c r="L958" t="inlineStr">
        <is>
          <t>London : SPCK, 1987.</t>
        </is>
      </c>
      <c r="M958" t="inlineStr">
        <is>
          <t>1987</t>
        </is>
      </c>
      <c r="N958" t="inlineStr">
        <is>
          <t>New ed.</t>
        </is>
      </c>
      <c r="O958" t="inlineStr">
        <is>
          <t>eng</t>
        </is>
      </c>
      <c r="P958" t="inlineStr">
        <is>
          <t>enk</t>
        </is>
      </c>
      <c r="R958" t="inlineStr">
        <is>
          <t xml:space="preserve">BT </t>
        </is>
      </c>
      <c r="S958" t="n">
        <v>8</v>
      </c>
      <c r="T958" t="n">
        <v>8</v>
      </c>
      <c r="U958" t="inlineStr">
        <is>
          <t>1997-10-07</t>
        </is>
      </c>
      <c r="V958" t="inlineStr">
        <is>
          <t>1997-10-07</t>
        </is>
      </c>
      <c r="W958" t="inlineStr">
        <is>
          <t>1990-08-02</t>
        </is>
      </c>
      <c r="X958" t="inlineStr">
        <is>
          <t>1990-08-02</t>
        </is>
      </c>
      <c r="Y958" t="n">
        <v>123</v>
      </c>
      <c r="Z958" t="n">
        <v>63</v>
      </c>
      <c r="AA958" t="n">
        <v>110</v>
      </c>
      <c r="AB958" t="n">
        <v>1</v>
      </c>
      <c r="AC958" t="n">
        <v>2</v>
      </c>
      <c r="AD958" t="n">
        <v>3</v>
      </c>
      <c r="AE958" t="n">
        <v>4</v>
      </c>
      <c r="AF958" t="n">
        <v>2</v>
      </c>
      <c r="AG958" t="n">
        <v>2</v>
      </c>
      <c r="AH958" t="n">
        <v>0</v>
      </c>
      <c r="AI958" t="n">
        <v>0</v>
      </c>
      <c r="AJ958" t="n">
        <v>2</v>
      </c>
      <c r="AK958" t="n">
        <v>2</v>
      </c>
      <c r="AL958" t="n">
        <v>0</v>
      </c>
      <c r="AM958" t="n">
        <v>1</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HYPERLINK("https://creighton-primo.hosted.exlibrisgroup.com/primo-explore/search?tab=default_tab&amp;search_scope=EVERYTHING&amp;vid=01CRU&amp;lang=en_US&amp;offset=0&amp;query=any,contains,991000999539702656","Catalog Record")</f>
        <v/>
      </c>
      <c r="AT958">
        <f>HYPERLINK("http://www.worldcat.org/oclc/15195795","WorldCat Record")</f>
        <v/>
      </c>
      <c r="AU958" t="inlineStr">
        <is>
          <t>9424239:eng</t>
        </is>
      </c>
      <c r="AV958" t="inlineStr">
        <is>
          <t>15195795</t>
        </is>
      </c>
      <c r="AW958" t="inlineStr">
        <is>
          <t>991000999539702656</t>
        </is>
      </c>
      <c r="AX958" t="inlineStr">
        <is>
          <t>991000999539702656</t>
        </is>
      </c>
      <c r="AY958" t="inlineStr">
        <is>
          <t>2263397220002656</t>
        </is>
      </c>
      <c r="AZ958" t="inlineStr">
        <is>
          <t>BOOK</t>
        </is>
      </c>
      <c r="BB958" t="inlineStr">
        <is>
          <t>9780281042920</t>
        </is>
      </c>
      <c r="BC958" t="inlineStr">
        <is>
          <t>32285000263300</t>
        </is>
      </c>
      <c r="BD958" t="inlineStr">
        <is>
          <t>893249877</t>
        </is>
      </c>
    </row>
    <row r="959">
      <c r="A959" t="inlineStr">
        <is>
          <t>No</t>
        </is>
      </c>
      <c r="B959" t="inlineStr">
        <is>
          <t>BT704 .I64 1988</t>
        </is>
      </c>
      <c r="C959" t="inlineStr">
        <is>
          <t>0                      BT 0704000I  64          1988</t>
        </is>
      </c>
      <c r="D959" t="inlineStr">
        <is>
          <t>Inheriting our mothers' gardens : feminist theology in Third World perspective / edited by Letty M. Russell ... [et al.].</t>
        </is>
      </c>
      <c r="F959" t="inlineStr">
        <is>
          <t>No</t>
        </is>
      </c>
      <c r="G959" t="inlineStr">
        <is>
          <t>1</t>
        </is>
      </c>
      <c r="H959" t="inlineStr">
        <is>
          <t>No</t>
        </is>
      </c>
      <c r="I959" t="inlineStr">
        <is>
          <t>No</t>
        </is>
      </c>
      <c r="J959" t="inlineStr">
        <is>
          <t>0</t>
        </is>
      </c>
      <c r="L959" t="inlineStr">
        <is>
          <t>Louisville, Kentucky : Westminster Press, c1988.</t>
        </is>
      </c>
      <c r="M959" t="inlineStr">
        <is>
          <t>1988</t>
        </is>
      </c>
      <c r="N959" t="inlineStr">
        <is>
          <t>1st ed.</t>
        </is>
      </c>
      <c r="O959" t="inlineStr">
        <is>
          <t>eng</t>
        </is>
      </c>
      <c r="P959" t="inlineStr">
        <is>
          <t>pau</t>
        </is>
      </c>
      <c r="R959" t="inlineStr">
        <is>
          <t xml:space="preserve">BT </t>
        </is>
      </c>
      <c r="S959" t="n">
        <v>4</v>
      </c>
      <c r="T959" t="n">
        <v>4</v>
      </c>
      <c r="U959" t="inlineStr">
        <is>
          <t>2010-09-20</t>
        </is>
      </c>
      <c r="V959" t="inlineStr">
        <is>
          <t>2010-09-20</t>
        </is>
      </c>
      <c r="W959" t="inlineStr">
        <is>
          <t>1990-11-19</t>
        </is>
      </c>
      <c r="X959" t="inlineStr">
        <is>
          <t>1990-11-19</t>
        </is>
      </c>
      <c r="Y959" t="n">
        <v>702</v>
      </c>
      <c r="Z959" t="n">
        <v>598</v>
      </c>
      <c r="AA959" t="n">
        <v>1157</v>
      </c>
      <c r="AB959" t="n">
        <v>3</v>
      </c>
      <c r="AC959" t="n">
        <v>29</v>
      </c>
      <c r="AD959" t="n">
        <v>40</v>
      </c>
      <c r="AE959" t="n">
        <v>50</v>
      </c>
      <c r="AF959" t="n">
        <v>19</v>
      </c>
      <c r="AG959" t="n">
        <v>20</v>
      </c>
      <c r="AH959" t="n">
        <v>8</v>
      </c>
      <c r="AI959" t="n">
        <v>8</v>
      </c>
      <c r="AJ959" t="n">
        <v>22</v>
      </c>
      <c r="AK959" t="n">
        <v>23</v>
      </c>
      <c r="AL959" t="n">
        <v>2</v>
      </c>
      <c r="AM959" t="n">
        <v>10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HYPERLINK("https://creighton-primo.hosted.exlibrisgroup.com/primo-explore/search?tab=default_tab&amp;search_scope=EVERYTHING&amp;vid=01CRU&amp;lang=en_US&amp;offset=0&amp;query=any,contains,991001265779702656","Catalog Record")</f>
        <v/>
      </c>
      <c r="AT959">
        <f>HYPERLINK("http://www.worldcat.org/oclc/17805572","WorldCat Record")</f>
        <v/>
      </c>
      <c r="AU959" t="inlineStr">
        <is>
          <t>799758669:eng</t>
        </is>
      </c>
      <c r="AV959" t="inlineStr">
        <is>
          <t>17805572</t>
        </is>
      </c>
      <c r="AW959" t="inlineStr">
        <is>
          <t>991001265779702656</t>
        </is>
      </c>
      <c r="AX959" t="inlineStr">
        <is>
          <t>991001265779702656</t>
        </is>
      </c>
      <c r="AY959" t="inlineStr">
        <is>
          <t>2266029370002656</t>
        </is>
      </c>
      <c r="AZ959" t="inlineStr">
        <is>
          <t>BOOK</t>
        </is>
      </c>
      <c r="BB959" t="inlineStr">
        <is>
          <t>9780664250195</t>
        </is>
      </c>
      <c r="BC959" t="inlineStr">
        <is>
          <t>32285000355866</t>
        </is>
      </c>
      <c r="BD959" t="inlineStr">
        <is>
          <t>893614939</t>
        </is>
      </c>
    </row>
    <row r="960">
      <c r="A960" t="inlineStr">
        <is>
          <t>No</t>
        </is>
      </c>
      <c r="B960" t="inlineStr">
        <is>
          <t>BT704 .K73 1975</t>
        </is>
      </c>
      <c r="C960" t="inlineStr">
        <is>
          <t>0                      BT 0704000K  73          1975</t>
        </is>
      </c>
      <c r="D960" t="inlineStr">
        <is>
          <t>Whither womankind? : the humanity of women / by Robert Kress.</t>
        </is>
      </c>
      <c r="F960" t="inlineStr">
        <is>
          <t>No</t>
        </is>
      </c>
      <c r="G960" t="inlineStr">
        <is>
          <t>1</t>
        </is>
      </c>
      <c r="H960" t="inlineStr">
        <is>
          <t>No</t>
        </is>
      </c>
      <c r="I960" t="inlineStr">
        <is>
          <t>No</t>
        </is>
      </c>
      <c r="J960" t="inlineStr">
        <is>
          <t>0</t>
        </is>
      </c>
      <c r="K960" t="inlineStr">
        <is>
          <t>Kress, Robert.</t>
        </is>
      </c>
      <c r="L960" t="inlineStr">
        <is>
          <t>St. Meinrad, Ind. : Abbey Press, 1975.</t>
        </is>
      </c>
      <c r="M960" t="inlineStr">
        <is>
          <t>1975</t>
        </is>
      </c>
      <c r="O960" t="inlineStr">
        <is>
          <t>eng</t>
        </is>
      </c>
      <c r="P960" t="inlineStr">
        <is>
          <t>inu</t>
        </is>
      </c>
      <c r="Q960" t="inlineStr">
        <is>
          <t>A Priority edition</t>
        </is>
      </c>
      <c r="R960" t="inlineStr">
        <is>
          <t xml:space="preserve">BT </t>
        </is>
      </c>
      <c r="S960" t="n">
        <v>4</v>
      </c>
      <c r="T960" t="n">
        <v>4</v>
      </c>
      <c r="U960" t="inlineStr">
        <is>
          <t>2002-03-18</t>
        </is>
      </c>
      <c r="V960" t="inlineStr">
        <is>
          <t>2002-03-18</t>
        </is>
      </c>
      <c r="W960" t="inlineStr">
        <is>
          <t>1990-08-02</t>
        </is>
      </c>
      <c r="X960" t="inlineStr">
        <is>
          <t>1990-08-02</t>
        </is>
      </c>
      <c r="Y960" t="n">
        <v>260</v>
      </c>
      <c r="Z960" t="n">
        <v>239</v>
      </c>
      <c r="AA960" t="n">
        <v>244</v>
      </c>
      <c r="AB960" t="n">
        <v>2</v>
      </c>
      <c r="AC960" t="n">
        <v>2</v>
      </c>
      <c r="AD960" t="n">
        <v>17</v>
      </c>
      <c r="AE960" t="n">
        <v>17</v>
      </c>
      <c r="AF960" t="n">
        <v>4</v>
      </c>
      <c r="AG960" t="n">
        <v>4</v>
      </c>
      <c r="AH960" t="n">
        <v>5</v>
      </c>
      <c r="AI960" t="n">
        <v>5</v>
      </c>
      <c r="AJ960" t="n">
        <v>10</v>
      </c>
      <c r="AK960" t="n">
        <v>10</v>
      </c>
      <c r="AL960" t="n">
        <v>1</v>
      </c>
      <c r="AM960" t="n">
        <v>1</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HYPERLINK("https://creighton-primo.hosted.exlibrisgroup.com/primo-explore/search?tab=default_tab&amp;search_scope=EVERYTHING&amp;vid=01CRU&amp;lang=en_US&amp;offset=0&amp;query=any,contains,991003828309702656","Catalog Record")</f>
        <v/>
      </c>
      <c r="AT960">
        <f>HYPERLINK("http://www.worldcat.org/oclc/1582463","WorldCat Record")</f>
        <v/>
      </c>
      <c r="AU960" t="inlineStr">
        <is>
          <t>366195403:eng</t>
        </is>
      </c>
      <c r="AV960" t="inlineStr">
        <is>
          <t>1582463</t>
        </is>
      </c>
      <c r="AW960" t="inlineStr">
        <is>
          <t>991003828309702656</t>
        </is>
      </c>
      <c r="AX960" t="inlineStr">
        <is>
          <t>991003828309702656</t>
        </is>
      </c>
      <c r="AY960" t="inlineStr">
        <is>
          <t>2270670480002656</t>
        </is>
      </c>
      <c r="AZ960" t="inlineStr">
        <is>
          <t>BOOK</t>
        </is>
      </c>
      <c r="BB960" t="inlineStr">
        <is>
          <t>9780870290459</t>
        </is>
      </c>
      <c r="BC960" t="inlineStr">
        <is>
          <t>32285000263318</t>
        </is>
      </c>
      <c r="BD960" t="inlineStr">
        <is>
          <t>893599039</t>
        </is>
      </c>
    </row>
    <row r="961">
      <c r="A961" t="inlineStr">
        <is>
          <t>No</t>
        </is>
      </c>
      <c r="B961" t="inlineStr">
        <is>
          <t>BT704 .M355 1999</t>
        </is>
      </c>
      <c r="C961" t="inlineStr">
        <is>
          <t>0                      BT 0704000M  355         1999</t>
        </is>
      </c>
      <c r="D961" t="inlineStr">
        <is>
          <t>God gave us the right : conservative Catholic, Evangelical Protestant, and Orthodox Jewish women grapple with feminism / Christel J. Manning.</t>
        </is>
      </c>
      <c r="F961" t="inlineStr">
        <is>
          <t>No</t>
        </is>
      </c>
      <c r="G961" t="inlineStr">
        <is>
          <t>1</t>
        </is>
      </c>
      <c r="H961" t="inlineStr">
        <is>
          <t>No</t>
        </is>
      </c>
      <c r="I961" t="inlineStr">
        <is>
          <t>No</t>
        </is>
      </c>
      <c r="J961" t="inlineStr">
        <is>
          <t>0</t>
        </is>
      </c>
      <c r="K961" t="inlineStr">
        <is>
          <t>Manning, Christel.</t>
        </is>
      </c>
      <c r="L961" t="inlineStr">
        <is>
          <t>New Brunswick, N.J. : Rutgers University Press, c1999.</t>
        </is>
      </c>
      <c r="M961" t="inlineStr">
        <is>
          <t>1999</t>
        </is>
      </c>
      <c r="O961" t="inlineStr">
        <is>
          <t>eng</t>
        </is>
      </c>
      <c r="P961" t="inlineStr">
        <is>
          <t>nju</t>
        </is>
      </c>
      <c r="R961" t="inlineStr">
        <is>
          <t xml:space="preserve">BT </t>
        </is>
      </c>
      <c r="S961" t="n">
        <v>4</v>
      </c>
      <c r="T961" t="n">
        <v>4</v>
      </c>
      <c r="U961" t="inlineStr">
        <is>
          <t>2003-11-11</t>
        </is>
      </c>
      <c r="V961" t="inlineStr">
        <is>
          <t>2003-11-11</t>
        </is>
      </c>
      <c r="W961" t="inlineStr">
        <is>
          <t>1999-12-07</t>
        </is>
      </c>
      <c r="X961" t="inlineStr">
        <is>
          <t>1999-12-07</t>
        </is>
      </c>
      <c r="Y961" t="n">
        <v>618</v>
      </c>
      <c r="Z961" t="n">
        <v>540</v>
      </c>
      <c r="AA961" t="n">
        <v>541</v>
      </c>
      <c r="AB961" t="n">
        <v>6</v>
      </c>
      <c r="AC961" t="n">
        <v>6</v>
      </c>
      <c r="AD961" t="n">
        <v>34</v>
      </c>
      <c r="AE961" t="n">
        <v>34</v>
      </c>
      <c r="AF961" t="n">
        <v>13</v>
      </c>
      <c r="AG961" t="n">
        <v>13</v>
      </c>
      <c r="AH961" t="n">
        <v>7</v>
      </c>
      <c r="AI961" t="n">
        <v>7</v>
      </c>
      <c r="AJ961" t="n">
        <v>17</v>
      </c>
      <c r="AK961" t="n">
        <v>17</v>
      </c>
      <c r="AL961" t="n">
        <v>5</v>
      </c>
      <c r="AM961" t="n">
        <v>5</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HYPERLINK("https://creighton-primo.hosted.exlibrisgroup.com/primo-explore/search?tab=default_tab&amp;search_scope=EVERYTHING&amp;vid=01CRU&amp;lang=en_US&amp;offset=0&amp;query=any,contains,991002947369702656","Catalog Record")</f>
        <v/>
      </c>
      <c r="AT961">
        <f>HYPERLINK("http://www.worldcat.org/oclc/39261803","WorldCat Record")</f>
        <v/>
      </c>
      <c r="AU961" t="inlineStr">
        <is>
          <t>891166375:eng</t>
        </is>
      </c>
      <c r="AV961" t="inlineStr">
        <is>
          <t>39261803</t>
        </is>
      </c>
      <c r="AW961" t="inlineStr">
        <is>
          <t>991002947369702656</t>
        </is>
      </c>
      <c r="AX961" t="inlineStr">
        <is>
          <t>991002947369702656</t>
        </is>
      </c>
      <c r="AY961" t="inlineStr">
        <is>
          <t>2265685730002656</t>
        </is>
      </c>
      <c r="AZ961" t="inlineStr">
        <is>
          <t>BOOK</t>
        </is>
      </c>
      <c r="BB961" t="inlineStr">
        <is>
          <t>9780813525983</t>
        </is>
      </c>
      <c r="BC961" t="inlineStr">
        <is>
          <t>32285003629242</t>
        </is>
      </c>
      <c r="BD961" t="inlineStr">
        <is>
          <t>893604265</t>
        </is>
      </c>
    </row>
    <row r="962">
      <c r="A962" t="inlineStr">
        <is>
          <t>No</t>
        </is>
      </c>
      <c r="B962" t="inlineStr">
        <is>
          <t>BT704 .M64</t>
        </is>
      </c>
      <c r="C962" t="inlineStr">
        <is>
          <t>0                      BT 0704000M  64</t>
        </is>
      </c>
      <c r="D962" t="inlineStr">
        <is>
          <t>Women, men, &amp; the Bible / Virginia Ramey Mollenkott.</t>
        </is>
      </c>
      <c r="F962" t="inlineStr">
        <is>
          <t>No</t>
        </is>
      </c>
      <c r="G962" t="inlineStr">
        <is>
          <t>1</t>
        </is>
      </c>
      <c r="H962" t="inlineStr">
        <is>
          <t>No</t>
        </is>
      </c>
      <c r="I962" t="inlineStr">
        <is>
          <t>No</t>
        </is>
      </c>
      <c r="J962" t="inlineStr">
        <is>
          <t>0</t>
        </is>
      </c>
      <c r="K962" t="inlineStr">
        <is>
          <t>Mollenkott, Virginia R.</t>
        </is>
      </c>
      <c r="L962" t="inlineStr">
        <is>
          <t>Nashville : Abingdon Press, [1977]</t>
        </is>
      </c>
      <c r="M962" t="inlineStr">
        <is>
          <t>1977</t>
        </is>
      </c>
      <c r="O962" t="inlineStr">
        <is>
          <t>eng</t>
        </is>
      </c>
      <c r="P962" t="inlineStr">
        <is>
          <t>tnu</t>
        </is>
      </c>
      <c r="R962" t="inlineStr">
        <is>
          <t xml:space="preserve">BT </t>
        </is>
      </c>
      <c r="S962" t="n">
        <v>8</v>
      </c>
      <c r="T962" t="n">
        <v>8</v>
      </c>
      <c r="U962" t="inlineStr">
        <is>
          <t>1994-12-16</t>
        </is>
      </c>
      <c r="V962" t="inlineStr">
        <is>
          <t>1994-12-16</t>
        </is>
      </c>
      <c r="W962" t="inlineStr">
        <is>
          <t>1992-05-18</t>
        </is>
      </c>
      <c r="X962" t="inlineStr">
        <is>
          <t>1992-05-18</t>
        </is>
      </c>
      <c r="Y962" t="n">
        <v>642</v>
      </c>
      <c r="Z962" t="n">
        <v>562</v>
      </c>
      <c r="AA962" t="n">
        <v>699</v>
      </c>
      <c r="AB962" t="n">
        <v>4</v>
      </c>
      <c r="AC962" t="n">
        <v>8</v>
      </c>
      <c r="AD962" t="n">
        <v>25</v>
      </c>
      <c r="AE962" t="n">
        <v>36</v>
      </c>
      <c r="AF962" t="n">
        <v>12</v>
      </c>
      <c r="AG962" t="n">
        <v>16</v>
      </c>
      <c r="AH962" t="n">
        <v>4</v>
      </c>
      <c r="AI962" t="n">
        <v>5</v>
      </c>
      <c r="AJ962" t="n">
        <v>11</v>
      </c>
      <c r="AK962" t="n">
        <v>15</v>
      </c>
      <c r="AL962" t="n">
        <v>3</v>
      </c>
      <c r="AM962" t="n">
        <v>6</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HYPERLINK("https://creighton-primo.hosted.exlibrisgroup.com/primo-explore/search?tab=default_tab&amp;search_scope=EVERYTHING&amp;vid=01CRU&amp;lang=en_US&amp;offset=0&amp;query=any,contains,991004120489702656","Catalog Record")</f>
        <v/>
      </c>
      <c r="AT962">
        <f>HYPERLINK("http://www.worldcat.org/oclc/2425023","WorldCat Record")</f>
        <v/>
      </c>
      <c r="AU962" t="inlineStr">
        <is>
          <t>6929445:eng</t>
        </is>
      </c>
      <c r="AV962" t="inlineStr">
        <is>
          <t>2425023</t>
        </is>
      </c>
      <c r="AW962" t="inlineStr">
        <is>
          <t>991004120489702656</t>
        </is>
      </c>
      <c r="AX962" t="inlineStr">
        <is>
          <t>991004120489702656</t>
        </is>
      </c>
      <c r="AY962" t="inlineStr">
        <is>
          <t>2264287720002656</t>
        </is>
      </c>
      <c r="AZ962" t="inlineStr">
        <is>
          <t>BOOK</t>
        </is>
      </c>
      <c r="BB962" t="inlineStr">
        <is>
          <t>9780687459704</t>
        </is>
      </c>
      <c r="BC962" t="inlineStr">
        <is>
          <t>32285001111789</t>
        </is>
      </c>
      <c r="BD962" t="inlineStr">
        <is>
          <t>893687393</t>
        </is>
      </c>
    </row>
    <row r="963">
      <c r="A963" t="inlineStr">
        <is>
          <t>No</t>
        </is>
      </c>
      <c r="B963" t="inlineStr">
        <is>
          <t>BT704 .M65313 1986</t>
        </is>
      </c>
      <c r="C963" t="inlineStr">
        <is>
          <t>0                      BT 0704000M  65313       1986</t>
        </is>
      </c>
      <c r="D963" t="inlineStr">
        <is>
          <t>A land flowing with milk and honey : perspectives on feminist theology / Elisabeth Moltmann-Wendel ; [translated by John Bowden from the German].</t>
        </is>
      </c>
      <c r="F963" t="inlineStr">
        <is>
          <t>No</t>
        </is>
      </c>
      <c r="G963" t="inlineStr">
        <is>
          <t>1</t>
        </is>
      </c>
      <c r="H963" t="inlineStr">
        <is>
          <t>No</t>
        </is>
      </c>
      <c r="I963" t="inlineStr">
        <is>
          <t>No</t>
        </is>
      </c>
      <c r="J963" t="inlineStr">
        <is>
          <t>0</t>
        </is>
      </c>
      <c r="K963" t="inlineStr">
        <is>
          <t>Moltmann-Wendel, Elisabeth.</t>
        </is>
      </c>
      <c r="L963" t="inlineStr">
        <is>
          <t>New York : Crossroad, 1986.</t>
        </is>
      </c>
      <c r="M963" t="inlineStr">
        <is>
          <t>1986</t>
        </is>
      </c>
      <c r="O963" t="inlineStr">
        <is>
          <t>eng</t>
        </is>
      </c>
      <c r="P963" t="inlineStr">
        <is>
          <t>nyu</t>
        </is>
      </c>
      <c r="R963" t="inlineStr">
        <is>
          <t xml:space="preserve">BT </t>
        </is>
      </c>
      <c r="S963" t="n">
        <v>8</v>
      </c>
      <c r="T963" t="n">
        <v>8</v>
      </c>
      <c r="U963" t="inlineStr">
        <is>
          <t>2002-09-17</t>
        </is>
      </c>
      <c r="V963" t="inlineStr">
        <is>
          <t>2002-09-17</t>
        </is>
      </c>
      <c r="W963" t="inlineStr">
        <is>
          <t>1990-08-02</t>
        </is>
      </c>
      <c r="X963" t="inlineStr">
        <is>
          <t>1990-08-02</t>
        </is>
      </c>
      <c r="Y963" t="n">
        <v>337</v>
      </c>
      <c r="Z963" t="n">
        <v>294</v>
      </c>
      <c r="AA963" t="n">
        <v>371</v>
      </c>
      <c r="AB963" t="n">
        <v>3</v>
      </c>
      <c r="AC963" t="n">
        <v>3</v>
      </c>
      <c r="AD963" t="n">
        <v>21</v>
      </c>
      <c r="AE963" t="n">
        <v>23</v>
      </c>
      <c r="AF963" t="n">
        <v>8</v>
      </c>
      <c r="AG963" t="n">
        <v>9</v>
      </c>
      <c r="AH963" t="n">
        <v>6</v>
      </c>
      <c r="AI963" t="n">
        <v>6</v>
      </c>
      <c r="AJ963" t="n">
        <v>13</v>
      </c>
      <c r="AK963" t="n">
        <v>14</v>
      </c>
      <c r="AL963" t="n">
        <v>2</v>
      </c>
      <c r="AM963" t="n">
        <v>2</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HYPERLINK("https://creighton-primo.hosted.exlibrisgroup.com/primo-explore/search?tab=default_tab&amp;search_scope=EVERYTHING&amp;vid=01CRU&amp;lang=en_US&amp;offset=0&amp;query=any,contains,991000840789702656","Catalog Record")</f>
        <v/>
      </c>
      <c r="AT963">
        <f>HYPERLINK("http://www.worldcat.org/oclc/13525535","WorldCat Record")</f>
        <v/>
      </c>
      <c r="AU963" t="inlineStr">
        <is>
          <t>7087953:eng</t>
        </is>
      </c>
      <c r="AV963" t="inlineStr">
        <is>
          <t>13525535</t>
        </is>
      </c>
      <c r="AW963" t="inlineStr">
        <is>
          <t>991000840789702656</t>
        </is>
      </c>
      <c r="AX963" t="inlineStr">
        <is>
          <t>991000840789702656</t>
        </is>
      </c>
      <c r="AY963" t="inlineStr">
        <is>
          <t>2262427950002656</t>
        </is>
      </c>
      <c r="AZ963" t="inlineStr">
        <is>
          <t>BOOK</t>
        </is>
      </c>
      <c r="BB963" t="inlineStr">
        <is>
          <t>9780824507916</t>
        </is>
      </c>
      <c r="BC963" t="inlineStr">
        <is>
          <t>32285000263326</t>
        </is>
      </c>
      <c r="BD963" t="inlineStr">
        <is>
          <t>893595939</t>
        </is>
      </c>
    </row>
    <row r="964">
      <c r="A964" t="inlineStr">
        <is>
          <t>No</t>
        </is>
      </c>
      <c r="B964" t="inlineStr">
        <is>
          <t>BT704 .M67 1985</t>
        </is>
      </c>
      <c r="C964" t="inlineStr">
        <is>
          <t>0                      BT 0704000M  67          1985</t>
        </is>
      </c>
      <c r="D964" t="inlineStr">
        <is>
          <t>The journey is home / Nelle Morton.</t>
        </is>
      </c>
      <c r="F964" t="inlineStr">
        <is>
          <t>No</t>
        </is>
      </c>
      <c r="G964" t="inlineStr">
        <is>
          <t>1</t>
        </is>
      </c>
      <c r="H964" t="inlineStr">
        <is>
          <t>No</t>
        </is>
      </c>
      <c r="I964" t="inlineStr">
        <is>
          <t>No</t>
        </is>
      </c>
      <c r="J964" t="inlineStr">
        <is>
          <t>0</t>
        </is>
      </c>
      <c r="K964" t="inlineStr">
        <is>
          <t>Morton, Nelle, 1905-1987.</t>
        </is>
      </c>
      <c r="L964" t="inlineStr">
        <is>
          <t>Boston : Beacon Press, c1985.</t>
        </is>
      </c>
      <c r="M964" t="inlineStr">
        <is>
          <t>1985</t>
        </is>
      </c>
      <c r="O964" t="inlineStr">
        <is>
          <t>eng</t>
        </is>
      </c>
      <c r="P964" t="inlineStr">
        <is>
          <t>mau</t>
        </is>
      </c>
      <c r="R964" t="inlineStr">
        <is>
          <t xml:space="preserve">BT </t>
        </is>
      </c>
      <c r="S964" t="n">
        <v>4</v>
      </c>
      <c r="T964" t="n">
        <v>4</v>
      </c>
      <c r="U964" t="inlineStr">
        <is>
          <t>1997-08-07</t>
        </is>
      </c>
      <c r="V964" t="inlineStr">
        <is>
          <t>1997-08-07</t>
        </is>
      </c>
      <c r="W964" t="inlineStr">
        <is>
          <t>1993-11-29</t>
        </is>
      </c>
      <c r="X964" t="inlineStr">
        <is>
          <t>1993-11-29</t>
        </is>
      </c>
      <c r="Y964" t="n">
        <v>487</v>
      </c>
      <c r="Z964" t="n">
        <v>431</v>
      </c>
      <c r="AA964" t="n">
        <v>436</v>
      </c>
      <c r="AB964" t="n">
        <v>4</v>
      </c>
      <c r="AC964" t="n">
        <v>4</v>
      </c>
      <c r="AD964" t="n">
        <v>22</v>
      </c>
      <c r="AE964" t="n">
        <v>22</v>
      </c>
      <c r="AF964" t="n">
        <v>5</v>
      </c>
      <c r="AG964" t="n">
        <v>5</v>
      </c>
      <c r="AH964" t="n">
        <v>3</v>
      </c>
      <c r="AI964" t="n">
        <v>3</v>
      </c>
      <c r="AJ964" t="n">
        <v>14</v>
      </c>
      <c r="AK964" t="n">
        <v>14</v>
      </c>
      <c r="AL964" t="n">
        <v>3</v>
      </c>
      <c r="AM964" t="n">
        <v>3</v>
      </c>
      <c r="AN964" t="n">
        <v>0</v>
      </c>
      <c r="AO964" t="n">
        <v>0</v>
      </c>
      <c r="AP964" t="inlineStr">
        <is>
          <t>No</t>
        </is>
      </c>
      <c r="AQ964" t="inlineStr">
        <is>
          <t>Yes</t>
        </is>
      </c>
      <c r="AR964">
        <f>HYPERLINK("http://catalog.hathitrust.org/Record/000461446","HathiTrust Record")</f>
        <v/>
      </c>
      <c r="AS964">
        <f>HYPERLINK("https://creighton-primo.hosted.exlibrisgroup.com/primo-explore/search?tab=default_tab&amp;search_scope=EVERYTHING&amp;vid=01CRU&amp;lang=en_US&amp;offset=0&amp;query=any,contains,991000525939702656","Catalog Record")</f>
        <v/>
      </c>
      <c r="AT964">
        <f>HYPERLINK("http://www.worldcat.org/oclc/11370648","WorldCat Record")</f>
        <v/>
      </c>
      <c r="AU964" t="inlineStr">
        <is>
          <t>3887497:eng</t>
        </is>
      </c>
      <c r="AV964" t="inlineStr">
        <is>
          <t>11370648</t>
        </is>
      </c>
      <c r="AW964" t="inlineStr">
        <is>
          <t>991000525939702656</t>
        </is>
      </c>
      <c r="AX964" t="inlineStr">
        <is>
          <t>991000525939702656</t>
        </is>
      </c>
      <c r="AY964" t="inlineStr">
        <is>
          <t>2260014810002656</t>
        </is>
      </c>
      <c r="AZ964" t="inlineStr">
        <is>
          <t>BOOK</t>
        </is>
      </c>
      <c r="BB964" t="inlineStr">
        <is>
          <t>9780807011287</t>
        </is>
      </c>
      <c r="BC964" t="inlineStr">
        <is>
          <t>32285001802874</t>
        </is>
      </c>
      <c r="BD964" t="inlineStr">
        <is>
          <t>893243352</t>
        </is>
      </c>
    </row>
    <row r="965">
      <c r="A965" t="inlineStr">
        <is>
          <t>No</t>
        </is>
      </c>
      <c r="B965" t="inlineStr">
        <is>
          <t>BT704 .O33 1984</t>
        </is>
      </c>
      <c r="C965" t="inlineStr">
        <is>
          <t>0                      BT 0704000O  33          1984</t>
        </is>
      </c>
      <c r="D965" t="inlineStr">
        <is>
          <t>What will happen to God? : feminism and the reconstruction of Christian belief / William Oddie.</t>
        </is>
      </c>
      <c r="F965" t="inlineStr">
        <is>
          <t>No</t>
        </is>
      </c>
      <c r="G965" t="inlineStr">
        <is>
          <t>1</t>
        </is>
      </c>
      <c r="H965" t="inlineStr">
        <is>
          <t>No</t>
        </is>
      </c>
      <c r="I965" t="inlineStr">
        <is>
          <t>No</t>
        </is>
      </c>
      <c r="J965" t="inlineStr">
        <is>
          <t>0</t>
        </is>
      </c>
      <c r="K965" t="inlineStr">
        <is>
          <t>Oddie, William.</t>
        </is>
      </c>
      <c r="L965" t="inlineStr">
        <is>
          <t>London : SPCK, 1984.</t>
        </is>
      </c>
      <c r="M965" t="inlineStr">
        <is>
          <t>1984</t>
        </is>
      </c>
      <c r="O965" t="inlineStr">
        <is>
          <t>eng</t>
        </is>
      </c>
      <c r="P965" t="inlineStr">
        <is>
          <t>enk</t>
        </is>
      </c>
      <c r="R965" t="inlineStr">
        <is>
          <t xml:space="preserve">BT </t>
        </is>
      </c>
      <c r="S965" t="n">
        <v>7</v>
      </c>
      <c r="T965" t="n">
        <v>7</v>
      </c>
      <c r="U965" t="inlineStr">
        <is>
          <t>1997-11-08</t>
        </is>
      </c>
      <c r="V965" t="inlineStr">
        <is>
          <t>1997-11-08</t>
        </is>
      </c>
      <c r="W965" t="inlineStr">
        <is>
          <t>1990-05-24</t>
        </is>
      </c>
      <c r="X965" t="inlineStr">
        <is>
          <t>1990-05-24</t>
        </is>
      </c>
      <c r="Y965" t="n">
        <v>225</v>
      </c>
      <c r="Z965" t="n">
        <v>133</v>
      </c>
      <c r="AA965" t="n">
        <v>299</v>
      </c>
      <c r="AB965" t="n">
        <v>3</v>
      </c>
      <c r="AC965" t="n">
        <v>7</v>
      </c>
      <c r="AD965" t="n">
        <v>9</v>
      </c>
      <c r="AE965" t="n">
        <v>27</v>
      </c>
      <c r="AF965" t="n">
        <v>2</v>
      </c>
      <c r="AG965" t="n">
        <v>9</v>
      </c>
      <c r="AH965" t="n">
        <v>1</v>
      </c>
      <c r="AI965" t="n">
        <v>6</v>
      </c>
      <c r="AJ965" t="n">
        <v>5</v>
      </c>
      <c r="AK965" t="n">
        <v>16</v>
      </c>
      <c r="AL965" t="n">
        <v>2</v>
      </c>
      <c r="AM965" t="n">
        <v>4</v>
      </c>
      <c r="AN965" t="n">
        <v>0</v>
      </c>
      <c r="AO965" t="n">
        <v>0</v>
      </c>
      <c r="AP965" t="inlineStr">
        <is>
          <t>No</t>
        </is>
      </c>
      <c r="AQ965" t="inlineStr">
        <is>
          <t>Yes</t>
        </is>
      </c>
      <c r="AR965">
        <f>HYPERLINK("http://catalog.hathitrust.org/Record/000454255","HathiTrust Record")</f>
        <v/>
      </c>
      <c r="AS965">
        <f>HYPERLINK("https://creighton-primo.hosted.exlibrisgroup.com/primo-explore/search?tab=default_tab&amp;search_scope=EVERYTHING&amp;vid=01CRU&amp;lang=en_US&amp;offset=0&amp;query=any,contains,991000536049702656","Catalog Record")</f>
        <v/>
      </c>
      <c r="AT965">
        <f>HYPERLINK("http://www.worldcat.org/oclc/11451889","WorldCat Record")</f>
        <v/>
      </c>
      <c r="AU965" t="inlineStr">
        <is>
          <t>836690783:eng</t>
        </is>
      </c>
      <c r="AV965" t="inlineStr">
        <is>
          <t>11451889</t>
        </is>
      </c>
      <c r="AW965" t="inlineStr">
        <is>
          <t>991000536049702656</t>
        </is>
      </c>
      <c r="AX965" t="inlineStr">
        <is>
          <t>991000536049702656</t>
        </is>
      </c>
      <c r="AY965" t="inlineStr">
        <is>
          <t>2264876250002656</t>
        </is>
      </c>
      <c r="AZ965" t="inlineStr">
        <is>
          <t>BOOK</t>
        </is>
      </c>
      <c r="BB965" t="inlineStr">
        <is>
          <t>9780281041053</t>
        </is>
      </c>
      <c r="BC965" t="inlineStr">
        <is>
          <t>32285000166354</t>
        </is>
      </c>
      <c r="BD965" t="inlineStr">
        <is>
          <t>893502570</t>
        </is>
      </c>
    </row>
    <row r="966">
      <c r="A966" t="inlineStr">
        <is>
          <t>No</t>
        </is>
      </c>
      <c r="B966" t="inlineStr">
        <is>
          <t>BT705.8 .B37 1998</t>
        </is>
      </c>
      <c r="C966" t="inlineStr">
        <is>
          <t>0                      BT 0705800B  37          1998</t>
        </is>
      </c>
      <c r="D966" t="inlineStr">
        <is>
          <t>Equal to the task : men &amp; women in partnership / Ruth Haley Barton.</t>
        </is>
      </c>
      <c r="F966" t="inlineStr">
        <is>
          <t>No</t>
        </is>
      </c>
      <c r="G966" t="inlineStr">
        <is>
          <t>1</t>
        </is>
      </c>
      <c r="H966" t="inlineStr">
        <is>
          <t>No</t>
        </is>
      </c>
      <c r="I966" t="inlineStr">
        <is>
          <t>No</t>
        </is>
      </c>
      <c r="J966" t="inlineStr">
        <is>
          <t>0</t>
        </is>
      </c>
      <c r="K966" t="inlineStr">
        <is>
          <t>Barton, R. Ruth, 1960-</t>
        </is>
      </c>
      <c r="L966" t="inlineStr">
        <is>
          <t>Downers Grove, Ill. : InterVarsity Press, c1998.</t>
        </is>
      </c>
      <c r="M966" t="inlineStr">
        <is>
          <t>1998</t>
        </is>
      </c>
      <c r="O966" t="inlineStr">
        <is>
          <t>eng</t>
        </is>
      </c>
      <c r="P966" t="inlineStr">
        <is>
          <t>ilu</t>
        </is>
      </c>
      <c r="R966" t="inlineStr">
        <is>
          <t xml:space="preserve">BT </t>
        </is>
      </c>
      <c r="S966" t="n">
        <v>1</v>
      </c>
      <c r="T966" t="n">
        <v>1</v>
      </c>
      <c r="U966" t="inlineStr">
        <is>
          <t>2006-05-10</t>
        </is>
      </c>
      <c r="V966" t="inlineStr">
        <is>
          <t>2006-05-10</t>
        </is>
      </c>
      <c r="W966" t="inlineStr">
        <is>
          <t>2006-05-10</t>
        </is>
      </c>
      <c r="X966" t="inlineStr">
        <is>
          <t>2006-05-10</t>
        </is>
      </c>
      <c r="Y966" t="n">
        <v>167</v>
      </c>
      <c r="Z966" t="n">
        <v>154</v>
      </c>
      <c r="AA966" t="n">
        <v>154</v>
      </c>
      <c r="AB966" t="n">
        <v>1</v>
      </c>
      <c r="AC966" t="n">
        <v>1</v>
      </c>
      <c r="AD966" t="n">
        <v>7</v>
      </c>
      <c r="AE966" t="n">
        <v>7</v>
      </c>
      <c r="AF966" t="n">
        <v>3</v>
      </c>
      <c r="AG966" t="n">
        <v>3</v>
      </c>
      <c r="AH966" t="n">
        <v>3</v>
      </c>
      <c r="AI966" t="n">
        <v>3</v>
      </c>
      <c r="AJ966" t="n">
        <v>2</v>
      </c>
      <c r="AK966" t="n">
        <v>2</v>
      </c>
      <c r="AL966" t="n">
        <v>0</v>
      </c>
      <c r="AM966" t="n">
        <v>0</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HYPERLINK("https://creighton-primo.hosted.exlibrisgroup.com/primo-explore/search?tab=default_tab&amp;search_scope=EVERYTHING&amp;vid=01CRU&amp;lang=en_US&amp;offset=0&amp;query=any,contains,991004794369702656","Catalog Record")</f>
        <v/>
      </c>
      <c r="AT966">
        <f>HYPERLINK("http://www.worldcat.org/oclc/38438573","WorldCat Record")</f>
        <v/>
      </c>
      <c r="AU966" t="inlineStr">
        <is>
          <t>42388346:eng</t>
        </is>
      </c>
      <c r="AV966" t="inlineStr">
        <is>
          <t>38438573</t>
        </is>
      </c>
      <c r="AW966" t="inlineStr">
        <is>
          <t>991004794369702656</t>
        </is>
      </c>
      <c r="AX966" t="inlineStr">
        <is>
          <t>991004794369702656</t>
        </is>
      </c>
      <c r="AY966" t="inlineStr">
        <is>
          <t>2267097460002656</t>
        </is>
      </c>
      <c r="AZ966" t="inlineStr">
        <is>
          <t>BOOK</t>
        </is>
      </c>
      <c r="BB966" t="inlineStr">
        <is>
          <t>9780830813575</t>
        </is>
      </c>
      <c r="BC966" t="inlineStr">
        <is>
          <t>32285005186597</t>
        </is>
      </c>
      <c r="BD966" t="inlineStr">
        <is>
          <t>893446399</t>
        </is>
      </c>
    </row>
    <row r="967">
      <c r="A967" t="inlineStr">
        <is>
          <t>No</t>
        </is>
      </c>
      <c r="B967" t="inlineStr">
        <is>
          <t>BT706 .O75 1995</t>
        </is>
      </c>
      <c r="C967" t="inlineStr">
        <is>
          <t>0                      BT 0706000O  75          1995</t>
        </is>
      </c>
      <c r="D967" t="inlineStr">
        <is>
          <t>Oriental Orthodox-Roman Catholic interchurch marriages : and other pastoral relationships.</t>
        </is>
      </c>
      <c r="F967" t="inlineStr">
        <is>
          <t>No</t>
        </is>
      </c>
      <c r="G967" t="inlineStr">
        <is>
          <t>1</t>
        </is>
      </c>
      <c r="H967" t="inlineStr">
        <is>
          <t>No</t>
        </is>
      </c>
      <c r="I967" t="inlineStr">
        <is>
          <t>No</t>
        </is>
      </c>
      <c r="J967" t="inlineStr">
        <is>
          <t>0</t>
        </is>
      </c>
      <c r="L967" t="inlineStr">
        <is>
          <t>Washington, D.C. : United States Catholic Conference, c1995.</t>
        </is>
      </c>
      <c r="M967" t="inlineStr">
        <is>
          <t>1995</t>
        </is>
      </c>
      <c r="O967" t="inlineStr">
        <is>
          <t>eng</t>
        </is>
      </c>
      <c r="P967" t="inlineStr">
        <is>
          <t>dcu</t>
        </is>
      </c>
      <c r="Q967" t="inlineStr">
        <is>
          <t>Publication (United States Catholic Conference) ; no. 097-4</t>
        </is>
      </c>
      <c r="R967" t="inlineStr">
        <is>
          <t xml:space="preserve">BT </t>
        </is>
      </c>
      <c r="S967" t="n">
        <v>3</v>
      </c>
      <c r="T967" t="n">
        <v>3</v>
      </c>
      <c r="U967" t="inlineStr">
        <is>
          <t>2001-10-18</t>
        </is>
      </c>
      <c r="V967" t="inlineStr">
        <is>
          <t>2001-10-18</t>
        </is>
      </c>
      <c r="W967" t="inlineStr">
        <is>
          <t>1995-11-14</t>
        </is>
      </c>
      <c r="X967" t="inlineStr">
        <is>
          <t>1995-11-14</t>
        </is>
      </c>
      <c r="Y967" t="n">
        <v>139</v>
      </c>
      <c r="Z967" t="n">
        <v>123</v>
      </c>
      <c r="AA967" t="n">
        <v>123</v>
      </c>
      <c r="AB967" t="n">
        <v>2</v>
      </c>
      <c r="AC967" t="n">
        <v>2</v>
      </c>
      <c r="AD967" t="n">
        <v>16</v>
      </c>
      <c r="AE967" t="n">
        <v>16</v>
      </c>
      <c r="AF967" t="n">
        <v>4</v>
      </c>
      <c r="AG967" t="n">
        <v>4</v>
      </c>
      <c r="AH967" t="n">
        <v>4</v>
      </c>
      <c r="AI967" t="n">
        <v>4</v>
      </c>
      <c r="AJ967" t="n">
        <v>12</v>
      </c>
      <c r="AK967" t="n">
        <v>12</v>
      </c>
      <c r="AL967" t="n">
        <v>0</v>
      </c>
      <c r="AM967" t="n">
        <v>0</v>
      </c>
      <c r="AN967" t="n">
        <v>1</v>
      </c>
      <c r="AO967" t="n">
        <v>1</v>
      </c>
      <c r="AP967" t="inlineStr">
        <is>
          <t>No</t>
        </is>
      </c>
      <c r="AQ967" t="inlineStr">
        <is>
          <t>No</t>
        </is>
      </c>
      <c r="AS967">
        <f>HYPERLINK("https://creighton-primo.hosted.exlibrisgroup.com/primo-explore/search?tab=default_tab&amp;search_scope=EVERYTHING&amp;vid=01CRU&amp;lang=en_US&amp;offset=0&amp;query=any,contains,991002568499702656","Catalog Record")</f>
        <v/>
      </c>
      <c r="AT967">
        <f>HYPERLINK("http://www.worldcat.org/oclc/33375019","WorldCat Record")</f>
        <v/>
      </c>
      <c r="AU967" t="inlineStr">
        <is>
          <t>2051561:eng</t>
        </is>
      </c>
      <c r="AV967" t="inlineStr">
        <is>
          <t>33375019</t>
        </is>
      </c>
      <c r="AW967" t="inlineStr">
        <is>
          <t>991002568499702656</t>
        </is>
      </c>
      <c r="AX967" t="inlineStr">
        <is>
          <t>991002568499702656</t>
        </is>
      </c>
      <c r="AY967" t="inlineStr">
        <is>
          <t>2260685330002656</t>
        </is>
      </c>
      <c r="AZ967" t="inlineStr">
        <is>
          <t>BOOK</t>
        </is>
      </c>
      <c r="BB967" t="inlineStr">
        <is>
          <t>9781555860974</t>
        </is>
      </c>
      <c r="BC967" t="inlineStr">
        <is>
          <t>32285002088150</t>
        </is>
      </c>
      <c r="BD967" t="inlineStr">
        <is>
          <t>893434027</t>
        </is>
      </c>
    </row>
    <row r="968">
      <c r="A968" t="inlineStr">
        <is>
          <t>No</t>
        </is>
      </c>
      <c r="B968" t="inlineStr">
        <is>
          <t>BT708 .A75 1998</t>
        </is>
      </c>
      <c r="C968" t="inlineStr">
        <is>
          <t>0                      BT 0708000A  75          1998</t>
        </is>
      </c>
      <c r="D968" t="inlineStr">
        <is>
          <t>A plea for purity : sex, marriage &amp; God / Johann Christoph Arnold.</t>
        </is>
      </c>
      <c r="F968" t="inlineStr">
        <is>
          <t>No</t>
        </is>
      </c>
      <c r="G968" t="inlineStr">
        <is>
          <t>1</t>
        </is>
      </c>
      <c r="H968" t="inlineStr">
        <is>
          <t>No</t>
        </is>
      </c>
      <c r="I968" t="inlineStr">
        <is>
          <t>No</t>
        </is>
      </c>
      <c r="J968" t="inlineStr">
        <is>
          <t>0</t>
        </is>
      </c>
      <c r="K968" t="inlineStr">
        <is>
          <t>Arnold, Johann Christoph, 1940-2017.</t>
        </is>
      </c>
      <c r="L968" t="inlineStr">
        <is>
          <t>Farmington, PA : Plough Pub. House, 1998.</t>
        </is>
      </c>
      <c r="M968" t="inlineStr">
        <is>
          <t>1998</t>
        </is>
      </c>
      <c r="N968" t="inlineStr">
        <is>
          <t>2nd ed.</t>
        </is>
      </c>
      <c r="O968" t="inlineStr">
        <is>
          <t>eng</t>
        </is>
      </c>
      <c r="P968" t="inlineStr">
        <is>
          <t>pau</t>
        </is>
      </c>
      <c r="R968" t="inlineStr">
        <is>
          <t xml:space="preserve">BT </t>
        </is>
      </c>
      <c r="S968" t="n">
        <v>3</v>
      </c>
      <c r="T968" t="n">
        <v>3</v>
      </c>
      <c r="U968" t="inlineStr">
        <is>
          <t>2007-05-16</t>
        </is>
      </c>
      <c r="V968" t="inlineStr">
        <is>
          <t>2007-05-16</t>
        </is>
      </c>
      <c r="W968" t="inlineStr">
        <is>
          <t>2002-08-13</t>
        </is>
      </c>
      <c r="X968" t="inlineStr">
        <is>
          <t>2002-08-13</t>
        </is>
      </c>
      <c r="Y968" t="n">
        <v>151</v>
      </c>
      <c r="Z968" t="n">
        <v>138</v>
      </c>
      <c r="AA968" t="n">
        <v>267</v>
      </c>
      <c r="AB968" t="n">
        <v>1</v>
      </c>
      <c r="AC968" t="n">
        <v>1</v>
      </c>
      <c r="AD968" t="n">
        <v>6</v>
      </c>
      <c r="AE968" t="n">
        <v>14</v>
      </c>
      <c r="AF968" t="n">
        <v>5</v>
      </c>
      <c r="AG968" t="n">
        <v>7</v>
      </c>
      <c r="AH968" t="n">
        <v>0</v>
      </c>
      <c r="AI968" t="n">
        <v>2</v>
      </c>
      <c r="AJ968" t="n">
        <v>2</v>
      </c>
      <c r="AK968" t="n">
        <v>8</v>
      </c>
      <c r="AL968" t="n">
        <v>0</v>
      </c>
      <c r="AM968" t="n">
        <v>0</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HYPERLINK("https://creighton-primo.hosted.exlibrisgroup.com/primo-explore/search?tab=default_tab&amp;search_scope=EVERYTHING&amp;vid=01CRU&amp;lang=en_US&amp;offset=0&amp;query=any,contains,991003855669702656","Catalog Record")</f>
        <v/>
      </c>
      <c r="AT968">
        <f>HYPERLINK("http://www.worldcat.org/oclc/39695593","WorldCat Record")</f>
        <v/>
      </c>
      <c r="AU968" t="inlineStr">
        <is>
          <t>53220:eng</t>
        </is>
      </c>
      <c r="AV968" t="inlineStr">
        <is>
          <t>39695593</t>
        </is>
      </c>
      <c r="AW968" t="inlineStr">
        <is>
          <t>991003855669702656</t>
        </is>
      </c>
      <c r="AX968" t="inlineStr">
        <is>
          <t>991003855669702656</t>
        </is>
      </c>
      <c r="AY968" t="inlineStr">
        <is>
          <t>2264663920002656</t>
        </is>
      </c>
      <c r="AZ968" t="inlineStr">
        <is>
          <t>BOOK</t>
        </is>
      </c>
      <c r="BB968" t="inlineStr">
        <is>
          <t>9780874869606</t>
        </is>
      </c>
      <c r="BC968" t="inlineStr">
        <is>
          <t>32285004642830</t>
        </is>
      </c>
      <c r="BD968" t="inlineStr">
        <is>
          <t>893800242</t>
        </is>
      </c>
    </row>
    <row r="969">
      <c r="A969" t="inlineStr">
        <is>
          <t>No</t>
        </is>
      </c>
      <c r="B969" t="inlineStr">
        <is>
          <t>BT708 .D55</t>
        </is>
      </c>
      <c r="C969" t="inlineStr">
        <is>
          <t>0                      BT 0708000D  55</t>
        </is>
      </c>
      <c r="D969" t="inlineStr">
        <is>
          <t>Dimensions of human sexuality / edited by Dennis Doherty.</t>
        </is>
      </c>
      <c r="F969" t="inlineStr">
        <is>
          <t>No</t>
        </is>
      </c>
      <c r="G969" t="inlineStr">
        <is>
          <t>1</t>
        </is>
      </c>
      <c r="H969" t="inlineStr">
        <is>
          <t>No</t>
        </is>
      </c>
      <c r="I969" t="inlineStr">
        <is>
          <t>No</t>
        </is>
      </c>
      <c r="J969" t="inlineStr">
        <is>
          <t>0</t>
        </is>
      </c>
      <c r="L969" t="inlineStr">
        <is>
          <t>Garden City, N.Y. : Doubleday, 1979.</t>
        </is>
      </c>
      <c r="M969" t="inlineStr">
        <is>
          <t>1979</t>
        </is>
      </c>
      <c r="N969" t="inlineStr">
        <is>
          <t>1st ed.</t>
        </is>
      </c>
      <c r="O969" t="inlineStr">
        <is>
          <t>eng</t>
        </is>
      </c>
      <c r="P969" t="inlineStr">
        <is>
          <t>nyu</t>
        </is>
      </c>
      <c r="R969" t="inlineStr">
        <is>
          <t xml:space="preserve">BT </t>
        </is>
      </c>
      <c r="S969" t="n">
        <v>7</v>
      </c>
      <c r="T969" t="n">
        <v>7</v>
      </c>
      <c r="U969" t="inlineStr">
        <is>
          <t>1998-06-13</t>
        </is>
      </c>
      <c r="V969" t="inlineStr">
        <is>
          <t>1998-06-13</t>
        </is>
      </c>
      <c r="W969" t="inlineStr">
        <is>
          <t>1990-08-16</t>
        </is>
      </c>
      <c r="X969" t="inlineStr">
        <is>
          <t>1990-08-16</t>
        </is>
      </c>
      <c r="Y969" t="n">
        <v>421</v>
      </c>
      <c r="Z969" t="n">
        <v>376</v>
      </c>
      <c r="AA969" t="n">
        <v>382</v>
      </c>
      <c r="AB969" t="n">
        <v>2</v>
      </c>
      <c r="AC969" t="n">
        <v>2</v>
      </c>
      <c r="AD969" t="n">
        <v>26</v>
      </c>
      <c r="AE969" t="n">
        <v>26</v>
      </c>
      <c r="AF969" t="n">
        <v>7</v>
      </c>
      <c r="AG969" t="n">
        <v>7</v>
      </c>
      <c r="AH969" t="n">
        <v>7</v>
      </c>
      <c r="AI969" t="n">
        <v>7</v>
      </c>
      <c r="AJ969" t="n">
        <v>17</v>
      </c>
      <c r="AK969" t="n">
        <v>17</v>
      </c>
      <c r="AL969" t="n">
        <v>1</v>
      </c>
      <c r="AM969" t="n">
        <v>1</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HYPERLINK("https://creighton-primo.hosted.exlibrisgroup.com/primo-explore/search?tab=default_tab&amp;search_scope=EVERYTHING&amp;vid=01CRU&amp;lang=en_US&amp;offset=0&amp;query=any,contains,991004802589702656","Catalog Record")</f>
        <v/>
      </c>
      <c r="AT969">
        <f>HYPERLINK("http://www.worldcat.org/oclc/5219756","WorldCat Record")</f>
        <v/>
      </c>
      <c r="AU969" t="inlineStr">
        <is>
          <t>11350200:eng</t>
        </is>
      </c>
      <c r="AV969" t="inlineStr">
        <is>
          <t>5219756</t>
        </is>
      </c>
      <c r="AW969" t="inlineStr">
        <is>
          <t>991004802589702656</t>
        </is>
      </c>
      <c r="AX969" t="inlineStr">
        <is>
          <t>991004802589702656</t>
        </is>
      </c>
      <c r="AY969" t="inlineStr">
        <is>
          <t>2268384980002656</t>
        </is>
      </c>
      <c r="AZ969" t="inlineStr">
        <is>
          <t>BOOK</t>
        </is>
      </c>
      <c r="BB969" t="inlineStr">
        <is>
          <t>9780385150408</t>
        </is>
      </c>
      <c r="BC969" t="inlineStr">
        <is>
          <t>32285000290261</t>
        </is>
      </c>
      <c r="BD969" t="inlineStr">
        <is>
          <t>893895507</t>
        </is>
      </c>
    </row>
    <row r="970">
      <c r="A970" t="inlineStr">
        <is>
          <t>No</t>
        </is>
      </c>
      <c r="B970" t="inlineStr">
        <is>
          <t>BT708 .M34</t>
        </is>
      </c>
      <c r="C970" t="inlineStr">
        <is>
          <t>0                      BT 0708000M  34</t>
        </is>
      </c>
      <c r="D970" t="inlineStr">
        <is>
          <t>Male and female : Christian approaches to sexuality / edited by Ruth Tiffany Barnhouse, and Urban T. Holmes, III ; with a foreword by John Maury Allin.</t>
        </is>
      </c>
      <c r="F970" t="inlineStr">
        <is>
          <t>No</t>
        </is>
      </c>
      <c r="G970" t="inlineStr">
        <is>
          <t>1</t>
        </is>
      </c>
      <c r="H970" t="inlineStr">
        <is>
          <t>No</t>
        </is>
      </c>
      <c r="I970" t="inlineStr">
        <is>
          <t>No</t>
        </is>
      </c>
      <c r="J970" t="inlineStr">
        <is>
          <t>0</t>
        </is>
      </c>
      <c r="L970" t="inlineStr">
        <is>
          <t>New York : Seabury Press, c1976.</t>
        </is>
      </c>
      <c r="M970" t="inlineStr">
        <is>
          <t>1976</t>
        </is>
      </c>
      <c r="O970" t="inlineStr">
        <is>
          <t>eng</t>
        </is>
      </c>
      <c r="P970" t="inlineStr">
        <is>
          <t>nyu</t>
        </is>
      </c>
      <c r="R970" t="inlineStr">
        <is>
          <t xml:space="preserve">BT </t>
        </is>
      </c>
      <c r="S970" t="n">
        <v>6</v>
      </c>
      <c r="T970" t="n">
        <v>6</v>
      </c>
      <c r="U970" t="inlineStr">
        <is>
          <t>2002-03-27</t>
        </is>
      </c>
      <c r="V970" t="inlineStr">
        <is>
          <t>2002-03-27</t>
        </is>
      </c>
      <c r="W970" t="inlineStr">
        <is>
          <t>1990-07-30</t>
        </is>
      </c>
      <c r="X970" t="inlineStr">
        <is>
          <t>1990-07-30</t>
        </is>
      </c>
      <c r="Y970" t="n">
        <v>483</v>
      </c>
      <c r="Z970" t="n">
        <v>429</v>
      </c>
      <c r="AA970" t="n">
        <v>434</v>
      </c>
      <c r="AB970" t="n">
        <v>2</v>
      </c>
      <c r="AC970" t="n">
        <v>2</v>
      </c>
      <c r="AD970" t="n">
        <v>21</v>
      </c>
      <c r="AE970" t="n">
        <v>21</v>
      </c>
      <c r="AF970" t="n">
        <v>6</v>
      </c>
      <c r="AG970" t="n">
        <v>6</v>
      </c>
      <c r="AH970" t="n">
        <v>6</v>
      </c>
      <c r="AI970" t="n">
        <v>6</v>
      </c>
      <c r="AJ970" t="n">
        <v>15</v>
      </c>
      <c r="AK970" t="n">
        <v>15</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HYPERLINK("https://creighton-primo.hosted.exlibrisgroup.com/primo-explore/search?tab=default_tab&amp;search_scope=EVERYTHING&amp;vid=01CRU&amp;lang=en_US&amp;offset=0&amp;query=any,contains,991004067439702656","Catalog Record")</f>
        <v/>
      </c>
      <c r="AT970">
        <f>HYPERLINK("http://www.worldcat.org/oclc/2288469","WorldCat Record")</f>
        <v/>
      </c>
      <c r="AU970" t="inlineStr">
        <is>
          <t>892260903:eng</t>
        </is>
      </c>
      <c r="AV970" t="inlineStr">
        <is>
          <t>2288469</t>
        </is>
      </c>
      <c r="AW970" t="inlineStr">
        <is>
          <t>991004067439702656</t>
        </is>
      </c>
      <c r="AX970" t="inlineStr">
        <is>
          <t>991004067439702656</t>
        </is>
      </c>
      <c r="AY970" t="inlineStr">
        <is>
          <t>2269334440002656</t>
        </is>
      </c>
      <c r="AZ970" t="inlineStr">
        <is>
          <t>BOOK</t>
        </is>
      </c>
      <c r="BB970" t="inlineStr">
        <is>
          <t>9780816421183</t>
        </is>
      </c>
      <c r="BC970" t="inlineStr">
        <is>
          <t>32285000228964</t>
        </is>
      </c>
      <c r="BD970" t="inlineStr">
        <is>
          <t>893781810</t>
        </is>
      </c>
    </row>
    <row r="971">
      <c r="A971" t="inlineStr">
        <is>
          <t>No</t>
        </is>
      </c>
      <c r="B971" t="inlineStr">
        <is>
          <t>BT708 .V35 1990</t>
        </is>
      </c>
      <c r="C971" t="inlineStr">
        <is>
          <t>0                      BT 0708000V  35          1990</t>
        </is>
      </c>
      <c r="D971" t="inlineStr">
        <is>
          <t>Gender &amp; grace : love, work &amp; parenting in a changing world / Mary Stewart Van Leeuwen.</t>
        </is>
      </c>
      <c r="F971" t="inlineStr">
        <is>
          <t>No</t>
        </is>
      </c>
      <c r="G971" t="inlineStr">
        <is>
          <t>1</t>
        </is>
      </c>
      <c r="H971" t="inlineStr">
        <is>
          <t>No</t>
        </is>
      </c>
      <c r="I971" t="inlineStr">
        <is>
          <t>No</t>
        </is>
      </c>
      <c r="J971" t="inlineStr">
        <is>
          <t>0</t>
        </is>
      </c>
      <c r="K971" t="inlineStr">
        <is>
          <t>Van Leeuwen, Mary Stewart, 1943-</t>
        </is>
      </c>
      <c r="L971" t="inlineStr">
        <is>
          <t>Downers Grove, Ill : InterVarsity Press, c1990.</t>
        </is>
      </c>
      <c r="M971" t="inlineStr">
        <is>
          <t>1990</t>
        </is>
      </c>
      <c r="O971" t="inlineStr">
        <is>
          <t>eng</t>
        </is>
      </c>
      <c r="P971" t="inlineStr">
        <is>
          <t>ilu</t>
        </is>
      </c>
      <c r="R971" t="inlineStr">
        <is>
          <t xml:space="preserve">BT </t>
        </is>
      </c>
      <c r="S971" t="n">
        <v>1</v>
      </c>
      <c r="T971" t="n">
        <v>1</v>
      </c>
      <c r="U971" t="inlineStr">
        <is>
          <t>2006-05-10</t>
        </is>
      </c>
      <c r="V971" t="inlineStr">
        <is>
          <t>2006-05-10</t>
        </is>
      </c>
      <c r="W971" t="inlineStr">
        <is>
          <t>2006-05-10</t>
        </is>
      </c>
      <c r="X971" t="inlineStr">
        <is>
          <t>2006-05-10</t>
        </is>
      </c>
      <c r="Y971" t="n">
        <v>322</v>
      </c>
      <c r="Z971" t="n">
        <v>274</v>
      </c>
      <c r="AA971" t="n">
        <v>278</v>
      </c>
      <c r="AB971" t="n">
        <v>3</v>
      </c>
      <c r="AC971" t="n">
        <v>3</v>
      </c>
      <c r="AD971" t="n">
        <v>9</v>
      </c>
      <c r="AE971" t="n">
        <v>9</v>
      </c>
      <c r="AF971" t="n">
        <v>3</v>
      </c>
      <c r="AG971" t="n">
        <v>3</v>
      </c>
      <c r="AH971" t="n">
        <v>2</v>
      </c>
      <c r="AI971" t="n">
        <v>2</v>
      </c>
      <c r="AJ971" t="n">
        <v>4</v>
      </c>
      <c r="AK971" t="n">
        <v>4</v>
      </c>
      <c r="AL971" t="n">
        <v>1</v>
      </c>
      <c r="AM971" t="n">
        <v>1</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HYPERLINK("https://creighton-primo.hosted.exlibrisgroup.com/primo-explore/search?tab=default_tab&amp;search_scope=EVERYTHING&amp;vid=01CRU&amp;lang=en_US&amp;offset=0&amp;query=any,contains,991004794469702656","Catalog Record")</f>
        <v/>
      </c>
      <c r="AT971">
        <f>HYPERLINK("http://www.worldcat.org/oclc/20798110","WorldCat Record")</f>
        <v/>
      </c>
      <c r="AU971" t="inlineStr">
        <is>
          <t>479113538:eng</t>
        </is>
      </c>
      <c r="AV971" t="inlineStr">
        <is>
          <t>20798110</t>
        </is>
      </c>
      <c r="AW971" t="inlineStr">
        <is>
          <t>991004794469702656</t>
        </is>
      </c>
      <c r="AX971" t="inlineStr">
        <is>
          <t>991004794469702656</t>
        </is>
      </c>
      <c r="AY971" t="inlineStr">
        <is>
          <t>2260265770002656</t>
        </is>
      </c>
      <c r="AZ971" t="inlineStr">
        <is>
          <t>BOOK</t>
        </is>
      </c>
      <c r="BB971" t="inlineStr">
        <is>
          <t>9780830812974</t>
        </is>
      </c>
      <c r="BC971" t="inlineStr">
        <is>
          <t>32285005186621</t>
        </is>
      </c>
      <c r="BD971" t="inlineStr">
        <is>
          <t>893513688</t>
        </is>
      </c>
    </row>
    <row r="972">
      <c r="A972" t="inlineStr">
        <is>
          <t>No</t>
        </is>
      </c>
      <c r="B972" t="inlineStr">
        <is>
          <t>BT708 .W34 1998</t>
        </is>
      </c>
      <c r="C972" t="inlineStr">
        <is>
          <t>0                      BT 0708000W  34          1998</t>
        </is>
      </c>
      <c r="D972" t="inlineStr">
        <is>
          <t>For fidelity : how intimacy and commitment enrich our lives / Catherine M. Wallace.</t>
        </is>
      </c>
      <c r="F972" t="inlineStr">
        <is>
          <t>No</t>
        </is>
      </c>
      <c r="G972" t="inlineStr">
        <is>
          <t>1</t>
        </is>
      </c>
      <c r="H972" t="inlineStr">
        <is>
          <t>No</t>
        </is>
      </c>
      <c r="I972" t="inlineStr">
        <is>
          <t>No</t>
        </is>
      </c>
      <c r="J972" t="inlineStr">
        <is>
          <t>0</t>
        </is>
      </c>
      <c r="K972" t="inlineStr">
        <is>
          <t>Wallace, Catherine Miles.</t>
        </is>
      </c>
      <c r="L972" t="inlineStr">
        <is>
          <t>New York : Knopf : Distributed by Random House, 1998.</t>
        </is>
      </c>
      <c r="M972" t="inlineStr">
        <is>
          <t>1998</t>
        </is>
      </c>
      <c r="N972" t="inlineStr">
        <is>
          <t>1st ed.</t>
        </is>
      </c>
      <c r="O972" t="inlineStr">
        <is>
          <t>eng</t>
        </is>
      </c>
      <c r="P972" t="inlineStr">
        <is>
          <t>nyu</t>
        </is>
      </c>
      <c r="R972" t="inlineStr">
        <is>
          <t xml:space="preserve">BT </t>
        </is>
      </c>
      <c r="S972" t="n">
        <v>1</v>
      </c>
      <c r="T972" t="n">
        <v>1</v>
      </c>
      <c r="U972" t="inlineStr">
        <is>
          <t>2002-04-06</t>
        </is>
      </c>
      <c r="V972" t="inlineStr">
        <is>
          <t>2002-04-06</t>
        </is>
      </c>
      <c r="W972" t="inlineStr">
        <is>
          <t>1998-11-03</t>
        </is>
      </c>
      <c r="X972" t="inlineStr">
        <is>
          <t>1998-11-03</t>
        </is>
      </c>
      <c r="Y972" t="n">
        <v>506</v>
      </c>
      <c r="Z972" t="n">
        <v>474</v>
      </c>
      <c r="AA972" t="n">
        <v>504</v>
      </c>
      <c r="AB972" t="n">
        <v>4</v>
      </c>
      <c r="AC972" t="n">
        <v>4</v>
      </c>
      <c r="AD972" t="n">
        <v>14</v>
      </c>
      <c r="AE972" t="n">
        <v>14</v>
      </c>
      <c r="AF972" t="n">
        <v>4</v>
      </c>
      <c r="AG972" t="n">
        <v>4</v>
      </c>
      <c r="AH972" t="n">
        <v>3</v>
      </c>
      <c r="AI972" t="n">
        <v>3</v>
      </c>
      <c r="AJ972" t="n">
        <v>9</v>
      </c>
      <c r="AK972" t="n">
        <v>9</v>
      </c>
      <c r="AL972" t="n">
        <v>2</v>
      </c>
      <c r="AM972" t="n">
        <v>2</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HYPERLINK("https://creighton-primo.hosted.exlibrisgroup.com/primo-explore/search?tab=default_tab&amp;search_scope=EVERYTHING&amp;vid=01CRU&amp;lang=en_US&amp;offset=0&amp;query=any,contains,991002856419702656","Catalog Record")</f>
        <v/>
      </c>
      <c r="AT972">
        <f>HYPERLINK("http://www.worldcat.org/oclc/37640478","WorldCat Record")</f>
        <v/>
      </c>
      <c r="AU972" t="inlineStr">
        <is>
          <t>533243:eng</t>
        </is>
      </c>
      <c r="AV972" t="inlineStr">
        <is>
          <t>37640478</t>
        </is>
      </c>
      <c r="AW972" t="inlineStr">
        <is>
          <t>991002856419702656</t>
        </is>
      </c>
      <c r="AX972" t="inlineStr">
        <is>
          <t>991002856419702656</t>
        </is>
      </c>
      <c r="AY972" t="inlineStr">
        <is>
          <t>2269103080002656</t>
        </is>
      </c>
      <c r="AZ972" t="inlineStr">
        <is>
          <t>BOOK</t>
        </is>
      </c>
      <c r="BB972" t="inlineStr">
        <is>
          <t>9780375400797</t>
        </is>
      </c>
      <c r="BC972" t="inlineStr">
        <is>
          <t>32285003479937</t>
        </is>
      </c>
      <c r="BD972" t="inlineStr">
        <is>
          <t>893323463</t>
        </is>
      </c>
    </row>
    <row r="973">
      <c r="A973" t="inlineStr">
        <is>
          <t>No</t>
        </is>
      </c>
      <c r="B973" t="inlineStr">
        <is>
          <t>BT708.6 .J67 1997</t>
        </is>
      </c>
      <c r="C973" t="inlineStr">
        <is>
          <t>0                      BT 0708600J  67          1997</t>
        </is>
      </c>
      <c r="D973" t="inlineStr">
        <is>
          <t>The invention of sodomy in Christian theology / Mark D. Jordan.</t>
        </is>
      </c>
      <c r="F973" t="inlineStr">
        <is>
          <t>No</t>
        </is>
      </c>
      <c r="G973" t="inlineStr">
        <is>
          <t>1</t>
        </is>
      </c>
      <c r="H973" t="inlineStr">
        <is>
          <t>No</t>
        </is>
      </c>
      <c r="I973" t="inlineStr">
        <is>
          <t>No</t>
        </is>
      </c>
      <c r="J973" t="inlineStr">
        <is>
          <t>0</t>
        </is>
      </c>
      <c r="K973" t="inlineStr">
        <is>
          <t>Jordan, Mark D.</t>
        </is>
      </c>
      <c r="L973" t="inlineStr">
        <is>
          <t>Chicago : University of Chicago Press, 1997.</t>
        </is>
      </c>
      <c r="M973" t="inlineStr">
        <is>
          <t>1997</t>
        </is>
      </c>
      <c r="O973" t="inlineStr">
        <is>
          <t>eng</t>
        </is>
      </c>
      <c r="P973" t="inlineStr">
        <is>
          <t>ilu</t>
        </is>
      </c>
      <c r="Q973" t="inlineStr">
        <is>
          <t>The Chicago series on sexuality, history, and society</t>
        </is>
      </c>
      <c r="R973" t="inlineStr">
        <is>
          <t xml:space="preserve">BT </t>
        </is>
      </c>
      <c r="S973" t="n">
        <v>4</v>
      </c>
      <c r="T973" t="n">
        <v>4</v>
      </c>
      <c r="U973" t="inlineStr">
        <is>
          <t>2008-04-02</t>
        </is>
      </c>
      <c r="V973" t="inlineStr">
        <is>
          <t>2008-04-02</t>
        </is>
      </c>
      <c r="W973" t="inlineStr">
        <is>
          <t>1998-03-20</t>
        </is>
      </c>
      <c r="X973" t="inlineStr">
        <is>
          <t>1998-03-20</t>
        </is>
      </c>
      <c r="Y973" t="n">
        <v>645</v>
      </c>
      <c r="Z973" t="n">
        <v>516</v>
      </c>
      <c r="AA973" t="n">
        <v>521</v>
      </c>
      <c r="AB973" t="n">
        <v>3</v>
      </c>
      <c r="AC973" t="n">
        <v>3</v>
      </c>
      <c r="AD973" t="n">
        <v>38</v>
      </c>
      <c r="AE973" t="n">
        <v>38</v>
      </c>
      <c r="AF973" t="n">
        <v>18</v>
      </c>
      <c r="AG973" t="n">
        <v>18</v>
      </c>
      <c r="AH973" t="n">
        <v>9</v>
      </c>
      <c r="AI973" t="n">
        <v>9</v>
      </c>
      <c r="AJ973" t="n">
        <v>20</v>
      </c>
      <c r="AK973" t="n">
        <v>20</v>
      </c>
      <c r="AL973" t="n">
        <v>1</v>
      </c>
      <c r="AM973" t="n">
        <v>1</v>
      </c>
      <c r="AN973" t="n">
        <v>1</v>
      </c>
      <c r="AO973" t="n">
        <v>1</v>
      </c>
      <c r="AP973" t="inlineStr">
        <is>
          <t>No</t>
        </is>
      </c>
      <c r="AQ973" t="inlineStr">
        <is>
          <t>No</t>
        </is>
      </c>
      <c r="AS973">
        <f>HYPERLINK("https://creighton-primo.hosted.exlibrisgroup.com/primo-explore/search?tab=default_tab&amp;search_scope=EVERYTHING&amp;vid=01CRU&amp;lang=en_US&amp;offset=0&amp;query=any,contains,991002694519702656","Catalog Record")</f>
        <v/>
      </c>
      <c r="AT973">
        <f>HYPERLINK("http://www.worldcat.org/oclc/35184004","WorldCat Record")</f>
        <v/>
      </c>
      <c r="AU973" t="inlineStr">
        <is>
          <t>40528581:eng</t>
        </is>
      </c>
      <c r="AV973" t="inlineStr">
        <is>
          <t>35184004</t>
        </is>
      </c>
      <c r="AW973" t="inlineStr">
        <is>
          <t>991002694519702656</t>
        </is>
      </c>
      <c r="AX973" t="inlineStr">
        <is>
          <t>991002694519702656</t>
        </is>
      </c>
      <c r="AY973" t="inlineStr">
        <is>
          <t>2268987570002656</t>
        </is>
      </c>
      <c r="AZ973" t="inlineStr">
        <is>
          <t>BOOK</t>
        </is>
      </c>
      <c r="BB973" t="inlineStr">
        <is>
          <t>9780226410395</t>
        </is>
      </c>
      <c r="BC973" t="inlineStr">
        <is>
          <t>32285003359436</t>
        </is>
      </c>
      <c r="BD973" t="inlineStr">
        <is>
          <t>893886591</t>
        </is>
      </c>
    </row>
    <row r="974">
      <c r="A974" t="inlineStr">
        <is>
          <t>No</t>
        </is>
      </c>
      <c r="B974" t="inlineStr">
        <is>
          <t>BT710 .M5 1928a</t>
        </is>
      </c>
      <c r="C974" t="inlineStr">
        <is>
          <t>0                      BT 0710000M  5           1928a</t>
        </is>
      </c>
      <c r="D974" t="inlineStr">
        <is>
          <t>The fall of man and original sin / by the Rev. B. V. Miller ; introduction by George N. Shuster.</t>
        </is>
      </c>
      <c r="F974" t="inlineStr">
        <is>
          <t>No</t>
        </is>
      </c>
      <c r="G974" t="inlineStr">
        <is>
          <t>1</t>
        </is>
      </c>
      <c r="H974" t="inlineStr">
        <is>
          <t>No</t>
        </is>
      </c>
      <c r="I974" t="inlineStr">
        <is>
          <t>No</t>
        </is>
      </c>
      <c r="J974" t="inlineStr">
        <is>
          <t>0</t>
        </is>
      </c>
      <c r="K974" t="inlineStr">
        <is>
          <t>Miller, B. V. (Bernard Vincent), 1873-</t>
        </is>
      </c>
      <c r="L974" t="inlineStr">
        <is>
          <t>New York, The Macmillan company, 1928.</t>
        </is>
      </c>
      <c r="M974" t="inlineStr">
        <is>
          <t>1928</t>
        </is>
      </c>
      <c r="O974" t="inlineStr">
        <is>
          <t>eng</t>
        </is>
      </c>
      <c r="P974" t="inlineStr">
        <is>
          <t xml:space="preserve">xx </t>
        </is>
      </c>
      <c r="Q974" t="inlineStr">
        <is>
          <t>The treasury of the faith series: 10</t>
        </is>
      </c>
      <c r="R974" t="inlineStr">
        <is>
          <t xml:space="preserve">BT </t>
        </is>
      </c>
      <c r="S974" t="n">
        <v>3</v>
      </c>
      <c r="T974" t="n">
        <v>3</v>
      </c>
      <c r="U974" t="inlineStr">
        <is>
          <t>2010-12-02</t>
        </is>
      </c>
      <c r="V974" t="inlineStr">
        <is>
          <t>2010-12-02</t>
        </is>
      </c>
      <c r="W974" t="inlineStr">
        <is>
          <t>1991-09-23</t>
        </is>
      </c>
      <c r="X974" t="inlineStr">
        <is>
          <t>1991-09-23</t>
        </is>
      </c>
      <c r="Y974" t="n">
        <v>64</v>
      </c>
      <c r="Z974" t="n">
        <v>59</v>
      </c>
      <c r="AA974" t="n">
        <v>61</v>
      </c>
      <c r="AB974" t="n">
        <v>1</v>
      </c>
      <c r="AC974" t="n">
        <v>1</v>
      </c>
      <c r="AD974" t="n">
        <v>14</v>
      </c>
      <c r="AE974" t="n">
        <v>14</v>
      </c>
      <c r="AF974" t="n">
        <v>3</v>
      </c>
      <c r="AG974" t="n">
        <v>3</v>
      </c>
      <c r="AH974" t="n">
        <v>6</v>
      </c>
      <c r="AI974" t="n">
        <v>6</v>
      </c>
      <c r="AJ974" t="n">
        <v>10</v>
      </c>
      <c r="AK974" t="n">
        <v>10</v>
      </c>
      <c r="AL974" t="n">
        <v>0</v>
      </c>
      <c r="AM974" t="n">
        <v>0</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HYPERLINK("https://creighton-primo.hosted.exlibrisgroup.com/primo-explore/search?tab=default_tab&amp;search_scope=EVERYTHING&amp;vid=01CRU&amp;lang=en_US&amp;offset=0&amp;query=any,contains,991004238639702656","Catalog Record")</f>
        <v/>
      </c>
      <c r="AT974">
        <f>HYPERLINK("http://www.worldcat.org/oclc/2779175","WorldCat Record")</f>
        <v/>
      </c>
      <c r="AU974" t="inlineStr">
        <is>
          <t>45811146:eng</t>
        </is>
      </c>
      <c r="AV974" t="inlineStr">
        <is>
          <t>2779175</t>
        </is>
      </c>
      <c r="AW974" t="inlineStr">
        <is>
          <t>991004238639702656</t>
        </is>
      </c>
      <c r="AX974" t="inlineStr">
        <is>
          <t>991004238639702656</t>
        </is>
      </c>
      <c r="AY974" t="inlineStr">
        <is>
          <t>2255624960002656</t>
        </is>
      </c>
      <c r="AZ974" t="inlineStr">
        <is>
          <t>BOOK</t>
        </is>
      </c>
      <c r="BC974" t="inlineStr">
        <is>
          <t>32285000748920</t>
        </is>
      </c>
      <c r="BD974" t="inlineStr">
        <is>
          <t>893411274</t>
        </is>
      </c>
    </row>
    <row r="975">
      <c r="A975" t="inlineStr">
        <is>
          <t>No</t>
        </is>
      </c>
      <c r="B975" t="inlineStr">
        <is>
          <t>BT712 .N85 1998</t>
        </is>
      </c>
      <c r="C975" t="inlineStr">
        <is>
          <t>0                      BT 0712000N  85          1998</t>
        </is>
      </c>
      <c r="D975" t="inlineStr">
        <is>
          <t>Darwinism comes to America / Ronald L. Numbers.</t>
        </is>
      </c>
      <c r="F975" t="inlineStr">
        <is>
          <t>No</t>
        </is>
      </c>
      <c r="G975" t="inlineStr">
        <is>
          <t>1</t>
        </is>
      </c>
      <c r="H975" t="inlineStr">
        <is>
          <t>No</t>
        </is>
      </c>
      <c r="I975" t="inlineStr">
        <is>
          <t>No</t>
        </is>
      </c>
      <c r="J975" t="inlineStr">
        <is>
          <t>0</t>
        </is>
      </c>
      <c r="K975" t="inlineStr">
        <is>
          <t>Numbers, Ronald L.</t>
        </is>
      </c>
      <c r="L975" t="inlineStr">
        <is>
          <t>Cambridge, Mass. : Harvard University Press, 1998.</t>
        </is>
      </c>
      <c r="M975" t="inlineStr">
        <is>
          <t>1998</t>
        </is>
      </c>
      <c r="O975" t="inlineStr">
        <is>
          <t>eng</t>
        </is>
      </c>
      <c r="P975" t="inlineStr">
        <is>
          <t>mau</t>
        </is>
      </c>
      <c r="R975" t="inlineStr">
        <is>
          <t xml:space="preserve">BT </t>
        </is>
      </c>
      <c r="S975" t="n">
        <v>7</v>
      </c>
      <c r="T975" t="n">
        <v>7</v>
      </c>
      <c r="U975" t="inlineStr">
        <is>
          <t>2006-12-04</t>
        </is>
      </c>
      <c r="V975" t="inlineStr">
        <is>
          <t>2006-12-04</t>
        </is>
      </c>
      <c r="W975" t="inlineStr">
        <is>
          <t>1999-08-31</t>
        </is>
      </c>
      <c r="X975" t="inlineStr">
        <is>
          <t>1999-08-31</t>
        </is>
      </c>
      <c r="Y975" t="n">
        <v>877</v>
      </c>
      <c r="Z975" t="n">
        <v>762</v>
      </c>
      <c r="AA975" t="n">
        <v>768</v>
      </c>
      <c r="AB975" t="n">
        <v>8</v>
      </c>
      <c r="AC975" t="n">
        <v>8</v>
      </c>
      <c r="AD975" t="n">
        <v>36</v>
      </c>
      <c r="AE975" t="n">
        <v>36</v>
      </c>
      <c r="AF975" t="n">
        <v>14</v>
      </c>
      <c r="AG975" t="n">
        <v>14</v>
      </c>
      <c r="AH975" t="n">
        <v>6</v>
      </c>
      <c r="AI975" t="n">
        <v>6</v>
      </c>
      <c r="AJ975" t="n">
        <v>15</v>
      </c>
      <c r="AK975" t="n">
        <v>15</v>
      </c>
      <c r="AL975" t="n">
        <v>6</v>
      </c>
      <c r="AM975" t="n">
        <v>6</v>
      </c>
      <c r="AN975" t="n">
        <v>2</v>
      </c>
      <c r="AO975" t="n">
        <v>2</v>
      </c>
      <c r="AP975" t="inlineStr">
        <is>
          <t>No</t>
        </is>
      </c>
      <c r="AQ975" t="inlineStr">
        <is>
          <t>Yes</t>
        </is>
      </c>
      <c r="AR975">
        <f>HYPERLINK("http://catalog.hathitrust.org/Record/003999211","HathiTrust Record")</f>
        <v/>
      </c>
      <c r="AS975">
        <f>HYPERLINK("https://creighton-primo.hosted.exlibrisgroup.com/primo-explore/search?tab=default_tab&amp;search_scope=EVERYTHING&amp;vid=01CRU&amp;lang=en_US&amp;offset=0&amp;query=any,contains,991002920519702656","Catalog Record")</f>
        <v/>
      </c>
      <c r="AT975">
        <f>HYPERLINK("http://www.worldcat.org/oclc/38747194","WorldCat Record")</f>
        <v/>
      </c>
      <c r="AU975" t="inlineStr">
        <is>
          <t>2679217:eng</t>
        </is>
      </c>
      <c r="AV975" t="inlineStr">
        <is>
          <t>38747194</t>
        </is>
      </c>
      <c r="AW975" t="inlineStr">
        <is>
          <t>991002920519702656</t>
        </is>
      </c>
      <c r="AX975" t="inlineStr">
        <is>
          <t>991002920519702656</t>
        </is>
      </c>
      <c r="AY975" t="inlineStr">
        <is>
          <t>2269695010002656</t>
        </is>
      </c>
      <c r="AZ975" t="inlineStr">
        <is>
          <t>BOOK</t>
        </is>
      </c>
      <c r="BB975" t="inlineStr">
        <is>
          <t>9780674193116</t>
        </is>
      </c>
      <c r="BC975" t="inlineStr">
        <is>
          <t>32285003585410</t>
        </is>
      </c>
      <c r="BD975" t="inlineStr">
        <is>
          <t>893329716</t>
        </is>
      </c>
    </row>
    <row r="976">
      <c r="A976" t="inlineStr">
        <is>
          <t>No</t>
        </is>
      </c>
      <c r="B976" t="inlineStr">
        <is>
          <t>BT712 .R37 1996</t>
        </is>
      </c>
      <c r="C976" t="inlineStr">
        <is>
          <t>0                      BT 0712000R  37          1996</t>
        </is>
      </c>
      <c r="D976" t="inlineStr">
        <is>
          <t>The battle of beginnings : why neither side is winning the creation-evolution debate / Del Ratzsch.</t>
        </is>
      </c>
      <c r="F976" t="inlineStr">
        <is>
          <t>No</t>
        </is>
      </c>
      <c r="G976" t="inlineStr">
        <is>
          <t>1</t>
        </is>
      </c>
      <c r="H976" t="inlineStr">
        <is>
          <t>No</t>
        </is>
      </c>
      <c r="I976" t="inlineStr">
        <is>
          <t>No</t>
        </is>
      </c>
      <c r="J976" t="inlineStr">
        <is>
          <t>0</t>
        </is>
      </c>
      <c r="K976" t="inlineStr">
        <is>
          <t>Ratzsch, Delvin Lee, 1945-</t>
        </is>
      </c>
      <c r="L976" t="inlineStr">
        <is>
          <t>Downers Grove, Ill. : InterVarsity Press, c1996.</t>
        </is>
      </c>
      <c r="M976" t="inlineStr">
        <is>
          <t>1996</t>
        </is>
      </c>
      <c r="O976" t="inlineStr">
        <is>
          <t>eng</t>
        </is>
      </c>
      <c r="P976" t="inlineStr">
        <is>
          <t>ilu</t>
        </is>
      </c>
      <c r="R976" t="inlineStr">
        <is>
          <t xml:space="preserve">BT </t>
        </is>
      </c>
      <c r="S976" t="n">
        <v>4</v>
      </c>
      <c r="T976" t="n">
        <v>4</v>
      </c>
      <c r="U976" t="inlineStr">
        <is>
          <t>2010-11-13</t>
        </is>
      </c>
      <c r="V976" t="inlineStr">
        <is>
          <t>2010-11-13</t>
        </is>
      </c>
      <c r="W976" t="inlineStr">
        <is>
          <t>2009-01-09</t>
        </is>
      </c>
      <c r="X976" t="inlineStr">
        <is>
          <t>2009-01-09</t>
        </is>
      </c>
      <c r="Y976" t="n">
        <v>377</v>
      </c>
      <c r="Z976" t="n">
        <v>336</v>
      </c>
      <c r="AA976" t="n">
        <v>336</v>
      </c>
      <c r="AB976" t="n">
        <v>6</v>
      </c>
      <c r="AC976" t="n">
        <v>6</v>
      </c>
      <c r="AD976" t="n">
        <v>15</v>
      </c>
      <c r="AE976" t="n">
        <v>15</v>
      </c>
      <c r="AF976" t="n">
        <v>4</v>
      </c>
      <c r="AG976" t="n">
        <v>4</v>
      </c>
      <c r="AH976" t="n">
        <v>3</v>
      </c>
      <c r="AI976" t="n">
        <v>3</v>
      </c>
      <c r="AJ976" t="n">
        <v>6</v>
      </c>
      <c r="AK976" t="n">
        <v>6</v>
      </c>
      <c r="AL976" t="n">
        <v>4</v>
      </c>
      <c r="AM976" t="n">
        <v>4</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HYPERLINK("https://creighton-primo.hosted.exlibrisgroup.com/primo-explore/search?tab=default_tab&amp;search_scope=EVERYTHING&amp;vid=01CRU&amp;lang=en_US&amp;offset=0&amp;query=any,contains,991005288259702656","Catalog Record")</f>
        <v/>
      </c>
      <c r="AT976">
        <f>HYPERLINK("http://www.worldcat.org/oclc/33818753","WorldCat Record")</f>
        <v/>
      </c>
      <c r="AU976" t="inlineStr">
        <is>
          <t>24759024:eng</t>
        </is>
      </c>
      <c r="AV976" t="inlineStr">
        <is>
          <t>33818753</t>
        </is>
      </c>
      <c r="AW976" t="inlineStr">
        <is>
          <t>991005288259702656</t>
        </is>
      </c>
      <c r="AX976" t="inlineStr">
        <is>
          <t>991005288259702656</t>
        </is>
      </c>
      <c r="AY976" t="inlineStr">
        <is>
          <t>2272514540002656</t>
        </is>
      </c>
      <c r="AZ976" t="inlineStr">
        <is>
          <t>BOOK</t>
        </is>
      </c>
      <c r="BB976" t="inlineStr">
        <is>
          <t>9780830815296</t>
        </is>
      </c>
      <c r="BC976" t="inlineStr">
        <is>
          <t>32285005476733</t>
        </is>
      </c>
      <c r="BD976" t="inlineStr">
        <is>
          <t>893260867</t>
        </is>
      </c>
    </row>
    <row r="977">
      <c r="A977" t="inlineStr">
        <is>
          <t>No</t>
        </is>
      </c>
      <c r="B977" t="inlineStr">
        <is>
          <t>BT715 .H25 1974</t>
        </is>
      </c>
      <c r="C977" t="inlineStr">
        <is>
          <t>0                      BT 0715000H  25          1974</t>
        </is>
      </c>
      <c r="D977" t="inlineStr">
        <is>
          <t>Sin in the secular age / [by] Bernard Häring.</t>
        </is>
      </c>
      <c r="F977" t="inlineStr">
        <is>
          <t>No</t>
        </is>
      </c>
      <c r="G977" t="inlineStr">
        <is>
          <t>1</t>
        </is>
      </c>
      <c r="H977" t="inlineStr">
        <is>
          <t>No</t>
        </is>
      </c>
      <c r="I977" t="inlineStr">
        <is>
          <t>No</t>
        </is>
      </c>
      <c r="J977" t="inlineStr">
        <is>
          <t>0</t>
        </is>
      </c>
      <c r="K977" t="inlineStr">
        <is>
          <t>Häring, Bernhard, 1912-1998.</t>
        </is>
      </c>
      <c r="L977" t="inlineStr">
        <is>
          <t>Garden City, N.Y. : Doubleday, 1974.</t>
        </is>
      </c>
      <c r="M977" t="inlineStr">
        <is>
          <t>1974</t>
        </is>
      </c>
      <c r="N977" t="inlineStr">
        <is>
          <t>[1st ed.]</t>
        </is>
      </c>
      <c r="O977" t="inlineStr">
        <is>
          <t>eng</t>
        </is>
      </c>
      <c r="P977" t="inlineStr">
        <is>
          <t>nyu</t>
        </is>
      </c>
      <c r="R977" t="inlineStr">
        <is>
          <t xml:space="preserve">BT </t>
        </is>
      </c>
      <c r="S977" t="n">
        <v>4</v>
      </c>
      <c r="T977" t="n">
        <v>4</v>
      </c>
      <c r="U977" t="inlineStr">
        <is>
          <t>1999-07-11</t>
        </is>
      </c>
      <c r="V977" t="inlineStr">
        <is>
          <t>1999-07-11</t>
        </is>
      </c>
      <c r="W977" t="inlineStr">
        <is>
          <t>1990-08-02</t>
        </is>
      </c>
      <c r="X977" t="inlineStr">
        <is>
          <t>1990-08-02</t>
        </is>
      </c>
      <c r="Y977" t="n">
        <v>358</v>
      </c>
      <c r="Z977" t="n">
        <v>317</v>
      </c>
      <c r="AA977" t="n">
        <v>334</v>
      </c>
      <c r="AB977" t="n">
        <v>4</v>
      </c>
      <c r="AC977" t="n">
        <v>4</v>
      </c>
      <c r="AD977" t="n">
        <v>30</v>
      </c>
      <c r="AE977" t="n">
        <v>30</v>
      </c>
      <c r="AF977" t="n">
        <v>9</v>
      </c>
      <c r="AG977" t="n">
        <v>9</v>
      </c>
      <c r="AH977" t="n">
        <v>9</v>
      </c>
      <c r="AI977" t="n">
        <v>9</v>
      </c>
      <c r="AJ977" t="n">
        <v>20</v>
      </c>
      <c r="AK977" t="n">
        <v>20</v>
      </c>
      <c r="AL977" t="n">
        <v>2</v>
      </c>
      <c r="AM977" t="n">
        <v>2</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HYPERLINK("https://creighton-primo.hosted.exlibrisgroup.com/primo-explore/search?tab=default_tab&amp;search_scope=EVERYTHING&amp;vid=01CRU&amp;lang=en_US&amp;offset=0&amp;query=any,contains,991003361119702656","Catalog Record")</f>
        <v/>
      </c>
      <c r="AT977">
        <f>HYPERLINK("http://www.worldcat.org/oclc/897520","WorldCat Record")</f>
        <v/>
      </c>
      <c r="AU977" t="inlineStr">
        <is>
          <t>913190:eng</t>
        </is>
      </c>
      <c r="AV977" t="inlineStr">
        <is>
          <t>897520</t>
        </is>
      </c>
      <c r="AW977" t="inlineStr">
        <is>
          <t>991003361119702656</t>
        </is>
      </c>
      <c r="AX977" t="inlineStr">
        <is>
          <t>991003361119702656</t>
        </is>
      </c>
      <c r="AY977" t="inlineStr">
        <is>
          <t>2257525540002656</t>
        </is>
      </c>
      <c r="AZ977" t="inlineStr">
        <is>
          <t>BOOK</t>
        </is>
      </c>
      <c r="BB977" t="inlineStr">
        <is>
          <t>9780385090179</t>
        </is>
      </c>
      <c r="BC977" t="inlineStr">
        <is>
          <t>32285000263441</t>
        </is>
      </c>
      <c r="BD977" t="inlineStr">
        <is>
          <t>893799648</t>
        </is>
      </c>
    </row>
    <row r="978">
      <c r="A978" t="inlineStr">
        <is>
          <t>No</t>
        </is>
      </c>
      <c r="B978" t="inlineStr">
        <is>
          <t>BT715 .H54 1989</t>
        </is>
      </c>
      <c r="C978" t="inlineStr">
        <is>
          <t>0                      BT 0715000H  54          1989</t>
        </is>
      </c>
      <c r="D978" t="inlineStr">
        <is>
          <t>Barth and Rahner in dialogue : toward an ecumenical understanding of sin and evil / Ron Highfield.</t>
        </is>
      </c>
      <c r="F978" t="inlineStr">
        <is>
          <t>No</t>
        </is>
      </c>
      <c r="G978" t="inlineStr">
        <is>
          <t>1</t>
        </is>
      </c>
      <c r="H978" t="inlineStr">
        <is>
          <t>No</t>
        </is>
      </c>
      <c r="I978" t="inlineStr">
        <is>
          <t>No</t>
        </is>
      </c>
      <c r="J978" t="inlineStr">
        <is>
          <t>0</t>
        </is>
      </c>
      <c r="K978" t="inlineStr">
        <is>
          <t>Highfield, Ron, 1951-</t>
        </is>
      </c>
      <c r="L978" t="inlineStr">
        <is>
          <t>New York : P. Lang, c1989.</t>
        </is>
      </c>
      <c r="M978" t="inlineStr">
        <is>
          <t>1989</t>
        </is>
      </c>
      <c r="O978" t="inlineStr">
        <is>
          <t>eng</t>
        </is>
      </c>
      <c r="P978" t="inlineStr">
        <is>
          <t>nyu</t>
        </is>
      </c>
      <c r="Q978" t="inlineStr">
        <is>
          <t>American university studies. Series VII, Theology and religion, 0740-0446 ; vol. 62</t>
        </is>
      </c>
      <c r="R978" t="inlineStr">
        <is>
          <t xml:space="preserve">BT </t>
        </is>
      </c>
      <c r="S978" t="n">
        <v>3</v>
      </c>
      <c r="T978" t="n">
        <v>3</v>
      </c>
      <c r="U978" t="inlineStr">
        <is>
          <t>2007-03-26</t>
        </is>
      </c>
      <c r="V978" t="inlineStr">
        <is>
          <t>2007-03-26</t>
        </is>
      </c>
      <c r="W978" t="inlineStr">
        <is>
          <t>1993-03-16</t>
        </is>
      </c>
      <c r="X978" t="inlineStr">
        <is>
          <t>1993-03-16</t>
        </is>
      </c>
      <c r="Y978" t="n">
        <v>175</v>
      </c>
      <c r="Z978" t="n">
        <v>123</v>
      </c>
      <c r="AA978" t="n">
        <v>124</v>
      </c>
      <c r="AB978" t="n">
        <v>1</v>
      </c>
      <c r="AC978" t="n">
        <v>1</v>
      </c>
      <c r="AD978" t="n">
        <v>11</v>
      </c>
      <c r="AE978" t="n">
        <v>11</v>
      </c>
      <c r="AF978" t="n">
        <v>5</v>
      </c>
      <c r="AG978" t="n">
        <v>5</v>
      </c>
      <c r="AH978" t="n">
        <v>3</v>
      </c>
      <c r="AI978" t="n">
        <v>3</v>
      </c>
      <c r="AJ978" t="n">
        <v>8</v>
      </c>
      <c r="AK978" t="n">
        <v>8</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HYPERLINK("https://creighton-primo.hosted.exlibrisgroup.com/primo-explore/search?tab=default_tab&amp;search_scope=EVERYTHING&amp;vid=01CRU&amp;lang=en_US&amp;offset=0&amp;query=any,contains,991001450789702656","Catalog Record")</f>
        <v/>
      </c>
      <c r="AT978">
        <f>HYPERLINK("http://www.worldcat.org/oclc/19324681","WorldCat Record")</f>
        <v/>
      </c>
      <c r="AU978" t="inlineStr">
        <is>
          <t>808710290:eng</t>
        </is>
      </c>
      <c r="AV978" t="inlineStr">
        <is>
          <t>19324681</t>
        </is>
      </c>
      <c r="AW978" t="inlineStr">
        <is>
          <t>991001450789702656</t>
        </is>
      </c>
      <c r="AX978" t="inlineStr">
        <is>
          <t>991001450789702656</t>
        </is>
      </c>
      <c r="AY978" t="inlineStr">
        <is>
          <t>2268118930002656</t>
        </is>
      </c>
      <c r="AZ978" t="inlineStr">
        <is>
          <t>BOOK</t>
        </is>
      </c>
      <c r="BB978" t="inlineStr">
        <is>
          <t>9780820409412</t>
        </is>
      </c>
      <c r="BC978" t="inlineStr">
        <is>
          <t>32285001497915</t>
        </is>
      </c>
      <c r="BD978" t="inlineStr">
        <is>
          <t>893872539</t>
        </is>
      </c>
    </row>
    <row r="979">
      <c r="A979" t="inlineStr">
        <is>
          <t>No</t>
        </is>
      </c>
      <c r="B979" t="inlineStr">
        <is>
          <t>BT715 .P383</t>
        </is>
      </c>
      <c r="C979" t="inlineStr">
        <is>
          <t>0                      BT 0715000P  383</t>
        </is>
      </c>
      <c r="D979" t="inlineStr">
        <is>
          <t>Sin / [by] Marc Oraison [and others] Translated by Bernard Murchland and Raymond Meyerpeter. With an introduction by Bernard Murchland.</t>
        </is>
      </c>
      <c r="F979" t="inlineStr">
        <is>
          <t>No</t>
        </is>
      </c>
      <c r="G979" t="inlineStr">
        <is>
          <t>1</t>
        </is>
      </c>
      <c r="H979" t="inlineStr">
        <is>
          <t>No</t>
        </is>
      </c>
      <c r="I979" t="inlineStr">
        <is>
          <t>No</t>
        </is>
      </c>
      <c r="J979" t="inlineStr">
        <is>
          <t>0</t>
        </is>
      </c>
      <c r="L979" t="inlineStr">
        <is>
          <t>New York, Macmillan, 1962.</t>
        </is>
      </c>
      <c r="M979" t="inlineStr">
        <is>
          <t>1962</t>
        </is>
      </c>
      <c r="O979" t="inlineStr">
        <is>
          <t>eng</t>
        </is>
      </c>
      <c r="P979" t="inlineStr">
        <is>
          <t>___</t>
        </is>
      </c>
      <c r="R979" t="inlineStr">
        <is>
          <t xml:space="preserve">BT </t>
        </is>
      </c>
      <c r="S979" t="n">
        <v>6</v>
      </c>
      <c r="T979" t="n">
        <v>6</v>
      </c>
      <c r="U979" t="inlineStr">
        <is>
          <t>1998-03-24</t>
        </is>
      </c>
      <c r="V979" t="inlineStr">
        <is>
          <t>1998-03-24</t>
        </is>
      </c>
      <c r="W979" t="inlineStr">
        <is>
          <t>1991-09-26</t>
        </is>
      </c>
      <c r="X979" t="inlineStr">
        <is>
          <t>1991-09-26</t>
        </is>
      </c>
      <c r="Y979" t="n">
        <v>278</v>
      </c>
      <c r="Z979" t="n">
        <v>248</v>
      </c>
      <c r="AA979" t="n">
        <v>253</v>
      </c>
      <c r="AB979" t="n">
        <v>3</v>
      </c>
      <c r="AC979" t="n">
        <v>3</v>
      </c>
      <c r="AD979" t="n">
        <v>32</v>
      </c>
      <c r="AE979" t="n">
        <v>32</v>
      </c>
      <c r="AF979" t="n">
        <v>10</v>
      </c>
      <c r="AG979" t="n">
        <v>10</v>
      </c>
      <c r="AH979" t="n">
        <v>9</v>
      </c>
      <c r="AI979" t="n">
        <v>9</v>
      </c>
      <c r="AJ979" t="n">
        <v>25</v>
      </c>
      <c r="AK979" t="n">
        <v>25</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HYPERLINK("https://creighton-primo.hosted.exlibrisgroup.com/primo-explore/search?tab=default_tab&amp;search_scope=EVERYTHING&amp;vid=01CRU&amp;lang=en_US&amp;offset=0&amp;query=any,contains,991003826509702656","Catalog Record")</f>
        <v/>
      </c>
      <c r="AT979">
        <f>HYPERLINK("http://www.worldcat.org/oclc/1578039","WorldCat Record")</f>
        <v/>
      </c>
      <c r="AU979" t="inlineStr">
        <is>
          <t>54059697:eng</t>
        </is>
      </c>
      <c r="AV979" t="inlineStr">
        <is>
          <t>1578039</t>
        </is>
      </c>
      <c r="AW979" t="inlineStr">
        <is>
          <t>991003826509702656</t>
        </is>
      </c>
      <c r="AX979" t="inlineStr">
        <is>
          <t>991003826509702656</t>
        </is>
      </c>
      <c r="AY979" t="inlineStr">
        <is>
          <t>2265938560002656</t>
        </is>
      </c>
      <c r="AZ979" t="inlineStr">
        <is>
          <t>BOOK</t>
        </is>
      </c>
      <c r="BC979" t="inlineStr">
        <is>
          <t>32285000749035</t>
        </is>
      </c>
      <c r="BD979" t="inlineStr">
        <is>
          <t>893337004</t>
        </is>
      </c>
    </row>
    <row r="980">
      <c r="A980" t="inlineStr">
        <is>
          <t>No</t>
        </is>
      </c>
      <c r="B980" t="inlineStr">
        <is>
          <t>BT715 .P57</t>
        </is>
      </c>
      <c r="C980" t="inlineStr">
        <is>
          <t>0                      BT 0715000P  57</t>
        </is>
      </c>
      <c r="D980" t="inlineStr">
        <is>
          <t>Cosmic love and human wrong : the reconception of the meaning of sin, in the light of process thinking / by Norman Pittenger.</t>
        </is>
      </c>
      <c r="F980" t="inlineStr">
        <is>
          <t>No</t>
        </is>
      </c>
      <c r="G980" t="inlineStr">
        <is>
          <t>1</t>
        </is>
      </c>
      <c r="H980" t="inlineStr">
        <is>
          <t>No</t>
        </is>
      </c>
      <c r="I980" t="inlineStr">
        <is>
          <t>No</t>
        </is>
      </c>
      <c r="J980" t="inlineStr">
        <is>
          <t>0</t>
        </is>
      </c>
      <c r="K980" t="inlineStr">
        <is>
          <t>Pittenger, W. Norman (William Norman), 1905-1997.</t>
        </is>
      </c>
      <c r="L980" t="inlineStr">
        <is>
          <t>New York : Paulist Press, c1978.</t>
        </is>
      </c>
      <c r="M980" t="inlineStr">
        <is>
          <t>1978</t>
        </is>
      </c>
      <c r="O980" t="inlineStr">
        <is>
          <t>eng</t>
        </is>
      </c>
      <c r="P980" t="inlineStr">
        <is>
          <t>nyu</t>
        </is>
      </c>
      <c r="R980" t="inlineStr">
        <is>
          <t xml:space="preserve">BT </t>
        </is>
      </c>
      <c r="S980" t="n">
        <v>3</v>
      </c>
      <c r="T980" t="n">
        <v>3</v>
      </c>
      <c r="U980" t="inlineStr">
        <is>
          <t>1999-07-11</t>
        </is>
      </c>
      <c r="V980" t="inlineStr">
        <is>
          <t>1999-07-11</t>
        </is>
      </c>
      <c r="W980" t="inlineStr">
        <is>
          <t>1990-07-31</t>
        </is>
      </c>
      <c r="X980" t="inlineStr">
        <is>
          <t>1990-07-31</t>
        </is>
      </c>
      <c r="Y980" t="n">
        <v>273</v>
      </c>
      <c r="Z980" t="n">
        <v>246</v>
      </c>
      <c r="AA980" t="n">
        <v>251</v>
      </c>
      <c r="AB980" t="n">
        <v>3</v>
      </c>
      <c r="AC980" t="n">
        <v>3</v>
      </c>
      <c r="AD980" t="n">
        <v>21</v>
      </c>
      <c r="AE980" t="n">
        <v>21</v>
      </c>
      <c r="AF980" t="n">
        <v>7</v>
      </c>
      <c r="AG980" t="n">
        <v>7</v>
      </c>
      <c r="AH980" t="n">
        <v>7</v>
      </c>
      <c r="AI980" t="n">
        <v>7</v>
      </c>
      <c r="AJ980" t="n">
        <v>12</v>
      </c>
      <c r="AK980" t="n">
        <v>12</v>
      </c>
      <c r="AL980" t="n">
        <v>1</v>
      </c>
      <c r="AM980" t="n">
        <v>1</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HYPERLINK("https://creighton-primo.hosted.exlibrisgroup.com/primo-explore/search?tab=default_tab&amp;search_scope=EVERYTHING&amp;vid=01CRU&amp;lang=en_US&amp;offset=0&amp;query=any,contains,991004577049702656","Catalog Record")</f>
        <v/>
      </c>
      <c r="AT980">
        <f>HYPERLINK("http://www.worldcat.org/oclc/4045152","WorldCat Record")</f>
        <v/>
      </c>
      <c r="AU980" t="inlineStr">
        <is>
          <t>183888:eng</t>
        </is>
      </c>
      <c r="AV980" t="inlineStr">
        <is>
          <t>4045152</t>
        </is>
      </c>
      <c r="AW980" t="inlineStr">
        <is>
          <t>991004577049702656</t>
        </is>
      </c>
      <c r="AX980" t="inlineStr">
        <is>
          <t>991004577049702656</t>
        </is>
      </c>
      <c r="AY980" t="inlineStr">
        <is>
          <t>2267098540002656</t>
        </is>
      </c>
      <c r="AZ980" t="inlineStr">
        <is>
          <t>BOOK</t>
        </is>
      </c>
      <c r="BB980" t="inlineStr">
        <is>
          <t>9780809120932</t>
        </is>
      </c>
      <c r="BC980" t="inlineStr">
        <is>
          <t>32285000260132</t>
        </is>
      </c>
      <c r="BD980" t="inlineStr">
        <is>
          <t>893719100</t>
        </is>
      </c>
    </row>
    <row r="981">
      <c r="A981" t="inlineStr">
        <is>
          <t>No</t>
        </is>
      </c>
      <c r="B981" t="inlineStr">
        <is>
          <t>BT715 .R36 1985</t>
        </is>
      </c>
      <c r="C981" t="inlineStr">
        <is>
          <t>0                      BT 0715000R  36          1985</t>
        </is>
      </c>
      <c r="D981" t="inlineStr">
        <is>
          <t>Offense to reason : a theology of sin / Bernard Ramm.</t>
        </is>
      </c>
      <c r="F981" t="inlineStr">
        <is>
          <t>No</t>
        </is>
      </c>
      <c r="G981" t="inlineStr">
        <is>
          <t>1</t>
        </is>
      </c>
      <c r="H981" t="inlineStr">
        <is>
          <t>No</t>
        </is>
      </c>
      <c r="I981" t="inlineStr">
        <is>
          <t>No</t>
        </is>
      </c>
      <c r="J981" t="inlineStr">
        <is>
          <t>0</t>
        </is>
      </c>
      <c r="K981" t="inlineStr">
        <is>
          <t>Ramm, Bernard L. (Bernard Lawrence), 1916-1992.</t>
        </is>
      </c>
      <c r="L981" t="inlineStr">
        <is>
          <t>San Francisco : Harper &amp; Row, c1985.</t>
        </is>
      </c>
      <c r="M981" t="inlineStr">
        <is>
          <t>1985</t>
        </is>
      </c>
      <c r="N981" t="inlineStr">
        <is>
          <t>1st ed.</t>
        </is>
      </c>
      <c r="O981" t="inlineStr">
        <is>
          <t>eng</t>
        </is>
      </c>
      <c r="P981" t="inlineStr">
        <is>
          <t>cau</t>
        </is>
      </c>
      <c r="R981" t="inlineStr">
        <is>
          <t xml:space="preserve">BT </t>
        </is>
      </c>
      <c r="S981" t="n">
        <v>8</v>
      </c>
      <c r="T981" t="n">
        <v>8</v>
      </c>
      <c r="U981" t="inlineStr">
        <is>
          <t>1999-12-09</t>
        </is>
      </c>
      <c r="V981" t="inlineStr">
        <is>
          <t>1999-12-09</t>
        </is>
      </c>
      <c r="W981" t="inlineStr">
        <is>
          <t>1990-08-02</t>
        </is>
      </c>
      <c r="X981" t="inlineStr">
        <is>
          <t>1990-08-02</t>
        </is>
      </c>
      <c r="Y981" t="n">
        <v>467</v>
      </c>
      <c r="Z981" t="n">
        <v>411</v>
      </c>
      <c r="AA981" t="n">
        <v>420</v>
      </c>
      <c r="AB981" t="n">
        <v>3</v>
      </c>
      <c r="AC981" t="n">
        <v>3</v>
      </c>
      <c r="AD981" t="n">
        <v>18</v>
      </c>
      <c r="AE981" t="n">
        <v>19</v>
      </c>
      <c r="AF981" t="n">
        <v>6</v>
      </c>
      <c r="AG981" t="n">
        <v>6</v>
      </c>
      <c r="AH981" t="n">
        <v>6</v>
      </c>
      <c r="AI981" t="n">
        <v>7</v>
      </c>
      <c r="AJ981" t="n">
        <v>9</v>
      </c>
      <c r="AK981" t="n">
        <v>9</v>
      </c>
      <c r="AL981" t="n">
        <v>2</v>
      </c>
      <c r="AM981" t="n">
        <v>2</v>
      </c>
      <c r="AN981" t="n">
        <v>0</v>
      </c>
      <c r="AO981" t="n">
        <v>0</v>
      </c>
      <c r="AP981" t="inlineStr">
        <is>
          <t>No</t>
        </is>
      </c>
      <c r="AQ981" t="inlineStr">
        <is>
          <t>Yes</t>
        </is>
      </c>
      <c r="AR981">
        <f>HYPERLINK("http://catalog.hathitrust.org/Record/000351290","HathiTrust Record")</f>
        <v/>
      </c>
      <c r="AS981">
        <f>HYPERLINK("https://creighton-primo.hosted.exlibrisgroup.com/primo-explore/search?tab=default_tab&amp;search_scope=EVERYTHING&amp;vid=01CRU&amp;lang=en_US&amp;offset=0&amp;query=any,contains,991000667539702656","Catalog Record")</f>
        <v/>
      </c>
      <c r="AT981">
        <f>HYPERLINK("http://www.worldcat.org/oclc/12286705","WorldCat Record")</f>
        <v/>
      </c>
      <c r="AU981" t="inlineStr">
        <is>
          <t>865011769:eng</t>
        </is>
      </c>
      <c r="AV981" t="inlineStr">
        <is>
          <t>12286705</t>
        </is>
      </c>
      <c r="AW981" t="inlineStr">
        <is>
          <t>991000667539702656</t>
        </is>
      </c>
      <c r="AX981" t="inlineStr">
        <is>
          <t>991000667539702656</t>
        </is>
      </c>
      <c r="AY981" t="inlineStr">
        <is>
          <t>2259210110002656</t>
        </is>
      </c>
      <c r="AZ981" t="inlineStr">
        <is>
          <t>BOOK</t>
        </is>
      </c>
      <c r="BB981" t="inlineStr">
        <is>
          <t>9780060667924</t>
        </is>
      </c>
      <c r="BC981" t="inlineStr">
        <is>
          <t>32285000263458</t>
        </is>
      </c>
      <c r="BD981" t="inlineStr">
        <is>
          <t>893790745</t>
        </is>
      </c>
    </row>
    <row r="982">
      <c r="A982" t="inlineStr">
        <is>
          <t>No</t>
        </is>
      </c>
      <c r="B982" t="inlineStr">
        <is>
          <t>BT715 .S542 1971</t>
        </is>
      </c>
      <c r="C982" t="inlineStr">
        <is>
          <t>0                      BT 0715000S  542         1971</t>
        </is>
      </c>
      <c r="D982" t="inlineStr">
        <is>
          <t>What a modern Catholic believes about sin / by John Shea.</t>
        </is>
      </c>
      <c r="F982" t="inlineStr">
        <is>
          <t>No</t>
        </is>
      </c>
      <c r="G982" t="inlineStr">
        <is>
          <t>1</t>
        </is>
      </c>
      <c r="H982" t="inlineStr">
        <is>
          <t>No</t>
        </is>
      </c>
      <c r="I982" t="inlineStr">
        <is>
          <t>No</t>
        </is>
      </c>
      <c r="J982" t="inlineStr">
        <is>
          <t>0</t>
        </is>
      </c>
      <c r="K982" t="inlineStr">
        <is>
          <t>Shea, John, 1941-</t>
        </is>
      </c>
      <c r="L982" t="inlineStr">
        <is>
          <t>Chicago : Thomas More, [c1971]</t>
        </is>
      </c>
      <c r="M982" t="inlineStr">
        <is>
          <t>1971</t>
        </is>
      </c>
      <c r="O982" t="inlineStr">
        <is>
          <t>eng</t>
        </is>
      </c>
      <c r="P982" t="inlineStr">
        <is>
          <t>ilu</t>
        </is>
      </c>
      <c r="R982" t="inlineStr">
        <is>
          <t xml:space="preserve">BT </t>
        </is>
      </c>
      <c r="S982" t="n">
        <v>5</v>
      </c>
      <c r="T982" t="n">
        <v>5</v>
      </c>
      <c r="U982" t="inlineStr">
        <is>
          <t>2001-10-23</t>
        </is>
      </c>
      <c r="V982" t="inlineStr">
        <is>
          <t>2001-10-23</t>
        </is>
      </c>
      <c r="W982" t="inlineStr">
        <is>
          <t>1991-09-26</t>
        </is>
      </c>
      <c r="X982" t="inlineStr">
        <is>
          <t>1991-09-26</t>
        </is>
      </c>
      <c r="Y982" t="n">
        <v>143</v>
      </c>
      <c r="Z982" t="n">
        <v>127</v>
      </c>
      <c r="AA982" t="n">
        <v>127</v>
      </c>
      <c r="AB982" t="n">
        <v>2</v>
      </c>
      <c r="AC982" t="n">
        <v>2</v>
      </c>
      <c r="AD982" t="n">
        <v>19</v>
      </c>
      <c r="AE982" t="n">
        <v>19</v>
      </c>
      <c r="AF982" t="n">
        <v>3</v>
      </c>
      <c r="AG982" t="n">
        <v>3</v>
      </c>
      <c r="AH982" t="n">
        <v>3</v>
      </c>
      <c r="AI982" t="n">
        <v>3</v>
      </c>
      <c r="AJ982" t="n">
        <v>15</v>
      </c>
      <c r="AK982" t="n">
        <v>15</v>
      </c>
      <c r="AL982" t="n">
        <v>1</v>
      </c>
      <c r="AM982" t="n">
        <v>1</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HYPERLINK("https://creighton-primo.hosted.exlibrisgroup.com/primo-explore/search?tab=default_tab&amp;search_scope=EVERYTHING&amp;vid=01CRU&amp;lang=en_US&amp;offset=0&amp;query=any,contains,991002834889702656","Catalog Record")</f>
        <v/>
      </c>
      <c r="AT982">
        <f>HYPERLINK("http://www.worldcat.org/oclc/479599","WorldCat Record")</f>
        <v/>
      </c>
      <c r="AU982" t="inlineStr">
        <is>
          <t>9848558774:eng</t>
        </is>
      </c>
      <c r="AV982" t="inlineStr">
        <is>
          <t>479599</t>
        </is>
      </c>
      <c r="AW982" t="inlineStr">
        <is>
          <t>991002834889702656</t>
        </is>
      </c>
      <c r="AX982" t="inlineStr">
        <is>
          <t>991002834889702656</t>
        </is>
      </c>
      <c r="AY982" t="inlineStr">
        <is>
          <t>2263630390002656</t>
        </is>
      </c>
      <c r="AZ982" t="inlineStr">
        <is>
          <t>BOOK</t>
        </is>
      </c>
      <c r="BC982" t="inlineStr">
        <is>
          <t>32285000749092</t>
        </is>
      </c>
      <c r="BD982" t="inlineStr">
        <is>
          <t>893445397</t>
        </is>
      </c>
    </row>
    <row r="983">
      <c r="A983" t="inlineStr">
        <is>
          <t>No</t>
        </is>
      </c>
      <c r="B983" t="inlineStr">
        <is>
          <t>BT715 .T45 1985</t>
        </is>
      </c>
      <c r="C983" t="inlineStr">
        <is>
          <t>0                      BT 0715000T  45          1985</t>
        </is>
      </c>
      <c r="D983" t="inlineStr">
        <is>
          <t>Community and disunity : symbols of grace and sin / by Jerome P. Theisen ; preface by Piet Schoonenberg.</t>
        </is>
      </c>
      <c r="F983" t="inlineStr">
        <is>
          <t>No</t>
        </is>
      </c>
      <c r="G983" t="inlineStr">
        <is>
          <t>1</t>
        </is>
      </c>
      <c r="H983" t="inlineStr">
        <is>
          <t>No</t>
        </is>
      </c>
      <c r="I983" t="inlineStr">
        <is>
          <t>No</t>
        </is>
      </c>
      <c r="J983" t="inlineStr">
        <is>
          <t>0</t>
        </is>
      </c>
      <c r="K983" t="inlineStr">
        <is>
          <t>Theisen, Jerome P., 1930-1995.</t>
        </is>
      </c>
      <c r="L983" t="inlineStr">
        <is>
          <t>Collegeville, Minn. : St. John's University Press, 1985.</t>
        </is>
      </c>
      <c r="M983" t="inlineStr">
        <is>
          <t>1985</t>
        </is>
      </c>
      <c r="O983" t="inlineStr">
        <is>
          <t>eng</t>
        </is>
      </c>
      <c r="P983" t="inlineStr">
        <is>
          <t>mnu</t>
        </is>
      </c>
      <c r="R983" t="inlineStr">
        <is>
          <t xml:space="preserve">BT </t>
        </is>
      </c>
      <c r="S983" t="n">
        <v>3</v>
      </c>
      <c r="T983" t="n">
        <v>3</v>
      </c>
      <c r="U983" t="inlineStr">
        <is>
          <t>1998-03-30</t>
        </is>
      </c>
      <c r="V983" t="inlineStr">
        <is>
          <t>1998-03-30</t>
        </is>
      </c>
      <c r="W983" t="inlineStr">
        <is>
          <t>1990-08-02</t>
        </is>
      </c>
      <c r="X983" t="inlineStr">
        <is>
          <t>1990-08-02</t>
        </is>
      </c>
      <c r="Y983" t="n">
        <v>135</v>
      </c>
      <c r="Z983" t="n">
        <v>112</v>
      </c>
      <c r="AA983" t="n">
        <v>112</v>
      </c>
      <c r="AB983" t="n">
        <v>2</v>
      </c>
      <c r="AC983" t="n">
        <v>2</v>
      </c>
      <c r="AD983" t="n">
        <v>15</v>
      </c>
      <c r="AE983" t="n">
        <v>15</v>
      </c>
      <c r="AF983" t="n">
        <v>5</v>
      </c>
      <c r="AG983" t="n">
        <v>5</v>
      </c>
      <c r="AH983" t="n">
        <v>3</v>
      </c>
      <c r="AI983" t="n">
        <v>3</v>
      </c>
      <c r="AJ983" t="n">
        <v>13</v>
      </c>
      <c r="AK983" t="n">
        <v>13</v>
      </c>
      <c r="AL983" t="n">
        <v>0</v>
      </c>
      <c r="AM983" t="n">
        <v>0</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HYPERLINK("https://creighton-primo.hosted.exlibrisgroup.com/primo-explore/search?tab=default_tab&amp;search_scope=EVERYTHING&amp;vid=01CRU&amp;lang=en_US&amp;offset=0&amp;query=any,contains,991000571789702656","Catalog Record")</f>
        <v/>
      </c>
      <c r="AT983">
        <f>HYPERLINK("http://www.worldcat.org/oclc/11650711","WorldCat Record")</f>
        <v/>
      </c>
      <c r="AU983" t="inlineStr">
        <is>
          <t>152303068:eng</t>
        </is>
      </c>
      <c r="AV983" t="inlineStr">
        <is>
          <t>11650711</t>
        </is>
      </c>
      <c r="AW983" t="inlineStr">
        <is>
          <t>991000571789702656</t>
        </is>
      </c>
      <c r="AX983" t="inlineStr">
        <is>
          <t>991000571789702656</t>
        </is>
      </c>
      <c r="AY983" t="inlineStr">
        <is>
          <t>2269975170002656</t>
        </is>
      </c>
      <c r="AZ983" t="inlineStr">
        <is>
          <t>BOOK</t>
        </is>
      </c>
      <c r="BB983" t="inlineStr">
        <is>
          <t>9780814614068</t>
        </is>
      </c>
      <c r="BC983" t="inlineStr">
        <is>
          <t>32285000263466</t>
        </is>
      </c>
      <c r="BD983" t="inlineStr">
        <is>
          <t>893614306</t>
        </is>
      </c>
    </row>
    <row r="984">
      <c r="A984" t="inlineStr">
        <is>
          <t>No</t>
        </is>
      </c>
      <c r="B984" t="inlineStr">
        <is>
          <t>BT715 .T53 1996</t>
        </is>
      </c>
      <c r="C984" t="inlineStr">
        <is>
          <t>0                      BT 0715000T  53          1996</t>
        </is>
      </c>
      <c r="D984" t="inlineStr">
        <is>
          <t>Tibi soli peccavi : Thomas Aquinas on guilt and forgiveness : a collection of studies presented at the first congress of the Thomas Instituut te Utrecht, December 13-15, 1996 / Henk J.M. Schoot, ed. ; with contributions by Th.C.J. Beemer ... [et al.]</t>
        </is>
      </c>
      <c r="F984" t="inlineStr">
        <is>
          <t>No</t>
        </is>
      </c>
      <c r="G984" t="inlineStr">
        <is>
          <t>1</t>
        </is>
      </c>
      <c r="H984" t="inlineStr">
        <is>
          <t>No</t>
        </is>
      </c>
      <c r="I984" t="inlineStr">
        <is>
          <t>No</t>
        </is>
      </c>
      <c r="J984" t="inlineStr">
        <is>
          <t>0</t>
        </is>
      </c>
      <c r="L984" t="inlineStr">
        <is>
          <t>Leuven : Peeters, 1996.</t>
        </is>
      </c>
      <c r="M984" t="inlineStr">
        <is>
          <t>1996</t>
        </is>
      </c>
      <c r="O984" t="inlineStr">
        <is>
          <t>eng</t>
        </is>
      </c>
      <c r="P984" t="inlineStr">
        <is>
          <t xml:space="preserve">be </t>
        </is>
      </c>
      <c r="Q984" t="inlineStr">
        <is>
          <t>Publications of the Thomas Instituut te Utrecht ; new ser., v. 3</t>
        </is>
      </c>
      <c r="R984" t="inlineStr">
        <is>
          <t xml:space="preserve">BT </t>
        </is>
      </c>
      <c r="S984" t="n">
        <v>5</v>
      </c>
      <c r="T984" t="n">
        <v>5</v>
      </c>
      <c r="U984" t="inlineStr">
        <is>
          <t>2008-03-04</t>
        </is>
      </c>
      <c r="V984" t="inlineStr">
        <is>
          <t>2008-03-04</t>
        </is>
      </c>
      <c r="W984" t="inlineStr">
        <is>
          <t>1998-10-28</t>
        </is>
      </c>
      <c r="X984" t="inlineStr">
        <is>
          <t>1998-10-28</t>
        </is>
      </c>
      <c r="Y984" t="n">
        <v>70</v>
      </c>
      <c r="Z984" t="n">
        <v>56</v>
      </c>
      <c r="AA984" t="n">
        <v>56</v>
      </c>
      <c r="AB984" t="n">
        <v>1</v>
      </c>
      <c r="AC984" t="n">
        <v>1</v>
      </c>
      <c r="AD984" t="n">
        <v>9</v>
      </c>
      <c r="AE984" t="n">
        <v>9</v>
      </c>
      <c r="AF984" t="n">
        <v>2</v>
      </c>
      <c r="AG984" t="n">
        <v>2</v>
      </c>
      <c r="AH984" t="n">
        <v>4</v>
      </c>
      <c r="AI984" t="n">
        <v>4</v>
      </c>
      <c r="AJ984" t="n">
        <v>6</v>
      </c>
      <c r="AK984" t="n">
        <v>6</v>
      </c>
      <c r="AL984" t="n">
        <v>0</v>
      </c>
      <c r="AM984" t="n">
        <v>0</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HYPERLINK("https://creighton-primo.hosted.exlibrisgroup.com/primo-explore/search?tab=default_tab&amp;search_scope=EVERYTHING&amp;vid=01CRU&amp;lang=en_US&amp;offset=0&amp;query=any,contains,991002868349702656","Catalog Record")</f>
        <v/>
      </c>
      <c r="AT984">
        <f>HYPERLINK("http://www.worldcat.org/oclc/37811439","WorldCat Record")</f>
        <v/>
      </c>
      <c r="AU984" t="inlineStr">
        <is>
          <t>10178111181:eng</t>
        </is>
      </c>
      <c r="AV984" t="inlineStr">
        <is>
          <t>37811439</t>
        </is>
      </c>
      <c r="AW984" t="inlineStr">
        <is>
          <t>991002868349702656</t>
        </is>
      </c>
      <c r="AX984" t="inlineStr">
        <is>
          <t>991002868349702656</t>
        </is>
      </c>
      <c r="AY984" t="inlineStr">
        <is>
          <t>2271047350002656</t>
        </is>
      </c>
      <c r="AZ984" t="inlineStr">
        <is>
          <t>BOOK</t>
        </is>
      </c>
      <c r="BB984" t="inlineStr">
        <is>
          <t>9789068318852</t>
        </is>
      </c>
      <c r="BC984" t="inlineStr">
        <is>
          <t>32285003478491</t>
        </is>
      </c>
      <c r="BD984" t="inlineStr">
        <is>
          <t>893692104</t>
        </is>
      </c>
    </row>
    <row r="985">
      <c r="A985" t="inlineStr">
        <is>
          <t>No</t>
        </is>
      </c>
      <c r="B985" t="inlineStr">
        <is>
          <t>BT720 .K521 1957</t>
        </is>
      </c>
      <c r="C985" t="inlineStr">
        <is>
          <t>0                      BT 0720000K  521         1957</t>
        </is>
      </c>
      <c r="D985" t="inlineStr">
        <is>
          <t>The concept of dread. Translated with introd. and notes by Walter Lowrie.</t>
        </is>
      </c>
      <c r="F985" t="inlineStr">
        <is>
          <t>No</t>
        </is>
      </c>
      <c r="G985" t="inlineStr">
        <is>
          <t>1</t>
        </is>
      </c>
      <c r="H985" t="inlineStr">
        <is>
          <t>No</t>
        </is>
      </c>
      <c r="I985" t="inlineStr">
        <is>
          <t>Yes</t>
        </is>
      </c>
      <c r="J985" t="inlineStr">
        <is>
          <t>0</t>
        </is>
      </c>
      <c r="K985" t="inlineStr">
        <is>
          <t>Kierkegaard, Søren, 1813-1855.</t>
        </is>
      </c>
      <c r="L985" t="inlineStr">
        <is>
          <t>Princeton, Princeton University Press, 1957.</t>
        </is>
      </c>
      <c r="M985" t="inlineStr">
        <is>
          <t>1957</t>
        </is>
      </c>
      <c r="N985" t="inlineStr">
        <is>
          <t>[2d ed.]</t>
        </is>
      </c>
      <c r="O985" t="inlineStr">
        <is>
          <t>eng</t>
        </is>
      </c>
      <c r="P985" t="inlineStr">
        <is>
          <t>nju</t>
        </is>
      </c>
      <c r="R985" t="inlineStr">
        <is>
          <t xml:space="preserve">BT </t>
        </is>
      </c>
      <c r="S985" t="n">
        <v>6</v>
      </c>
      <c r="T985" t="n">
        <v>6</v>
      </c>
      <c r="U985" t="inlineStr">
        <is>
          <t>1998-07-08</t>
        </is>
      </c>
      <c r="V985" t="inlineStr">
        <is>
          <t>1998-07-08</t>
        </is>
      </c>
      <c r="W985" t="inlineStr">
        <is>
          <t>1991-09-26</t>
        </is>
      </c>
      <c r="X985" t="inlineStr">
        <is>
          <t>1991-09-26</t>
        </is>
      </c>
      <c r="Y985" t="n">
        <v>932</v>
      </c>
      <c r="Z985" t="n">
        <v>842</v>
      </c>
      <c r="AA985" t="n">
        <v>1651</v>
      </c>
      <c r="AB985" t="n">
        <v>8</v>
      </c>
      <c r="AC985" t="n">
        <v>17</v>
      </c>
      <c r="AD985" t="n">
        <v>41</v>
      </c>
      <c r="AE985" t="n">
        <v>65</v>
      </c>
      <c r="AF985" t="n">
        <v>17</v>
      </c>
      <c r="AG985" t="n">
        <v>28</v>
      </c>
      <c r="AH985" t="n">
        <v>9</v>
      </c>
      <c r="AI985" t="n">
        <v>11</v>
      </c>
      <c r="AJ985" t="n">
        <v>19</v>
      </c>
      <c r="AK985" t="n">
        <v>28</v>
      </c>
      <c r="AL985" t="n">
        <v>6</v>
      </c>
      <c r="AM985" t="n">
        <v>12</v>
      </c>
      <c r="AN985" t="n">
        <v>0</v>
      </c>
      <c r="AO985" t="n">
        <v>0</v>
      </c>
      <c r="AP985" t="inlineStr">
        <is>
          <t>No</t>
        </is>
      </c>
      <c r="AQ985" t="inlineStr">
        <is>
          <t>Yes</t>
        </is>
      </c>
      <c r="AR985">
        <f>HYPERLINK("http://catalog.hathitrust.org/Record/001412461","HathiTrust Record")</f>
        <v/>
      </c>
      <c r="AS985">
        <f>HYPERLINK("https://creighton-primo.hosted.exlibrisgroup.com/primo-explore/search?tab=default_tab&amp;search_scope=EVERYTHING&amp;vid=01CRU&amp;lang=en_US&amp;offset=0&amp;query=any,contains,991002662549702656","Catalog Record")</f>
        <v/>
      </c>
      <c r="AT985">
        <f>HYPERLINK("http://www.worldcat.org/oclc/391944","WorldCat Record")</f>
        <v/>
      </c>
      <c r="AU985" t="inlineStr">
        <is>
          <t>1151029110:eng</t>
        </is>
      </c>
      <c r="AV985" t="inlineStr">
        <is>
          <t>391944</t>
        </is>
      </c>
      <c r="AW985" t="inlineStr">
        <is>
          <t>991002662549702656</t>
        </is>
      </c>
      <c r="AX985" t="inlineStr">
        <is>
          <t>991002662549702656</t>
        </is>
      </c>
      <c r="AY985" t="inlineStr">
        <is>
          <t>2260686380002656</t>
        </is>
      </c>
      <c r="AZ985" t="inlineStr">
        <is>
          <t>BOOK</t>
        </is>
      </c>
      <c r="BC985" t="inlineStr">
        <is>
          <t>32285000749118</t>
        </is>
      </c>
      <c r="BD985" t="inlineStr">
        <is>
          <t>893335556</t>
        </is>
      </c>
    </row>
    <row r="986">
      <c r="A986" t="inlineStr">
        <is>
          <t>No</t>
        </is>
      </c>
      <c r="B986" t="inlineStr">
        <is>
          <t>BT725 .O38 1991</t>
        </is>
      </c>
      <c r="C986" t="inlineStr">
        <is>
          <t>0                      BT 0725000O  38          1991</t>
        </is>
      </c>
      <c r="D986" t="inlineStr">
        <is>
          <t>Temptation : a Biblical and psychological approach / Wayne E. Oates.</t>
        </is>
      </c>
      <c r="F986" t="inlineStr">
        <is>
          <t>No</t>
        </is>
      </c>
      <c r="G986" t="inlineStr">
        <is>
          <t>1</t>
        </is>
      </c>
      <c r="H986" t="inlineStr">
        <is>
          <t>No</t>
        </is>
      </c>
      <c r="I986" t="inlineStr">
        <is>
          <t>No</t>
        </is>
      </c>
      <c r="J986" t="inlineStr">
        <is>
          <t>0</t>
        </is>
      </c>
      <c r="K986" t="inlineStr">
        <is>
          <t>Oates, Wayne E. (Wayne Edward), 1917-1999.</t>
        </is>
      </c>
      <c r="L986" t="inlineStr">
        <is>
          <t>Louisville, Ky. : Westminster/John Knox Press, c1991.</t>
        </is>
      </c>
      <c r="M986" t="inlineStr">
        <is>
          <t>1991</t>
        </is>
      </c>
      <c r="N986" t="inlineStr">
        <is>
          <t>1st ed.</t>
        </is>
      </c>
      <c r="O986" t="inlineStr">
        <is>
          <t>eng</t>
        </is>
      </c>
      <c r="P986" t="inlineStr">
        <is>
          <t>kyu</t>
        </is>
      </c>
      <c r="R986" t="inlineStr">
        <is>
          <t xml:space="preserve">BT </t>
        </is>
      </c>
      <c r="S986" t="n">
        <v>6</v>
      </c>
      <c r="T986" t="n">
        <v>6</v>
      </c>
      <c r="U986" t="inlineStr">
        <is>
          <t>2001-05-24</t>
        </is>
      </c>
      <c r="V986" t="inlineStr">
        <is>
          <t>2001-05-24</t>
        </is>
      </c>
      <c r="W986" t="inlineStr">
        <is>
          <t>1994-03-11</t>
        </is>
      </c>
      <c r="X986" t="inlineStr">
        <is>
          <t>1994-03-11</t>
        </is>
      </c>
      <c r="Y986" t="n">
        <v>251</v>
      </c>
      <c r="Z986" t="n">
        <v>228</v>
      </c>
      <c r="AA986" t="n">
        <v>228</v>
      </c>
      <c r="AB986" t="n">
        <v>3</v>
      </c>
      <c r="AC986" t="n">
        <v>3</v>
      </c>
      <c r="AD986" t="n">
        <v>8</v>
      </c>
      <c r="AE986" t="n">
        <v>8</v>
      </c>
      <c r="AF986" t="n">
        <v>3</v>
      </c>
      <c r="AG986" t="n">
        <v>3</v>
      </c>
      <c r="AH986" t="n">
        <v>1</v>
      </c>
      <c r="AI986" t="n">
        <v>1</v>
      </c>
      <c r="AJ986" t="n">
        <v>4</v>
      </c>
      <c r="AK986" t="n">
        <v>4</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HYPERLINK("https://creighton-primo.hosted.exlibrisgroup.com/primo-explore/search?tab=default_tab&amp;search_scope=EVERYTHING&amp;vid=01CRU&amp;lang=en_US&amp;offset=0&amp;query=any,contains,991001805019702656","Catalog Record")</f>
        <v/>
      </c>
      <c r="AT986">
        <f>HYPERLINK("http://www.worldcat.org/oclc/22703320","WorldCat Record")</f>
        <v/>
      </c>
      <c r="AU986" t="inlineStr">
        <is>
          <t>347468578:eng</t>
        </is>
      </c>
      <c r="AV986" t="inlineStr">
        <is>
          <t>22703320</t>
        </is>
      </c>
      <c r="AW986" t="inlineStr">
        <is>
          <t>991001805019702656</t>
        </is>
      </c>
      <c r="AX986" t="inlineStr">
        <is>
          <t>991001805019702656</t>
        </is>
      </c>
      <c r="AY986" t="inlineStr">
        <is>
          <t>2256415190002656</t>
        </is>
      </c>
      <c r="AZ986" t="inlineStr">
        <is>
          <t>BOOK</t>
        </is>
      </c>
      <c r="BB986" t="inlineStr">
        <is>
          <t>9780664251130</t>
        </is>
      </c>
      <c r="BC986" t="inlineStr">
        <is>
          <t>32285001856110</t>
        </is>
      </c>
      <c r="BD986" t="inlineStr">
        <is>
          <t>893516514</t>
        </is>
      </c>
    </row>
    <row r="987">
      <c r="A987" t="inlineStr">
        <is>
          <t>No</t>
        </is>
      </c>
      <c r="B987" t="inlineStr">
        <is>
          <t>BT732 .B335 1987</t>
        </is>
      </c>
      <c r="C987" t="inlineStr">
        <is>
          <t>0                      BT 0732000B  335         1987</t>
        </is>
      </c>
      <c r="D987" t="inlineStr">
        <is>
          <t>The call to wholeness : health as a spiritual journey / Kenneth L. Bakken.</t>
        </is>
      </c>
      <c r="F987" t="inlineStr">
        <is>
          <t>No</t>
        </is>
      </c>
      <c r="G987" t="inlineStr">
        <is>
          <t>1</t>
        </is>
      </c>
      <c r="H987" t="inlineStr">
        <is>
          <t>No</t>
        </is>
      </c>
      <c r="I987" t="inlineStr">
        <is>
          <t>No</t>
        </is>
      </c>
      <c r="J987" t="inlineStr">
        <is>
          <t>0</t>
        </is>
      </c>
      <c r="K987" t="inlineStr">
        <is>
          <t>Bakken, Kenneth L.</t>
        </is>
      </c>
      <c r="L987" t="inlineStr">
        <is>
          <t>New York : Crossroad, 1987, c1985.</t>
        </is>
      </c>
      <c r="M987" t="inlineStr">
        <is>
          <t>1985</t>
        </is>
      </c>
      <c r="O987" t="inlineStr">
        <is>
          <t>eng</t>
        </is>
      </c>
      <c r="P987" t="inlineStr">
        <is>
          <t>nyu</t>
        </is>
      </c>
      <c r="R987" t="inlineStr">
        <is>
          <t xml:space="preserve">BT </t>
        </is>
      </c>
      <c r="S987" t="n">
        <v>9</v>
      </c>
      <c r="T987" t="n">
        <v>9</v>
      </c>
      <c r="U987" t="inlineStr">
        <is>
          <t>2001-04-20</t>
        </is>
      </c>
      <c r="V987" t="inlineStr">
        <is>
          <t>2001-04-20</t>
        </is>
      </c>
      <c r="W987" t="inlineStr">
        <is>
          <t>1990-02-08</t>
        </is>
      </c>
      <c r="X987" t="inlineStr">
        <is>
          <t>1990-02-08</t>
        </is>
      </c>
      <c r="Y987" t="n">
        <v>167</v>
      </c>
      <c r="Z987" t="n">
        <v>149</v>
      </c>
      <c r="AA987" t="n">
        <v>155</v>
      </c>
      <c r="AB987" t="n">
        <v>1</v>
      </c>
      <c r="AC987" t="n">
        <v>1</v>
      </c>
      <c r="AD987" t="n">
        <v>6</v>
      </c>
      <c r="AE987" t="n">
        <v>6</v>
      </c>
      <c r="AF987" t="n">
        <v>2</v>
      </c>
      <c r="AG987" t="n">
        <v>2</v>
      </c>
      <c r="AH987" t="n">
        <v>1</v>
      </c>
      <c r="AI987" t="n">
        <v>1</v>
      </c>
      <c r="AJ987" t="n">
        <v>3</v>
      </c>
      <c r="AK987" t="n">
        <v>3</v>
      </c>
      <c r="AL987" t="n">
        <v>0</v>
      </c>
      <c r="AM987" t="n">
        <v>0</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HYPERLINK("https://creighton-primo.hosted.exlibrisgroup.com/primo-explore/search?tab=default_tab&amp;search_scope=EVERYTHING&amp;vid=01CRU&amp;lang=en_US&amp;offset=0&amp;query=any,contains,991000519089702656","Catalog Record")</f>
        <v/>
      </c>
      <c r="AT987">
        <f>HYPERLINK("http://www.worldcat.org/oclc/11316174","WorldCat Record")</f>
        <v/>
      </c>
      <c r="AU987" t="inlineStr">
        <is>
          <t>3836626:eng</t>
        </is>
      </c>
      <c r="AV987" t="inlineStr">
        <is>
          <t>11316174</t>
        </is>
      </c>
      <c r="AW987" t="inlineStr">
        <is>
          <t>991000519089702656</t>
        </is>
      </c>
      <c r="AX987" t="inlineStr">
        <is>
          <t>991000519089702656</t>
        </is>
      </c>
      <c r="AY987" t="inlineStr">
        <is>
          <t>2256853530002656</t>
        </is>
      </c>
      <c r="AZ987" t="inlineStr">
        <is>
          <t>BOOK</t>
        </is>
      </c>
      <c r="BB987" t="inlineStr">
        <is>
          <t>9780824506834</t>
        </is>
      </c>
      <c r="BC987" t="inlineStr">
        <is>
          <t>32285000007897</t>
        </is>
      </c>
      <c r="BD987" t="inlineStr">
        <is>
          <t>893784291</t>
        </is>
      </c>
    </row>
    <row r="988">
      <c r="A988" t="inlineStr">
        <is>
          <t>No</t>
        </is>
      </c>
      <c r="B988" t="inlineStr">
        <is>
          <t>BT732 .C37 1997</t>
        </is>
      </c>
      <c r="C988" t="inlineStr">
        <is>
          <t>0                      BT 0732000C  37          1997</t>
        </is>
      </c>
      <c r="D988" t="inlineStr">
        <is>
          <t>Caring from the heart : the convergence of caring and spirituality / edited by M. Simone Roach.</t>
        </is>
      </c>
      <c r="F988" t="inlineStr">
        <is>
          <t>No</t>
        </is>
      </c>
      <c r="G988" t="inlineStr">
        <is>
          <t>1</t>
        </is>
      </c>
      <c r="H988" t="inlineStr">
        <is>
          <t>No</t>
        </is>
      </c>
      <c r="I988" t="inlineStr">
        <is>
          <t>No</t>
        </is>
      </c>
      <c r="J988" t="inlineStr">
        <is>
          <t>0</t>
        </is>
      </c>
      <c r="L988" t="inlineStr">
        <is>
          <t>New York : Paulist Press, c1997.</t>
        </is>
      </c>
      <c r="M988" t="inlineStr">
        <is>
          <t>1997</t>
        </is>
      </c>
      <c r="O988" t="inlineStr">
        <is>
          <t>eng</t>
        </is>
      </c>
      <c r="P988" t="inlineStr">
        <is>
          <t>nyu</t>
        </is>
      </c>
      <c r="R988" t="inlineStr">
        <is>
          <t xml:space="preserve">BT </t>
        </is>
      </c>
      <c r="S988" t="n">
        <v>6</v>
      </c>
      <c r="T988" t="n">
        <v>6</v>
      </c>
      <c r="U988" t="inlineStr">
        <is>
          <t>2007-04-26</t>
        </is>
      </c>
      <c r="V988" t="inlineStr">
        <is>
          <t>2007-04-26</t>
        </is>
      </c>
      <c r="W988" t="inlineStr">
        <is>
          <t>1997-10-15</t>
        </is>
      </c>
      <c r="X988" t="inlineStr">
        <is>
          <t>1997-10-15</t>
        </is>
      </c>
      <c r="Y988" t="n">
        <v>172</v>
      </c>
      <c r="Z988" t="n">
        <v>127</v>
      </c>
      <c r="AA988" t="n">
        <v>127</v>
      </c>
      <c r="AB988" t="n">
        <v>1</v>
      </c>
      <c r="AC988" t="n">
        <v>1</v>
      </c>
      <c r="AD988" t="n">
        <v>9</v>
      </c>
      <c r="AE988" t="n">
        <v>9</v>
      </c>
      <c r="AF988" t="n">
        <v>3</v>
      </c>
      <c r="AG988" t="n">
        <v>3</v>
      </c>
      <c r="AH988" t="n">
        <v>2</v>
      </c>
      <c r="AI988" t="n">
        <v>2</v>
      </c>
      <c r="AJ988" t="n">
        <v>6</v>
      </c>
      <c r="AK988" t="n">
        <v>6</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HYPERLINK("https://creighton-primo.hosted.exlibrisgroup.com/primo-explore/search?tab=default_tab&amp;search_scope=EVERYTHING&amp;vid=01CRU&amp;lang=en_US&amp;offset=0&amp;query=any,contains,991002792229702656","Catalog Record")</f>
        <v/>
      </c>
      <c r="AT988">
        <f>HYPERLINK("http://www.worldcat.org/oclc/36663044","WorldCat Record")</f>
        <v/>
      </c>
      <c r="AU988" t="inlineStr">
        <is>
          <t>1080326336:eng</t>
        </is>
      </c>
      <c r="AV988" t="inlineStr">
        <is>
          <t>36663044</t>
        </is>
      </c>
      <c r="AW988" t="inlineStr">
        <is>
          <t>991002792229702656</t>
        </is>
      </c>
      <c r="AX988" t="inlineStr">
        <is>
          <t>991002792229702656</t>
        </is>
      </c>
      <c r="AY988" t="inlineStr">
        <is>
          <t>2260580610002656</t>
        </is>
      </c>
      <c r="AZ988" t="inlineStr">
        <is>
          <t>BOOK</t>
        </is>
      </c>
      <c r="BB988" t="inlineStr">
        <is>
          <t>9780809137176</t>
        </is>
      </c>
      <c r="BC988" t="inlineStr">
        <is>
          <t>32285003254553</t>
        </is>
      </c>
      <c r="BD988" t="inlineStr">
        <is>
          <t>893524054</t>
        </is>
      </c>
    </row>
    <row r="989">
      <c r="A989" t="inlineStr">
        <is>
          <t>No</t>
        </is>
      </c>
      <c r="B989" t="inlineStr">
        <is>
          <t>BT732.2 .A93 1999</t>
        </is>
      </c>
      <c r="C989" t="inlineStr">
        <is>
          <t>0                      BT 0732200A  93          1999</t>
        </is>
      </c>
      <c r="D989" t="inlineStr">
        <is>
          <t>Health care and the rise of Christianity / Hector Avalos.</t>
        </is>
      </c>
      <c r="F989" t="inlineStr">
        <is>
          <t>No</t>
        </is>
      </c>
      <c r="G989" t="inlineStr">
        <is>
          <t>1</t>
        </is>
      </c>
      <c r="H989" t="inlineStr">
        <is>
          <t>No</t>
        </is>
      </c>
      <c r="I989" t="inlineStr">
        <is>
          <t>No</t>
        </is>
      </c>
      <c r="J989" t="inlineStr">
        <is>
          <t>0</t>
        </is>
      </c>
      <c r="K989" t="inlineStr">
        <is>
          <t>Avalos, Hector.</t>
        </is>
      </c>
      <c r="L989" t="inlineStr">
        <is>
          <t>Peabody, Mass. : Hendrickson, c1999.</t>
        </is>
      </c>
      <c r="M989" t="inlineStr">
        <is>
          <t>1999</t>
        </is>
      </c>
      <c r="O989" t="inlineStr">
        <is>
          <t>eng</t>
        </is>
      </c>
      <c r="P989" t="inlineStr">
        <is>
          <t>mau</t>
        </is>
      </c>
      <c r="R989" t="inlineStr">
        <is>
          <t xml:space="preserve">BT </t>
        </is>
      </c>
      <c r="S989" t="n">
        <v>5</v>
      </c>
      <c r="T989" t="n">
        <v>5</v>
      </c>
      <c r="U989" t="inlineStr">
        <is>
          <t>2008-11-18</t>
        </is>
      </c>
      <c r="V989" t="inlineStr">
        <is>
          <t>2008-11-18</t>
        </is>
      </c>
      <c r="W989" t="inlineStr">
        <is>
          <t>2001-05-30</t>
        </is>
      </c>
      <c r="X989" t="inlineStr">
        <is>
          <t>2001-05-30</t>
        </is>
      </c>
      <c r="Y989" t="n">
        <v>276</v>
      </c>
      <c r="Z989" t="n">
        <v>224</v>
      </c>
      <c r="AA989" t="n">
        <v>232</v>
      </c>
      <c r="AB989" t="n">
        <v>4</v>
      </c>
      <c r="AC989" t="n">
        <v>4</v>
      </c>
      <c r="AD989" t="n">
        <v>19</v>
      </c>
      <c r="AE989" t="n">
        <v>19</v>
      </c>
      <c r="AF989" t="n">
        <v>5</v>
      </c>
      <c r="AG989" t="n">
        <v>5</v>
      </c>
      <c r="AH989" t="n">
        <v>3</v>
      </c>
      <c r="AI989" t="n">
        <v>3</v>
      </c>
      <c r="AJ989" t="n">
        <v>12</v>
      </c>
      <c r="AK989" t="n">
        <v>12</v>
      </c>
      <c r="AL989" t="n">
        <v>3</v>
      </c>
      <c r="AM989" t="n">
        <v>3</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HYPERLINK("https://creighton-primo.hosted.exlibrisgroup.com/primo-explore/search?tab=default_tab&amp;search_scope=EVERYTHING&amp;vid=01CRU&amp;lang=en_US&amp;offset=0&amp;query=any,contains,991003544929702656","Catalog Record")</f>
        <v/>
      </c>
      <c r="AT989">
        <f>HYPERLINK("http://www.worldcat.org/oclc/40869652","WorldCat Record")</f>
        <v/>
      </c>
      <c r="AU989" t="inlineStr">
        <is>
          <t>3375724811:eng</t>
        </is>
      </c>
      <c r="AV989" t="inlineStr">
        <is>
          <t>40869652</t>
        </is>
      </c>
      <c r="AW989" t="inlineStr">
        <is>
          <t>991003544929702656</t>
        </is>
      </c>
      <c r="AX989" t="inlineStr">
        <is>
          <t>991003544929702656</t>
        </is>
      </c>
      <c r="AY989" t="inlineStr">
        <is>
          <t>2269267860002656</t>
        </is>
      </c>
      <c r="AZ989" t="inlineStr">
        <is>
          <t>BOOK</t>
        </is>
      </c>
      <c r="BB989" t="inlineStr">
        <is>
          <t>9781565633377</t>
        </is>
      </c>
      <c r="BC989" t="inlineStr">
        <is>
          <t>32285004319330</t>
        </is>
      </c>
      <c r="BD989" t="inlineStr">
        <is>
          <t>893531285</t>
        </is>
      </c>
    </row>
    <row r="990">
      <c r="A990" t="inlineStr">
        <is>
          <t>No</t>
        </is>
      </c>
      <c r="B990" t="inlineStr">
        <is>
          <t>BT732.5 .B67 1994</t>
        </is>
      </c>
      <c r="C990" t="inlineStr">
        <is>
          <t>0                      BT 0732500B  67          1994</t>
        </is>
      </c>
      <c r="D990" t="inlineStr">
        <is>
          <t>The pummeled heart : finding peace through pain / Antoinette Bosco.</t>
        </is>
      </c>
      <c r="F990" t="inlineStr">
        <is>
          <t>No</t>
        </is>
      </c>
      <c r="G990" t="inlineStr">
        <is>
          <t>1</t>
        </is>
      </c>
      <c r="H990" t="inlineStr">
        <is>
          <t>No</t>
        </is>
      </c>
      <c r="I990" t="inlineStr">
        <is>
          <t>No</t>
        </is>
      </c>
      <c r="J990" t="inlineStr">
        <is>
          <t>0</t>
        </is>
      </c>
      <c r="K990" t="inlineStr">
        <is>
          <t>Bosco, Antoinette, 1928-</t>
        </is>
      </c>
      <c r="L990" t="inlineStr">
        <is>
          <t>Mystic, Conn. : Twenty-third Publications, c1994.</t>
        </is>
      </c>
      <c r="M990" t="inlineStr">
        <is>
          <t>1994</t>
        </is>
      </c>
      <c r="O990" t="inlineStr">
        <is>
          <t>eng</t>
        </is>
      </c>
      <c r="P990" t="inlineStr">
        <is>
          <t>ctu</t>
        </is>
      </c>
      <c r="R990" t="inlineStr">
        <is>
          <t xml:space="preserve">BT </t>
        </is>
      </c>
      <c r="S990" t="n">
        <v>6</v>
      </c>
      <c r="T990" t="n">
        <v>6</v>
      </c>
      <c r="U990" t="inlineStr">
        <is>
          <t>2010-05-05</t>
        </is>
      </c>
      <c r="V990" t="inlineStr">
        <is>
          <t>2010-05-05</t>
        </is>
      </c>
      <c r="W990" t="inlineStr">
        <is>
          <t>1994-07-06</t>
        </is>
      </c>
      <c r="X990" t="inlineStr">
        <is>
          <t>1994-07-06</t>
        </is>
      </c>
      <c r="Y990" t="n">
        <v>98</v>
      </c>
      <c r="Z990" t="n">
        <v>88</v>
      </c>
      <c r="AA990" t="n">
        <v>88</v>
      </c>
      <c r="AB990" t="n">
        <v>2</v>
      </c>
      <c r="AC990" t="n">
        <v>2</v>
      </c>
      <c r="AD990" t="n">
        <v>5</v>
      </c>
      <c r="AE990" t="n">
        <v>5</v>
      </c>
      <c r="AF990" t="n">
        <v>0</v>
      </c>
      <c r="AG990" t="n">
        <v>0</v>
      </c>
      <c r="AH990" t="n">
        <v>1</v>
      </c>
      <c r="AI990" t="n">
        <v>1</v>
      </c>
      <c r="AJ990" t="n">
        <v>4</v>
      </c>
      <c r="AK990" t="n">
        <v>4</v>
      </c>
      <c r="AL990" t="n">
        <v>0</v>
      </c>
      <c r="AM990" t="n">
        <v>0</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HYPERLINK("https://creighton-primo.hosted.exlibrisgroup.com/primo-explore/search?tab=default_tab&amp;search_scope=EVERYTHING&amp;vid=01CRU&amp;lang=en_US&amp;offset=0&amp;query=any,contains,991002330589702656","Catalog Record")</f>
        <v/>
      </c>
      <c r="AT990">
        <f>HYPERLINK("http://www.worldcat.org/oclc/30326927","WorldCat Record")</f>
        <v/>
      </c>
      <c r="AU990" t="inlineStr">
        <is>
          <t>32421675:eng</t>
        </is>
      </c>
      <c r="AV990" t="inlineStr">
        <is>
          <t>30326927</t>
        </is>
      </c>
      <c r="AW990" t="inlineStr">
        <is>
          <t>991002330589702656</t>
        </is>
      </c>
      <c r="AX990" t="inlineStr">
        <is>
          <t>991002330589702656</t>
        </is>
      </c>
      <c r="AY990" t="inlineStr">
        <is>
          <t>2265578400002656</t>
        </is>
      </c>
      <c r="AZ990" t="inlineStr">
        <is>
          <t>BOOK</t>
        </is>
      </c>
      <c r="BB990" t="inlineStr">
        <is>
          <t>9780896225848</t>
        </is>
      </c>
      <c r="BC990" t="inlineStr">
        <is>
          <t>32285001917805</t>
        </is>
      </c>
      <c r="BD990" t="inlineStr">
        <is>
          <t>893232833</t>
        </is>
      </c>
    </row>
    <row r="991">
      <c r="A991" t="inlineStr">
        <is>
          <t>No</t>
        </is>
      </c>
      <c r="B991" t="inlineStr">
        <is>
          <t>BT732.5 .D56 1982</t>
        </is>
      </c>
      <c r="C991" t="inlineStr">
        <is>
          <t>0                      BT 0732500D  56          1982</t>
        </is>
      </c>
      <c r="D991" t="inlineStr">
        <is>
          <t>Called to heal / Ralph A. DiOrio.</t>
        </is>
      </c>
      <c r="F991" t="inlineStr">
        <is>
          <t>No</t>
        </is>
      </c>
      <c r="G991" t="inlineStr">
        <is>
          <t>1</t>
        </is>
      </c>
      <c r="H991" t="inlineStr">
        <is>
          <t>No</t>
        </is>
      </c>
      <c r="I991" t="inlineStr">
        <is>
          <t>No</t>
        </is>
      </c>
      <c r="J991" t="inlineStr">
        <is>
          <t>0</t>
        </is>
      </c>
      <c r="K991" t="inlineStr">
        <is>
          <t>DiOrio, Ralph A., 1930-</t>
        </is>
      </c>
      <c r="L991" t="inlineStr">
        <is>
          <t>Garden City, N.Y. : Doubleday, 1982.</t>
        </is>
      </c>
      <c r="M991" t="inlineStr">
        <is>
          <t>1982</t>
        </is>
      </c>
      <c r="N991" t="inlineStr">
        <is>
          <t>1st ed.</t>
        </is>
      </c>
      <c r="O991" t="inlineStr">
        <is>
          <t>eng</t>
        </is>
      </c>
      <c r="P991" t="inlineStr">
        <is>
          <t>nyu</t>
        </is>
      </c>
      <c r="R991" t="inlineStr">
        <is>
          <t xml:space="preserve">BT </t>
        </is>
      </c>
      <c r="S991" t="n">
        <v>5</v>
      </c>
      <c r="T991" t="n">
        <v>5</v>
      </c>
      <c r="U991" t="inlineStr">
        <is>
          <t>2005-11-20</t>
        </is>
      </c>
      <c r="V991" t="inlineStr">
        <is>
          <t>2005-11-20</t>
        </is>
      </c>
      <c r="W991" t="inlineStr">
        <is>
          <t>1990-04-04</t>
        </is>
      </c>
      <c r="X991" t="inlineStr">
        <is>
          <t>1990-04-04</t>
        </is>
      </c>
      <c r="Y991" t="n">
        <v>295</v>
      </c>
      <c r="Z991" t="n">
        <v>287</v>
      </c>
      <c r="AA991" t="n">
        <v>314</v>
      </c>
      <c r="AB991" t="n">
        <v>3</v>
      </c>
      <c r="AC991" t="n">
        <v>3</v>
      </c>
      <c r="AD991" t="n">
        <v>11</v>
      </c>
      <c r="AE991" t="n">
        <v>12</v>
      </c>
      <c r="AF991" t="n">
        <v>2</v>
      </c>
      <c r="AG991" t="n">
        <v>3</v>
      </c>
      <c r="AH991" t="n">
        <v>3</v>
      </c>
      <c r="AI991" t="n">
        <v>3</v>
      </c>
      <c r="AJ991" t="n">
        <v>8</v>
      </c>
      <c r="AK991" t="n">
        <v>9</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HYPERLINK("https://creighton-primo.hosted.exlibrisgroup.com/primo-explore/search?tab=default_tab&amp;search_scope=EVERYTHING&amp;vid=01CRU&amp;lang=en_US&amp;offset=0&amp;query=any,contains,991000036569702656","Catalog Record")</f>
        <v/>
      </c>
      <c r="AT991">
        <f>HYPERLINK("http://www.worldcat.org/oclc/8627724","WorldCat Record")</f>
        <v/>
      </c>
      <c r="AU991" t="inlineStr">
        <is>
          <t>456135:eng</t>
        </is>
      </c>
      <c r="AV991" t="inlineStr">
        <is>
          <t>8627724</t>
        </is>
      </c>
      <c r="AW991" t="inlineStr">
        <is>
          <t>991000036569702656</t>
        </is>
      </c>
      <c r="AX991" t="inlineStr">
        <is>
          <t>991000036569702656</t>
        </is>
      </c>
      <c r="AY991" t="inlineStr">
        <is>
          <t>2261802220002656</t>
        </is>
      </c>
      <c r="AZ991" t="inlineStr">
        <is>
          <t>BOOK</t>
        </is>
      </c>
      <c r="BB991" t="inlineStr">
        <is>
          <t>9780385182263</t>
        </is>
      </c>
      <c r="BC991" t="inlineStr">
        <is>
          <t>32285000110451</t>
        </is>
      </c>
      <c r="BD991" t="inlineStr">
        <is>
          <t>893695527</t>
        </is>
      </c>
    </row>
    <row r="992">
      <c r="A992" t="inlineStr">
        <is>
          <t>No</t>
        </is>
      </c>
      <c r="B992" t="inlineStr">
        <is>
          <t>BT732.5 .F37 1979</t>
        </is>
      </c>
      <c r="C992" t="inlineStr">
        <is>
          <t>0                      BT 0732500F  37          1979</t>
        </is>
      </c>
      <c r="D992" t="inlineStr">
        <is>
          <t>Praying for inner healing / Robert Faricy.</t>
        </is>
      </c>
      <c r="F992" t="inlineStr">
        <is>
          <t>No</t>
        </is>
      </c>
      <c r="G992" t="inlineStr">
        <is>
          <t>1</t>
        </is>
      </c>
      <c r="H992" t="inlineStr">
        <is>
          <t>No</t>
        </is>
      </c>
      <c r="I992" t="inlineStr">
        <is>
          <t>No</t>
        </is>
      </c>
      <c r="J992" t="inlineStr">
        <is>
          <t>0</t>
        </is>
      </c>
      <c r="K992" t="inlineStr">
        <is>
          <t>Faricy, Robert L., 1926-</t>
        </is>
      </c>
      <c r="L992" t="inlineStr">
        <is>
          <t>New York : Paulist Press, c1979.</t>
        </is>
      </c>
      <c r="M992" t="inlineStr">
        <is>
          <t>1979</t>
        </is>
      </c>
      <c r="O992" t="inlineStr">
        <is>
          <t>eng</t>
        </is>
      </c>
      <c r="P992" t="inlineStr">
        <is>
          <t>nyu</t>
        </is>
      </c>
      <c r="R992" t="inlineStr">
        <is>
          <t xml:space="preserve">BT </t>
        </is>
      </c>
      <c r="S992" t="n">
        <v>7</v>
      </c>
      <c r="T992" t="n">
        <v>7</v>
      </c>
      <c r="U992" t="inlineStr">
        <is>
          <t>2007-06-28</t>
        </is>
      </c>
      <c r="V992" t="inlineStr">
        <is>
          <t>2007-06-28</t>
        </is>
      </c>
      <c r="W992" t="inlineStr">
        <is>
          <t>1990-04-04</t>
        </is>
      </c>
      <c r="X992" t="inlineStr">
        <is>
          <t>1990-04-04</t>
        </is>
      </c>
      <c r="Y992" t="n">
        <v>89</v>
      </c>
      <c r="Z992" t="n">
        <v>80</v>
      </c>
      <c r="AA992" t="n">
        <v>95</v>
      </c>
      <c r="AB992" t="n">
        <v>1</v>
      </c>
      <c r="AC992" t="n">
        <v>1</v>
      </c>
      <c r="AD992" t="n">
        <v>12</v>
      </c>
      <c r="AE992" t="n">
        <v>12</v>
      </c>
      <c r="AF992" t="n">
        <v>3</v>
      </c>
      <c r="AG992" t="n">
        <v>3</v>
      </c>
      <c r="AH992" t="n">
        <v>4</v>
      </c>
      <c r="AI992" t="n">
        <v>4</v>
      </c>
      <c r="AJ992" t="n">
        <v>10</v>
      </c>
      <c r="AK992" t="n">
        <v>10</v>
      </c>
      <c r="AL992" t="n">
        <v>0</v>
      </c>
      <c r="AM992" t="n">
        <v>0</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HYPERLINK("https://creighton-primo.hosted.exlibrisgroup.com/primo-explore/search?tab=default_tab&amp;search_scope=EVERYTHING&amp;vid=01CRU&amp;lang=en_US&amp;offset=0&amp;query=any,contains,991004985559702656","Catalog Record")</f>
        <v/>
      </c>
      <c r="AT992">
        <f>HYPERLINK("http://www.worldcat.org/oclc/6447457","WorldCat Record")</f>
        <v/>
      </c>
      <c r="AU992" t="inlineStr">
        <is>
          <t>9476922:eng</t>
        </is>
      </c>
      <c r="AV992" t="inlineStr">
        <is>
          <t>6447457</t>
        </is>
      </c>
      <c r="AW992" t="inlineStr">
        <is>
          <t>991004985559702656</t>
        </is>
      </c>
      <c r="AX992" t="inlineStr">
        <is>
          <t>991004985559702656</t>
        </is>
      </c>
      <c r="AY992" t="inlineStr">
        <is>
          <t>2255502640002656</t>
        </is>
      </c>
      <c r="AZ992" t="inlineStr">
        <is>
          <t>BOOK</t>
        </is>
      </c>
      <c r="BB992" t="inlineStr">
        <is>
          <t>9780809122509</t>
        </is>
      </c>
      <c r="BC992" t="inlineStr">
        <is>
          <t>32285000110469</t>
        </is>
      </c>
      <c r="BD992" t="inlineStr">
        <is>
          <t>893600455</t>
        </is>
      </c>
    </row>
    <row r="993">
      <c r="A993" t="inlineStr">
        <is>
          <t>No</t>
        </is>
      </c>
      <c r="B993" t="inlineStr">
        <is>
          <t>BT732.5 .G43 1972</t>
        </is>
      </c>
      <c r="C993" t="inlineStr">
        <is>
          <t>0                      BT 0732500G  43          1972</t>
        </is>
      </c>
      <c r="D993" t="inlineStr">
        <is>
          <t>Pentecostal piety / by Donald L. Gelpi.</t>
        </is>
      </c>
      <c r="F993" t="inlineStr">
        <is>
          <t>No</t>
        </is>
      </c>
      <c r="G993" t="inlineStr">
        <is>
          <t>1</t>
        </is>
      </c>
      <c r="H993" t="inlineStr">
        <is>
          <t>No</t>
        </is>
      </c>
      <c r="I993" t="inlineStr">
        <is>
          <t>No</t>
        </is>
      </c>
      <c r="J993" t="inlineStr">
        <is>
          <t>0</t>
        </is>
      </c>
      <c r="K993" t="inlineStr">
        <is>
          <t>Gelpi, Donald L., 1934-2011.</t>
        </is>
      </c>
      <c r="L993" t="inlineStr">
        <is>
          <t>New York : Paulist Press, [1972]</t>
        </is>
      </c>
      <c r="M993" t="inlineStr">
        <is>
          <t>1972</t>
        </is>
      </c>
      <c r="O993" t="inlineStr">
        <is>
          <t>eng</t>
        </is>
      </c>
      <c r="P993" t="inlineStr">
        <is>
          <t>nyu</t>
        </is>
      </c>
      <c r="Q993" t="inlineStr">
        <is>
          <t>Deus books</t>
        </is>
      </c>
      <c r="R993" t="inlineStr">
        <is>
          <t xml:space="preserve">BT </t>
        </is>
      </c>
      <c r="S993" t="n">
        <v>6</v>
      </c>
      <c r="T993" t="n">
        <v>6</v>
      </c>
      <c r="U993" t="inlineStr">
        <is>
          <t>2008-12-03</t>
        </is>
      </c>
      <c r="V993" t="inlineStr">
        <is>
          <t>2008-12-03</t>
        </is>
      </c>
      <c r="W993" t="inlineStr">
        <is>
          <t>1991-09-26</t>
        </is>
      </c>
      <c r="X993" t="inlineStr">
        <is>
          <t>1991-09-26</t>
        </is>
      </c>
      <c r="Y993" t="n">
        <v>205</v>
      </c>
      <c r="Z993" t="n">
        <v>176</v>
      </c>
      <c r="AA993" t="n">
        <v>176</v>
      </c>
      <c r="AB993" t="n">
        <v>3</v>
      </c>
      <c r="AC993" t="n">
        <v>3</v>
      </c>
      <c r="AD993" t="n">
        <v>21</v>
      </c>
      <c r="AE993" t="n">
        <v>21</v>
      </c>
      <c r="AF993" t="n">
        <v>5</v>
      </c>
      <c r="AG993" t="n">
        <v>5</v>
      </c>
      <c r="AH993" t="n">
        <v>6</v>
      </c>
      <c r="AI993" t="n">
        <v>6</v>
      </c>
      <c r="AJ993" t="n">
        <v>15</v>
      </c>
      <c r="AK993" t="n">
        <v>15</v>
      </c>
      <c r="AL993" t="n">
        <v>1</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HYPERLINK("https://creighton-primo.hosted.exlibrisgroup.com/primo-explore/search?tab=default_tab&amp;search_scope=EVERYTHING&amp;vid=01CRU&amp;lang=en_US&amp;offset=0&amp;query=any,contains,991002496509702656","Catalog Record")</f>
        <v/>
      </c>
      <c r="AT993">
        <f>HYPERLINK("http://www.worldcat.org/oclc/363913","WorldCat Record")</f>
        <v/>
      </c>
      <c r="AU993" t="inlineStr">
        <is>
          <t>1420877:eng</t>
        </is>
      </c>
      <c r="AV993" t="inlineStr">
        <is>
          <t>363913</t>
        </is>
      </c>
      <c r="AW993" t="inlineStr">
        <is>
          <t>991002496509702656</t>
        </is>
      </c>
      <c r="AX993" t="inlineStr">
        <is>
          <t>991002496509702656</t>
        </is>
      </c>
      <c r="AY993" t="inlineStr">
        <is>
          <t>2261871740002656</t>
        </is>
      </c>
      <c r="AZ993" t="inlineStr">
        <is>
          <t>BOOK</t>
        </is>
      </c>
      <c r="BC993" t="inlineStr">
        <is>
          <t>32285000749159</t>
        </is>
      </c>
      <c r="BD993" t="inlineStr">
        <is>
          <t>893233039</t>
        </is>
      </c>
    </row>
    <row r="994">
      <c r="A994" t="inlineStr">
        <is>
          <t>No</t>
        </is>
      </c>
      <c r="B994" t="inlineStr">
        <is>
          <t>BT732.5 .G8 1974</t>
        </is>
      </c>
      <c r="C994" t="inlineStr">
        <is>
          <t>0                      BT 0732500G  8           1974</t>
        </is>
      </c>
      <c r="D994" t="inlineStr">
        <is>
          <t>The ministry of healing in the Church of England : an ecumenical-liturgical study / Charles W. Gusmer.</t>
        </is>
      </c>
      <c r="F994" t="inlineStr">
        <is>
          <t>No</t>
        </is>
      </c>
      <c r="G994" t="inlineStr">
        <is>
          <t>1</t>
        </is>
      </c>
      <c r="H994" t="inlineStr">
        <is>
          <t>No</t>
        </is>
      </c>
      <c r="I994" t="inlineStr">
        <is>
          <t>No</t>
        </is>
      </c>
      <c r="J994" t="inlineStr">
        <is>
          <t>0</t>
        </is>
      </c>
      <c r="K994" t="inlineStr">
        <is>
          <t>Gusmer, Charles W.</t>
        </is>
      </c>
      <c r="L994" t="inlineStr">
        <is>
          <t>Great Wakering [Eng.] : published on behalf of the Alcuin Club by Mayhew-McCrimmon, 1974.</t>
        </is>
      </c>
      <c r="M994" t="inlineStr">
        <is>
          <t>1974</t>
        </is>
      </c>
      <c r="O994" t="inlineStr">
        <is>
          <t>eng</t>
        </is>
      </c>
      <c r="P994" t="inlineStr">
        <is>
          <t>enk</t>
        </is>
      </c>
      <c r="Q994" t="inlineStr">
        <is>
          <t>Alcuin Club collections ; no. 56</t>
        </is>
      </c>
      <c r="R994" t="inlineStr">
        <is>
          <t xml:space="preserve">BT </t>
        </is>
      </c>
      <c r="S994" t="n">
        <v>3</v>
      </c>
      <c r="T994" t="n">
        <v>3</v>
      </c>
      <c r="U994" t="inlineStr">
        <is>
          <t>1993-04-13</t>
        </is>
      </c>
      <c r="V994" t="inlineStr">
        <is>
          <t>1993-04-13</t>
        </is>
      </c>
      <c r="W994" t="inlineStr">
        <is>
          <t>1990-04-04</t>
        </is>
      </c>
      <c r="X994" t="inlineStr">
        <is>
          <t>1990-04-04</t>
        </is>
      </c>
      <c r="Y994" t="n">
        <v>169</v>
      </c>
      <c r="Z994" t="n">
        <v>109</v>
      </c>
      <c r="AA994" t="n">
        <v>111</v>
      </c>
      <c r="AB994" t="n">
        <v>1</v>
      </c>
      <c r="AC994" t="n">
        <v>1</v>
      </c>
      <c r="AD994" t="n">
        <v>8</v>
      </c>
      <c r="AE994" t="n">
        <v>8</v>
      </c>
      <c r="AF994" t="n">
        <v>0</v>
      </c>
      <c r="AG994" t="n">
        <v>0</v>
      </c>
      <c r="AH994" t="n">
        <v>2</v>
      </c>
      <c r="AI994" t="n">
        <v>2</v>
      </c>
      <c r="AJ994" t="n">
        <v>6</v>
      </c>
      <c r="AK994" t="n">
        <v>6</v>
      </c>
      <c r="AL994" t="n">
        <v>0</v>
      </c>
      <c r="AM994" t="n">
        <v>0</v>
      </c>
      <c r="AN994" t="n">
        <v>0</v>
      </c>
      <c r="AO994" t="n">
        <v>0</v>
      </c>
      <c r="AP994" t="inlineStr">
        <is>
          <t>No</t>
        </is>
      </c>
      <c r="AQ994" t="inlineStr">
        <is>
          <t>Yes</t>
        </is>
      </c>
      <c r="AR994">
        <f>HYPERLINK("http://catalog.hathitrust.org/Record/001630246","HathiTrust Record")</f>
        <v/>
      </c>
      <c r="AS994">
        <f>HYPERLINK("https://creighton-primo.hosted.exlibrisgroup.com/primo-explore/search?tab=default_tab&amp;search_scope=EVERYTHING&amp;vid=01CRU&amp;lang=en_US&amp;offset=0&amp;query=any,contains,991003857169702656","Catalog Record")</f>
        <v/>
      </c>
      <c r="AT994">
        <f>HYPERLINK("http://www.worldcat.org/oclc/1657280","WorldCat Record")</f>
        <v/>
      </c>
      <c r="AU994" t="inlineStr">
        <is>
          <t>2460780:eng</t>
        </is>
      </c>
      <c r="AV994" t="inlineStr">
        <is>
          <t>1657280</t>
        </is>
      </c>
      <c r="AW994" t="inlineStr">
        <is>
          <t>991003857169702656</t>
        </is>
      </c>
      <c r="AX994" t="inlineStr">
        <is>
          <t>991003857169702656</t>
        </is>
      </c>
      <c r="AY994" t="inlineStr">
        <is>
          <t>2254873670002656</t>
        </is>
      </c>
      <c r="AZ994" t="inlineStr">
        <is>
          <t>BOOK</t>
        </is>
      </c>
      <c r="BB994" t="inlineStr">
        <is>
          <t>9780855970819</t>
        </is>
      </c>
      <c r="BC994" t="inlineStr">
        <is>
          <t>32285000110485</t>
        </is>
      </c>
      <c r="BD994" t="inlineStr">
        <is>
          <t>893605289</t>
        </is>
      </c>
    </row>
    <row r="995">
      <c r="A995" t="inlineStr">
        <is>
          <t>No</t>
        </is>
      </c>
      <c r="B995" t="inlineStr">
        <is>
          <t>BT732.5 .S4 1985</t>
        </is>
      </c>
      <c r="C995" t="inlineStr">
        <is>
          <t>0                      BT 0732500S  4           1985</t>
        </is>
      </c>
      <c r="D995" t="inlineStr">
        <is>
          <t>Jesus and the witchdoctor : an approach to healing and wholeness / Aylward Shorter.</t>
        </is>
      </c>
      <c r="F995" t="inlineStr">
        <is>
          <t>No</t>
        </is>
      </c>
      <c r="G995" t="inlineStr">
        <is>
          <t>1</t>
        </is>
      </c>
      <c r="H995" t="inlineStr">
        <is>
          <t>No</t>
        </is>
      </c>
      <c r="I995" t="inlineStr">
        <is>
          <t>No</t>
        </is>
      </c>
      <c r="J995" t="inlineStr">
        <is>
          <t>0</t>
        </is>
      </c>
      <c r="K995" t="inlineStr">
        <is>
          <t>Shorter, Aylward.</t>
        </is>
      </c>
      <c r="L995" t="inlineStr">
        <is>
          <t>London : Chapman ; Maryknoll, N.Y. : Orbis Books, 1985.</t>
        </is>
      </c>
      <c r="M995" t="inlineStr">
        <is>
          <t>1985</t>
        </is>
      </c>
      <c r="O995" t="inlineStr">
        <is>
          <t>eng</t>
        </is>
      </c>
      <c r="P995" t="inlineStr">
        <is>
          <t>enk</t>
        </is>
      </c>
      <c r="R995" t="inlineStr">
        <is>
          <t xml:space="preserve">BT </t>
        </is>
      </c>
      <c r="S995" t="n">
        <v>3</v>
      </c>
      <c r="T995" t="n">
        <v>3</v>
      </c>
      <c r="U995" t="inlineStr">
        <is>
          <t>2001-02-02</t>
        </is>
      </c>
      <c r="V995" t="inlineStr">
        <is>
          <t>2001-02-02</t>
        </is>
      </c>
      <c r="W995" t="inlineStr">
        <is>
          <t>1990-04-04</t>
        </is>
      </c>
      <c r="X995" t="inlineStr">
        <is>
          <t>1990-04-04</t>
        </is>
      </c>
      <c r="Y995" t="n">
        <v>299</v>
      </c>
      <c r="Z995" t="n">
        <v>232</v>
      </c>
      <c r="AA995" t="n">
        <v>241</v>
      </c>
      <c r="AB995" t="n">
        <v>1</v>
      </c>
      <c r="AC995" t="n">
        <v>1</v>
      </c>
      <c r="AD995" t="n">
        <v>11</v>
      </c>
      <c r="AE995" t="n">
        <v>11</v>
      </c>
      <c r="AF995" t="n">
        <v>2</v>
      </c>
      <c r="AG995" t="n">
        <v>2</v>
      </c>
      <c r="AH995" t="n">
        <v>3</v>
      </c>
      <c r="AI995" t="n">
        <v>3</v>
      </c>
      <c r="AJ995" t="n">
        <v>8</v>
      </c>
      <c r="AK995" t="n">
        <v>8</v>
      </c>
      <c r="AL995" t="n">
        <v>0</v>
      </c>
      <c r="AM995" t="n">
        <v>0</v>
      </c>
      <c r="AN995" t="n">
        <v>0</v>
      </c>
      <c r="AO995" t="n">
        <v>0</v>
      </c>
      <c r="AP995" t="inlineStr">
        <is>
          <t>No</t>
        </is>
      </c>
      <c r="AQ995" t="inlineStr">
        <is>
          <t>Yes</t>
        </is>
      </c>
      <c r="AR995">
        <f>HYPERLINK("http://catalog.hathitrust.org/Record/000420929","HathiTrust Record")</f>
        <v/>
      </c>
      <c r="AS995">
        <f>HYPERLINK("https://creighton-primo.hosted.exlibrisgroup.com/primo-explore/search?tab=default_tab&amp;search_scope=EVERYTHING&amp;vid=01CRU&amp;lang=en_US&amp;offset=0&amp;query=any,contains,991000689389702656","Catalog Record")</f>
        <v/>
      </c>
      <c r="AT995">
        <f>HYPERLINK("http://www.worldcat.org/oclc/12437712","WorldCat Record")</f>
        <v/>
      </c>
      <c r="AU995" t="inlineStr">
        <is>
          <t>836726942:eng</t>
        </is>
      </c>
      <c r="AV995" t="inlineStr">
        <is>
          <t>12437712</t>
        </is>
      </c>
      <c r="AW995" t="inlineStr">
        <is>
          <t>991000689389702656</t>
        </is>
      </c>
      <c r="AX995" t="inlineStr">
        <is>
          <t>991000689389702656</t>
        </is>
      </c>
      <c r="AY995" t="inlineStr">
        <is>
          <t>2256363180002656</t>
        </is>
      </c>
      <c r="AZ995" t="inlineStr">
        <is>
          <t>BOOK</t>
        </is>
      </c>
      <c r="BB995" t="inlineStr">
        <is>
          <t>9780883442258</t>
        </is>
      </c>
      <c r="BC995" t="inlineStr">
        <is>
          <t>32285000110501</t>
        </is>
      </c>
      <c r="BD995" t="inlineStr">
        <is>
          <t>893890937</t>
        </is>
      </c>
    </row>
    <row r="996">
      <c r="A996" t="inlineStr">
        <is>
          <t>No</t>
        </is>
      </c>
      <c r="B996" t="inlineStr">
        <is>
          <t>BT732.5 .S53 1976</t>
        </is>
      </c>
      <c r="C996" t="inlineStr">
        <is>
          <t>0                      BT 0732500S  53          1976</t>
        </is>
      </c>
      <c r="D996" t="inlineStr">
        <is>
          <t>Healing prayer / Barbara Leahy Shlemon ; foreword by Francis MacNutt.</t>
        </is>
      </c>
      <c r="F996" t="inlineStr">
        <is>
          <t>No</t>
        </is>
      </c>
      <c r="G996" t="inlineStr">
        <is>
          <t>1</t>
        </is>
      </c>
      <c r="H996" t="inlineStr">
        <is>
          <t>No</t>
        </is>
      </c>
      <c r="I996" t="inlineStr">
        <is>
          <t>No</t>
        </is>
      </c>
      <c r="J996" t="inlineStr">
        <is>
          <t>0</t>
        </is>
      </c>
      <c r="K996" t="inlineStr">
        <is>
          <t>Ryan, Barbara Shlemon.</t>
        </is>
      </c>
      <c r="L996" t="inlineStr">
        <is>
          <t>Notre Dame, Ind. : Ave Maria Press, c1976.</t>
        </is>
      </c>
      <c r="M996" t="inlineStr">
        <is>
          <t>1976</t>
        </is>
      </c>
      <c r="O996" t="inlineStr">
        <is>
          <t>eng</t>
        </is>
      </c>
      <c r="P996" t="inlineStr">
        <is>
          <t>inu</t>
        </is>
      </c>
      <c r="R996" t="inlineStr">
        <is>
          <t xml:space="preserve">BT </t>
        </is>
      </c>
      <c r="S996" t="n">
        <v>5</v>
      </c>
      <c r="T996" t="n">
        <v>5</v>
      </c>
      <c r="U996" t="inlineStr">
        <is>
          <t>2000-04-05</t>
        </is>
      </c>
      <c r="V996" t="inlineStr">
        <is>
          <t>2000-04-05</t>
        </is>
      </c>
      <c r="W996" t="inlineStr">
        <is>
          <t>1991-09-26</t>
        </is>
      </c>
      <c r="X996" t="inlineStr">
        <is>
          <t>1991-09-26</t>
        </is>
      </c>
      <c r="Y996" t="n">
        <v>139</v>
      </c>
      <c r="Z996" t="n">
        <v>111</v>
      </c>
      <c r="AA996" t="n">
        <v>156</v>
      </c>
      <c r="AB996" t="n">
        <v>1</v>
      </c>
      <c r="AC996" t="n">
        <v>1</v>
      </c>
      <c r="AD996" t="n">
        <v>6</v>
      </c>
      <c r="AE996" t="n">
        <v>6</v>
      </c>
      <c r="AF996" t="n">
        <v>1</v>
      </c>
      <c r="AG996" t="n">
        <v>1</v>
      </c>
      <c r="AH996" t="n">
        <v>1</v>
      </c>
      <c r="AI996" t="n">
        <v>1</v>
      </c>
      <c r="AJ996" t="n">
        <v>5</v>
      </c>
      <c r="AK996" t="n">
        <v>5</v>
      </c>
      <c r="AL996" t="n">
        <v>0</v>
      </c>
      <c r="AM996" t="n">
        <v>0</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HYPERLINK("https://creighton-primo.hosted.exlibrisgroup.com/primo-explore/search?tab=default_tab&amp;search_scope=EVERYTHING&amp;vid=01CRU&amp;lang=en_US&amp;offset=0&amp;query=any,contains,991004001299702656","Catalog Record")</f>
        <v/>
      </c>
      <c r="AT996">
        <f>HYPERLINK("http://www.worldcat.org/oclc/2073966","WorldCat Record")</f>
        <v/>
      </c>
      <c r="AU996" t="inlineStr">
        <is>
          <t>432997:eng</t>
        </is>
      </c>
      <c r="AV996" t="inlineStr">
        <is>
          <t>2073966</t>
        </is>
      </c>
      <c r="AW996" t="inlineStr">
        <is>
          <t>991004001299702656</t>
        </is>
      </c>
      <c r="AX996" t="inlineStr">
        <is>
          <t>991004001299702656</t>
        </is>
      </c>
      <c r="AY996" t="inlineStr">
        <is>
          <t>2255278790002656</t>
        </is>
      </c>
      <c r="AZ996" t="inlineStr">
        <is>
          <t>BOOK</t>
        </is>
      </c>
      <c r="BB996" t="inlineStr">
        <is>
          <t>9780877931089</t>
        </is>
      </c>
      <c r="BC996" t="inlineStr">
        <is>
          <t>32285000749191</t>
        </is>
      </c>
      <c r="BD996" t="inlineStr">
        <is>
          <t>893693403</t>
        </is>
      </c>
    </row>
    <row r="997">
      <c r="A997" t="inlineStr">
        <is>
          <t>No</t>
        </is>
      </c>
      <c r="B997" t="inlineStr">
        <is>
          <t>BT732.5 .S534</t>
        </is>
      </c>
      <c r="C997" t="inlineStr">
        <is>
          <t>0                      BT 0732500S  534</t>
        </is>
      </c>
      <c r="D997" t="inlineStr">
        <is>
          <t>To heal as Jesus healed / Barbara Leahy Shlemon, Dennis Linn, and Matthew Linn. --</t>
        </is>
      </c>
      <c r="F997" t="inlineStr">
        <is>
          <t>No</t>
        </is>
      </c>
      <c r="G997" t="inlineStr">
        <is>
          <t>1</t>
        </is>
      </c>
      <c r="H997" t="inlineStr">
        <is>
          <t>No</t>
        </is>
      </c>
      <c r="I997" t="inlineStr">
        <is>
          <t>No</t>
        </is>
      </c>
      <c r="J997" t="inlineStr">
        <is>
          <t>0</t>
        </is>
      </c>
      <c r="K997" t="inlineStr">
        <is>
          <t>Ryan, Barbara Shlemon.</t>
        </is>
      </c>
      <c r="L997" t="inlineStr">
        <is>
          <t>Notre Dame, Ind. : Ave Maria Press, c1978.</t>
        </is>
      </c>
      <c r="M997" t="inlineStr">
        <is>
          <t>1978</t>
        </is>
      </c>
      <c r="O997" t="inlineStr">
        <is>
          <t>eng</t>
        </is>
      </c>
      <c r="P997" t="inlineStr">
        <is>
          <t>inu</t>
        </is>
      </c>
      <c r="R997" t="inlineStr">
        <is>
          <t xml:space="preserve">BT </t>
        </is>
      </c>
      <c r="S997" t="n">
        <v>7</v>
      </c>
      <c r="T997" t="n">
        <v>7</v>
      </c>
      <c r="U997" t="inlineStr">
        <is>
          <t>2004-03-10</t>
        </is>
      </c>
      <c r="V997" t="inlineStr">
        <is>
          <t>2004-03-10</t>
        </is>
      </c>
      <c r="W997" t="inlineStr">
        <is>
          <t>1990-03-08</t>
        </is>
      </c>
      <c r="X997" t="inlineStr">
        <is>
          <t>1990-03-08</t>
        </is>
      </c>
      <c r="Y997" t="n">
        <v>143</v>
      </c>
      <c r="Z997" t="n">
        <v>111</v>
      </c>
      <c r="AA997" t="n">
        <v>125</v>
      </c>
      <c r="AB997" t="n">
        <v>1</v>
      </c>
      <c r="AC997" t="n">
        <v>1</v>
      </c>
      <c r="AD997" t="n">
        <v>8</v>
      </c>
      <c r="AE997" t="n">
        <v>9</v>
      </c>
      <c r="AF997" t="n">
        <v>0</v>
      </c>
      <c r="AG997" t="n">
        <v>0</v>
      </c>
      <c r="AH997" t="n">
        <v>4</v>
      </c>
      <c r="AI997" t="n">
        <v>4</v>
      </c>
      <c r="AJ997" t="n">
        <v>6</v>
      </c>
      <c r="AK997" t="n">
        <v>7</v>
      </c>
      <c r="AL997" t="n">
        <v>0</v>
      </c>
      <c r="AM997" t="n">
        <v>0</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HYPERLINK("https://creighton-primo.hosted.exlibrisgroup.com/primo-explore/search?tab=default_tab&amp;search_scope=EVERYTHING&amp;vid=01CRU&amp;lang=en_US&amp;offset=0&amp;query=any,contains,991004572229702656","Catalog Record")</f>
        <v/>
      </c>
      <c r="AT997">
        <f>HYPERLINK("http://www.worldcat.org/oclc/4036333","WorldCat Record")</f>
        <v/>
      </c>
      <c r="AU997" t="inlineStr">
        <is>
          <t>537168:eng</t>
        </is>
      </c>
      <c r="AV997" t="inlineStr">
        <is>
          <t>4036333</t>
        </is>
      </c>
      <c r="AW997" t="inlineStr">
        <is>
          <t>991004572229702656</t>
        </is>
      </c>
      <c r="AX997" t="inlineStr">
        <is>
          <t>991004572229702656</t>
        </is>
      </c>
      <c r="AY997" t="inlineStr">
        <is>
          <t>2269420460002656</t>
        </is>
      </c>
      <c r="AZ997" t="inlineStr">
        <is>
          <t>BOOK</t>
        </is>
      </c>
      <c r="BB997" t="inlineStr">
        <is>
          <t>9780877931522</t>
        </is>
      </c>
      <c r="BC997" t="inlineStr">
        <is>
          <t>32285000078567</t>
        </is>
      </c>
      <c r="BD997" t="inlineStr">
        <is>
          <t>893235663</t>
        </is>
      </c>
    </row>
    <row r="998">
      <c r="A998" t="inlineStr">
        <is>
          <t>No</t>
        </is>
      </c>
      <c r="B998" t="inlineStr">
        <is>
          <t>BT732.5 .S55</t>
        </is>
      </c>
      <c r="C998" t="inlineStr">
        <is>
          <t>0                      BT 0732500S  55</t>
        </is>
      </c>
      <c r="D998" t="inlineStr">
        <is>
          <t>Healing the hidden self / Barbara Leahy Shlemon.</t>
        </is>
      </c>
      <c r="F998" t="inlineStr">
        <is>
          <t>No</t>
        </is>
      </c>
      <c r="G998" t="inlineStr">
        <is>
          <t>1</t>
        </is>
      </c>
      <c r="H998" t="inlineStr">
        <is>
          <t>No</t>
        </is>
      </c>
      <c r="I998" t="inlineStr">
        <is>
          <t>No</t>
        </is>
      </c>
      <c r="J998" t="inlineStr">
        <is>
          <t>0</t>
        </is>
      </c>
      <c r="K998" t="inlineStr">
        <is>
          <t>Ryan, Barbara Shlemon.</t>
        </is>
      </c>
      <c r="L998" t="inlineStr">
        <is>
          <t>Notre Dame, Ind. : Ave Maria Press, c1982.</t>
        </is>
      </c>
      <c r="M998" t="inlineStr">
        <is>
          <t>1982</t>
        </is>
      </c>
      <c r="O998" t="inlineStr">
        <is>
          <t>eng</t>
        </is>
      </c>
      <c r="P998" t="inlineStr">
        <is>
          <t>inu</t>
        </is>
      </c>
      <c r="R998" t="inlineStr">
        <is>
          <t xml:space="preserve">BT </t>
        </is>
      </c>
      <c r="S998" t="n">
        <v>3</v>
      </c>
      <c r="T998" t="n">
        <v>3</v>
      </c>
      <c r="U998" t="inlineStr">
        <is>
          <t>1997-06-16</t>
        </is>
      </c>
      <c r="V998" t="inlineStr">
        <is>
          <t>1997-06-16</t>
        </is>
      </c>
      <c r="W998" t="inlineStr">
        <is>
          <t>1991-09-26</t>
        </is>
      </c>
      <c r="X998" t="inlineStr">
        <is>
          <t>1991-09-26</t>
        </is>
      </c>
      <c r="Y998" t="n">
        <v>117</v>
      </c>
      <c r="Z998" t="n">
        <v>92</v>
      </c>
      <c r="AA998" t="n">
        <v>109</v>
      </c>
      <c r="AB998" t="n">
        <v>1</v>
      </c>
      <c r="AC998" t="n">
        <v>1</v>
      </c>
      <c r="AD998" t="n">
        <v>8</v>
      </c>
      <c r="AE998" t="n">
        <v>8</v>
      </c>
      <c r="AF998" t="n">
        <v>2</v>
      </c>
      <c r="AG998" t="n">
        <v>2</v>
      </c>
      <c r="AH998" t="n">
        <v>2</v>
      </c>
      <c r="AI998" t="n">
        <v>2</v>
      </c>
      <c r="AJ998" t="n">
        <v>7</v>
      </c>
      <c r="AK998" t="n">
        <v>7</v>
      </c>
      <c r="AL998" t="n">
        <v>0</v>
      </c>
      <c r="AM998" t="n">
        <v>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HYPERLINK("https://creighton-primo.hosted.exlibrisgroup.com/primo-explore/search?tab=default_tab&amp;search_scope=EVERYTHING&amp;vid=01CRU&amp;lang=en_US&amp;offset=0&amp;query=any,contains,991000011919702656","Catalog Record")</f>
        <v/>
      </c>
      <c r="AT998">
        <f>HYPERLINK("http://www.worldcat.org/oclc/8539768","WorldCat Record")</f>
        <v/>
      </c>
      <c r="AU998" t="inlineStr">
        <is>
          <t>4161658318:eng</t>
        </is>
      </c>
      <c r="AV998" t="inlineStr">
        <is>
          <t>8539768</t>
        </is>
      </c>
      <c r="AW998" t="inlineStr">
        <is>
          <t>991000011919702656</t>
        </is>
      </c>
      <c r="AX998" t="inlineStr">
        <is>
          <t>991000011919702656</t>
        </is>
      </c>
      <c r="AY998" t="inlineStr">
        <is>
          <t>2272227980002656</t>
        </is>
      </c>
      <c r="AZ998" t="inlineStr">
        <is>
          <t>BOOK</t>
        </is>
      </c>
      <c r="BB998" t="inlineStr">
        <is>
          <t>9780877932444</t>
        </is>
      </c>
      <c r="BC998" t="inlineStr">
        <is>
          <t>32285000749209</t>
        </is>
      </c>
      <c r="BD998" t="inlineStr">
        <is>
          <t>893626154</t>
        </is>
      </c>
    </row>
    <row r="999">
      <c r="A999" t="inlineStr">
        <is>
          <t>No</t>
        </is>
      </c>
      <c r="B999" t="inlineStr">
        <is>
          <t>BT732.5 .T93 1975</t>
        </is>
      </c>
      <c r="C999" t="inlineStr">
        <is>
          <t>0                      BT 0732500T  93          1975</t>
        </is>
      </c>
      <c r="D999" t="inlineStr">
        <is>
          <t>Christotherapy : healing through enlightenment / Bernard J. Tyrrell.</t>
        </is>
      </c>
      <c r="F999" t="inlineStr">
        <is>
          <t>No</t>
        </is>
      </c>
      <c r="G999" t="inlineStr">
        <is>
          <t>1</t>
        </is>
      </c>
      <c r="H999" t="inlineStr">
        <is>
          <t>Yes</t>
        </is>
      </c>
      <c r="I999" t="inlineStr">
        <is>
          <t>No</t>
        </is>
      </c>
      <c r="J999" t="inlineStr">
        <is>
          <t>0</t>
        </is>
      </c>
      <c r="K999" t="inlineStr">
        <is>
          <t>Tyrrell, Bernard, 1933-</t>
        </is>
      </c>
      <c r="L999" t="inlineStr">
        <is>
          <t>New York : Seabury Press, [1975]</t>
        </is>
      </c>
      <c r="M999" t="inlineStr">
        <is>
          <t>1975</t>
        </is>
      </c>
      <c r="O999" t="inlineStr">
        <is>
          <t>eng</t>
        </is>
      </c>
      <c r="P999" t="inlineStr">
        <is>
          <t>nyu</t>
        </is>
      </c>
      <c r="R999" t="inlineStr">
        <is>
          <t xml:space="preserve">BT </t>
        </is>
      </c>
      <c r="S999" t="n">
        <v>4</v>
      </c>
      <c r="T999" t="n">
        <v>4</v>
      </c>
      <c r="U999" t="inlineStr">
        <is>
          <t>1996-07-24</t>
        </is>
      </c>
      <c r="V999" t="inlineStr">
        <is>
          <t>1996-07-24</t>
        </is>
      </c>
      <c r="W999" t="inlineStr">
        <is>
          <t>1991-09-26</t>
        </is>
      </c>
      <c r="X999" t="inlineStr">
        <is>
          <t>1991-09-26</t>
        </is>
      </c>
      <c r="Y999" t="n">
        <v>292</v>
      </c>
      <c r="Z999" t="n">
        <v>252</v>
      </c>
      <c r="AA999" t="n">
        <v>290</v>
      </c>
      <c r="AB999" t="n">
        <v>4</v>
      </c>
      <c r="AC999" t="n">
        <v>4</v>
      </c>
      <c r="AD999" t="n">
        <v>32</v>
      </c>
      <c r="AE999" t="n">
        <v>34</v>
      </c>
      <c r="AF999" t="n">
        <v>11</v>
      </c>
      <c r="AG999" t="n">
        <v>12</v>
      </c>
      <c r="AH999" t="n">
        <v>8</v>
      </c>
      <c r="AI999" t="n">
        <v>8</v>
      </c>
      <c r="AJ999" t="n">
        <v>25</v>
      </c>
      <c r="AK999" t="n">
        <v>26</v>
      </c>
      <c r="AL999" t="n">
        <v>1</v>
      </c>
      <c r="AM999" t="n">
        <v>1</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HYPERLINK("https://creighton-primo.hosted.exlibrisgroup.com/primo-explore/search?tab=default_tab&amp;search_scope=EVERYTHING&amp;vid=01CRU&amp;lang=en_US&amp;offset=0&amp;query=any,contains,991001763589702656","Catalog Record")</f>
        <v/>
      </c>
      <c r="AT999">
        <f>HYPERLINK("http://www.worldcat.org/oclc/1144697","WorldCat Record")</f>
        <v/>
      </c>
      <c r="AU999" t="inlineStr">
        <is>
          <t>2068309:eng</t>
        </is>
      </c>
      <c r="AV999" t="inlineStr">
        <is>
          <t>1144697</t>
        </is>
      </c>
      <c r="AW999" t="inlineStr">
        <is>
          <t>991001763589702656</t>
        </is>
      </c>
      <c r="AX999" t="inlineStr">
        <is>
          <t>991001763589702656</t>
        </is>
      </c>
      <c r="AY999" t="inlineStr">
        <is>
          <t>2263472960002656</t>
        </is>
      </c>
      <c r="AZ999" t="inlineStr">
        <is>
          <t>BOOK</t>
        </is>
      </c>
      <c r="BB999" t="inlineStr">
        <is>
          <t>9780816402786</t>
        </is>
      </c>
      <c r="BC999" t="inlineStr">
        <is>
          <t>32285000749225</t>
        </is>
      </c>
      <c r="BD999" t="inlineStr">
        <is>
          <t>893250476</t>
        </is>
      </c>
    </row>
    <row r="1000">
      <c r="A1000" t="inlineStr">
        <is>
          <t>No</t>
        </is>
      </c>
      <c r="B1000" t="inlineStr">
        <is>
          <t>BT732.7 .B35 1987</t>
        </is>
      </c>
      <c r="C1000" t="inlineStr">
        <is>
          <t>0                      BT 0732700B  35          1987</t>
        </is>
      </c>
      <c r="D1000" t="inlineStr">
        <is>
          <t>Suffering and hope : the biblical vision and the human predicament / J. Christiaan Beker.</t>
        </is>
      </c>
      <c r="F1000" t="inlineStr">
        <is>
          <t>No</t>
        </is>
      </c>
      <c r="G1000" t="inlineStr">
        <is>
          <t>1</t>
        </is>
      </c>
      <c r="H1000" t="inlineStr">
        <is>
          <t>No</t>
        </is>
      </c>
      <c r="I1000" t="inlineStr">
        <is>
          <t>No</t>
        </is>
      </c>
      <c r="J1000" t="inlineStr">
        <is>
          <t>0</t>
        </is>
      </c>
      <c r="K1000" t="inlineStr">
        <is>
          <t>Beker, Johan Christiaan, 1924-</t>
        </is>
      </c>
      <c r="L1000" t="inlineStr">
        <is>
          <t>Philadelphia : Fortress Press, c1987.</t>
        </is>
      </c>
      <c r="M1000" t="inlineStr">
        <is>
          <t>1987</t>
        </is>
      </c>
      <c r="O1000" t="inlineStr">
        <is>
          <t>eng</t>
        </is>
      </c>
      <c r="P1000" t="inlineStr">
        <is>
          <t>pau</t>
        </is>
      </c>
      <c r="R1000" t="inlineStr">
        <is>
          <t xml:space="preserve">BT </t>
        </is>
      </c>
      <c r="S1000" t="n">
        <v>9</v>
      </c>
      <c r="T1000" t="n">
        <v>9</v>
      </c>
      <c r="U1000" t="inlineStr">
        <is>
          <t>2010-04-30</t>
        </is>
      </c>
      <c r="V1000" t="inlineStr">
        <is>
          <t>2010-04-30</t>
        </is>
      </c>
      <c r="W1000" t="inlineStr">
        <is>
          <t>1991-09-26</t>
        </is>
      </c>
      <c r="X1000" t="inlineStr">
        <is>
          <t>1991-09-26</t>
        </is>
      </c>
      <c r="Y1000" t="n">
        <v>293</v>
      </c>
      <c r="Z1000" t="n">
        <v>241</v>
      </c>
      <c r="AA1000" t="n">
        <v>333</v>
      </c>
      <c r="AB1000" t="n">
        <v>2</v>
      </c>
      <c r="AC1000" t="n">
        <v>3</v>
      </c>
      <c r="AD1000" t="n">
        <v>13</v>
      </c>
      <c r="AE1000" t="n">
        <v>20</v>
      </c>
      <c r="AF1000" t="n">
        <v>4</v>
      </c>
      <c r="AG1000" t="n">
        <v>9</v>
      </c>
      <c r="AH1000" t="n">
        <v>3</v>
      </c>
      <c r="AI1000" t="n">
        <v>3</v>
      </c>
      <c r="AJ1000" t="n">
        <v>7</v>
      </c>
      <c r="AK1000" t="n">
        <v>9</v>
      </c>
      <c r="AL1000" t="n">
        <v>1</v>
      </c>
      <c r="AM1000" t="n">
        <v>2</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HYPERLINK("https://creighton-primo.hosted.exlibrisgroup.com/primo-explore/search?tab=default_tab&amp;search_scope=EVERYTHING&amp;vid=01CRU&amp;lang=en_US&amp;offset=0&amp;query=any,contains,991001044389702656","Catalog Record")</f>
        <v/>
      </c>
      <c r="AT1000">
        <f>HYPERLINK("http://www.worldcat.org/oclc/15595029","WorldCat Record")</f>
        <v/>
      </c>
      <c r="AU1000" t="inlineStr">
        <is>
          <t>889402264:eng</t>
        </is>
      </c>
      <c r="AV1000" t="inlineStr">
        <is>
          <t>15595029</t>
        </is>
      </c>
      <c r="AW1000" t="inlineStr">
        <is>
          <t>991001044389702656</t>
        </is>
      </c>
      <c r="AX1000" t="inlineStr">
        <is>
          <t>991001044389702656</t>
        </is>
      </c>
      <c r="AY1000" t="inlineStr">
        <is>
          <t>2255174110002656</t>
        </is>
      </c>
      <c r="AZ1000" t="inlineStr">
        <is>
          <t>BOOK</t>
        </is>
      </c>
      <c r="BB1000" t="inlineStr">
        <is>
          <t>9780800619992</t>
        </is>
      </c>
      <c r="BC1000" t="inlineStr">
        <is>
          <t>32285000749241</t>
        </is>
      </c>
      <c r="BD1000" t="inlineStr">
        <is>
          <t>893340116</t>
        </is>
      </c>
    </row>
    <row r="1001">
      <c r="A1001" t="inlineStr">
        <is>
          <t>No</t>
        </is>
      </c>
      <c r="B1001" t="inlineStr">
        <is>
          <t>BT732.7 .C3613 1986</t>
        </is>
      </c>
      <c r="C1001" t="inlineStr">
        <is>
          <t>0                      BT 0732700C  3613        1986</t>
        </is>
      </c>
      <c r="D1001" t="inlineStr">
        <is>
          <t>Why O Lord? : the inner meaning of suffering / Carlo Carretto ; translated by Robert R. Barr.</t>
        </is>
      </c>
      <c r="F1001" t="inlineStr">
        <is>
          <t>No</t>
        </is>
      </c>
      <c r="G1001" t="inlineStr">
        <is>
          <t>1</t>
        </is>
      </c>
      <c r="H1001" t="inlineStr">
        <is>
          <t>No</t>
        </is>
      </c>
      <c r="I1001" t="inlineStr">
        <is>
          <t>No</t>
        </is>
      </c>
      <c r="J1001" t="inlineStr">
        <is>
          <t>0</t>
        </is>
      </c>
      <c r="K1001" t="inlineStr">
        <is>
          <t>Carretto, Carlo.</t>
        </is>
      </c>
      <c r="L1001" t="inlineStr">
        <is>
          <t>Maryknoll, N.Y. : Orbis Books, c1986.</t>
        </is>
      </c>
      <c r="M1001" t="inlineStr">
        <is>
          <t>1986</t>
        </is>
      </c>
      <c r="O1001" t="inlineStr">
        <is>
          <t>eng</t>
        </is>
      </c>
      <c r="P1001" t="inlineStr">
        <is>
          <t>nyu</t>
        </is>
      </c>
      <c r="R1001" t="inlineStr">
        <is>
          <t xml:space="preserve">BT </t>
        </is>
      </c>
      <c r="S1001" t="n">
        <v>6</v>
      </c>
      <c r="T1001" t="n">
        <v>6</v>
      </c>
      <c r="U1001" t="inlineStr">
        <is>
          <t>1992-10-27</t>
        </is>
      </c>
      <c r="V1001" t="inlineStr">
        <is>
          <t>1992-10-27</t>
        </is>
      </c>
      <c r="W1001" t="inlineStr">
        <is>
          <t>1991-09-26</t>
        </is>
      </c>
      <c r="X1001" t="inlineStr">
        <is>
          <t>1991-09-26</t>
        </is>
      </c>
      <c r="Y1001" t="n">
        <v>331</v>
      </c>
      <c r="Z1001" t="n">
        <v>299</v>
      </c>
      <c r="AA1001" t="n">
        <v>305</v>
      </c>
      <c r="AB1001" t="n">
        <v>3</v>
      </c>
      <c r="AC1001" t="n">
        <v>3</v>
      </c>
      <c r="AD1001" t="n">
        <v>13</v>
      </c>
      <c r="AE1001" t="n">
        <v>13</v>
      </c>
      <c r="AF1001" t="n">
        <v>4</v>
      </c>
      <c r="AG1001" t="n">
        <v>4</v>
      </c>
      <c r="AH1001" t="n">
        <v>4</v>
      </c>
      <c r="AI1001" t="n">
        <v>4</v>
      </c>
      <c r="AJ1001" t="n">
        <v>8</v>
      </c>
      <c r="AK1001" t="n">
        <v>8</v>
      </c>
      <c r="AL1001" t="n">
        <v>1</v>
      </c>
      <c r="AM1001" t="n">
        <v>1</v>
      </c>
      <c r="AN1001" t="n">
        <v>0</v>
      </c>
      <c r="AO1001" t="n">
        <v>0</v>
      </c>
      <c r="AP1001" t="inlineStr">
        <is>
          <t>No</t>
        </is>
      </c>
      <c r="AQ1001" t="inlineStr">
        <is>
          <t>Yes</t>
        </is>
      </c>
      <c r="AR1001">
        <f>HYPERLINK("http://catalog.hathitrust.org/Record/006017108","HathiTrust Record")</f>
        <v/>
      </c>
      <c r="AS1001">
        <f>HYPERLINK("https://creighton-primo.hosted.exlibrisgroup.com/primo-explore/search?tab=default_tab&amp;search_scope=EVERYTHING&amp;vid=01CRU&amp;lang=en_US&amp;offset=0&amp;query=any,contains,991000769889702656","Catalog Record")</f>
        <v/>
      </c>
      <c r="AT1001">
        <f>HYPERLINK("http://www.worldcat.org/oclc/13010302","WorldCat Record")</f>
        <v/>
      </c>
      <c r="AU1001" t="inlineStr">
        <is>
          <t>1806318595:eng</t>
        </is>
      </c>
      <c r="AV1001" t="inlineStr">
        <is>
          <t>13010302</t>
        </is>
      </c>
      <c r="AW1001" t="inlineStr">
        <is>
          <t>991000769889702656</t>
        </is>
      </c>
      <c r="AX1001" t="inlineStr">
        <is>
          <t>991000769889702656</t>
        </is>
      </c>
      <c r="AY1001" t="inlineStr">
        <is>
          <t>2261065890002656</t>
        </is>
      </c>
      <c r="AZ1001" t="inlineStr">
        <is>
          <t>BOOK</t>
        </is>
      </c>
      <c r="BB1001" t="inlineStr">
        <is>
          <t>9780883442227</t>
        </is>
      </c>
      <c r="BC1001" t="inlineStr">
        <is>
          <t>32285000749274</t>
        </is>
      </c>
      <c r="BD1001" t="inlineStr">
        <is>
          <t>893714887</t>
        </is>
      </c>
    </row>
    <row r="1002">
      <c r="A1002" t="inlineStr">
        <is>
          <t>No</t>
        </is>
      </c>
      <c r="B1002" t="inlineStr">
        <is>
          <t>BT732.7 .F44 1982</t>
        </is>
      </c>
      <c r="C1002" t="inlineStr">
        <is>
          <t>0                      BT 0732700F  44          1982</t>
        </is>
      </c>
      <c r="D1002" t="inlineStr">
        <is>
          <t>The Christian search for meaning in suffering / Paul A. Feider.</t>
        </is>
      </c>
      <c r="F1002" t="inlineStr">
        <is>
          <t>No</t>
        </is>
      </c>
      <c r="G1002" t="inlineStr">
        <is>
          <t>1</t>
        </is>
      </c>
      <c r="H1002" t="inlineStr">
        <is>
          <t>No</t>
        </is>
      </c>
      <c r="I1002" t="inlineStr">
        <is>
          <t>No</t>
        </is>
      </c>
      <c r="J1002" t="inlineStr">
        <is>
          <t>0</t>
        </is>
      </c>
      <c r="K1002" t="inlineStr">
        <is>
          <t>Feider, Paul A., 1951-</t>
        </is>
      </c>
      <c r="L1002" t="inlineStr">
        <is>
          <t>Mystic, CT : Twenty-Third Publications, 1982, c1980.</t>
        </is>
      </c>
      <c r="M1002" t="inlineStr">
        <is>
          <t>1982</t>
        </is>
      </c>
      <c r="O1002" t="inlineStr">
        <is>
          <t>eng</t>
        </is>
      </c>
      <c r="P1002" t="inlineStr">
        <is>
          <t>ctu</t>
        </is>
      </c>
      <c r="R1002" t="inlineStr">
        <is>
          <t xml:space="preserve">BT </t>
        </is>
      </c>
      <c r="S1002" t="n">
        <v>7</v>
      </c>
      <c r="T1002" t="n">
        <v>7</v>
      </c>
      <c r="U1002" t="inlineStr">
        <is>
          <t>2001-03-06</t>
        </is>
      </c>
      <c r="V1002" t="inlineStr">
        <is>
          <t>2001-03-06</t>
        </is>
      </c>
      <c r="W1002" t="inlineStr">
        <is>
          <t>1990-02-15</t>
        </is>
      </c>
      <c r="X1002" t="inlineStr">
        <is>
          <t>1990-02-15</t>
        </is>
      </c>
      <c r="Y1002" t="n">
        <v>39</v>
      </c>
      <c r="Z1002" t="n">
        <v>36</v>
      </c>
      <c r="AA1002" t="n">
        <v>38</v>
      </c>
      <c r="AB1002" t="n">
        <v>1</v>
      </c>
      <c r="AC1002" t="n">
        <v>1</v>
      </c>
      <c r="AD1002" t="n">
        <v>4</v>
      </c>
      <c r="AE1002" t="n">
        <v>4</v>
      </c>
      <c r="AF1002" t="n">
        <v>0</v>
      </c>
      <c r="AG1002" t="n">
        <v>0</v>
      </c>
      <c r="AH1002" t="n">
        <v>1</v>
      </c>
      <c r="AI1002" t="n">
        <v>1</v>
      </c>
      <c r="AJ1002" t="n">
        <v>3</v>
      </c>
      <c r="AK1002" t="n">
        <v>3</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HYPERLINK("https://creighton-primo.hosted.exlibrisgroup.com/primo-explore/search?tab=default_tab&amp;search_scope=EVERYTHING&amp;vid=01CRU&amp;lang=en_US&amp;offset=0&amp;query=any,contains,991000207589702656","Catalog Record")</f>
        <v/>
      </c>
      <c r="AT1002">
        <f>HYPERLINK("http://www.worldcat.org/oclc/9512612","WorldCat Record")</f>
        <v/>
      </c>
      <c r="AU1002" t="inlineStr">
        <is>
          <t>43205172:eng</t>
        </is>
      </c>
      <c r="AV1002" t="inlineStr">
        <is>
          <t>9512612</t>
        </is>
      </c>
      <c r="AW1002" t="inlineStr">
        <is>
          <t>991000207589702656</t>
        </is>
      </c>
      <c r="AX1002" t="inlineStr">
        <is>
          <t>991000207589702656</t>
        </is>
      </c>
      <c r="AY1002" t="inlineStr">
        <is>
          <t>2265372040002656</t>
        </is>
      </c>
      <c r="AZ1002" t="inlineStr">
        <is>
          <t>BOOK</t>
        </is>
      </c>
      <c r="BB1002" t="inlineStr">
        <is>
          <t>9780896221451</t>
        </is>
      </c>
      <c r="BC1002" t="inlineStr">
        <is>
          <t>32285000053966</t>
        </is>
      </c>
      <c r="BD1002" t="inlineStr">
        <is>
          <t>893790342</t>
        </is>
      </c>
    </row>
    <row r="1003">
      <c r="A1003" t="inlineStr">
        <is>
          <t>No</t>
        </is>
      </c>
      <c r="B1003" t="inlineStr">
        <is>
          <t>BT732.7 .O26</t>
        </is>
      </c>
      <c r="C1003" t="inlineStr">
        <is>
          <t>0                      BT 0732700O  26</t>
        </is>
      </c>
      <c r="D1003" t="inlineStr">
        <is>
          <t>What a modern Catholic believes about suffering and evil / by Timothy O'Connell.</t>
        </is>
      </c>
      <c r="F1003" t="inlineStr">
        <is>
          <t>No</t>
        </is>
      </c>
      <c r="G1003" t="inlineStr">
        <is>
          <t>1</t>
        </is>
      </c>
      <c r="H1003" t="inlineStr">
        <is>
          <t>No</t>
        </is>
      </c>
      <c r="I1003" t="inlineStr">
        <is>
          <t>No</t>
        </is>
      </c>
      <c r="J1003" t="inlineStr">
        <is>
          <t>0</t>
        </is>
      </c>
      <c r="K1003" t="inlineStr">
        <is>
          <t>O'Connell, Timothy E.</t>
        </is>
      </c>
      <c r="L1003" t="inlineStr">
        <is>
          <t>Chicago, Thomas More Press [1972]</t>
        </is>
      </c>
      <c r="M1003" t="inlineStr">
        <is>
          <t>1972</t>
        </is>
      </c>
      <c r="O1003" t="inlineStr">
        <is>
          <t>eng</t>
        </is>
      </c>
      <c r="P1003" t="inlineStr">
        <is>
          <t>___</t>
        </is>
      </c>
      <c r="R1003" t="inlineStr">
        <is>
          <t xml:space="preserve">BT </t>
        </is>
      </c>
      <c r="S1003" t="n">
        <v>4</v>
      </c>
      <c r="T1003" t="n">
        <v>4</v>
      </c>
      <c r="U1003" t="inlineStr">
        <is>
          <t>1998-03-20</t>
        </is>
      </c>
      <c r="V1003" t="inlineStr">
        <is>
          <t>1998-03-20</t>
        </is>
      </c>
      <c r="W1003" t="inlineStr">
        <is>
          <t>1990-02-15</t>
        </is>
      </c>
      <c r="X1003" t="inlineStr">
        <is>
          <t>1990-02-15</t>
        </is>
      </c>
      <c r="Y1003" t="n">
        <v>137</v>
      </c>
      <c r="Z1003" t="n">
        <v>121</v>
      </c>
      <c r="AA1003" t="n">
        <v>121</v>
      </c>
      <c r="AB1003" t="n">
        <v>2</v>
      </c>
      <c r="AC1003" t="n">
        <v>2</v>
      </c>
      <c r="AD1003" t="n">
        <v>18</v>
      </c>
      <c r="AE1003" t="n">
        <v>18</v>
      </c>
      <c r="AF1003" t="n">
        <v>3</v>
      </c>
      <c r="AG1003" t="n">
        <v>3</v>
      </c>
      <c r="AH1003" t="n">
        <v>4</v>
      </c>
      <c r="AI1003" t="n">
        <v>4</v>
      </c>
      <c r="AJ1003" t="n">
        <v>15</v>
      </c>
      <c r="AK1003" t="n">
        <v>15</v>
      </c>
      <c r="AL1003" t="n">
        <v>1</v>
      </c>
      <c r="AM1003" t="n">
        <v>1</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HYPERLINK("https://creighton-primo.hosted.exlibrisgroup.com/primo-explore/search?tab=default_tab&amp;search_scope=EVERYTHING&amp;vid=01CRU&amp;lang=en_US&amp;offset=0&amp;query=any,contains,991002835859702656","Catalog Record")</f>
        <v/>
      </c>
      <c r="AT1003">
        <f>HYPERLINK("http://www.worldcat.org/oclc/479890","WorldCat Record")</f>
        <v/>
      </c>
      <c r="AU1003" t="inlineStr">
        <is>
          <t>9848498395:eng</t>
        </is>
      </c>
      <c r="AV1003" t="inlineStr">
        <is>
          <t>479890</t>
        </is>
      </c>
      <c r="AW1003" t="inlineStr">
        <is>
          <t>991002835859702656</t>
        </is>
      </c>
      <c r="AX1003" t="inlineStr">
        <is>
          <t>991002835859702656</t>
        </is>
      </c>
      <c r="AY1003" t="inlineStr">
        <is>
          <t>2263752260002656</t>
        </is>
      </c>
      <c r="AZ1003" t="inlineStr">
        <is>
          <t>BOOK</t>
        </is>
      </c>
      <c r="BC1003" t="inlineStr">
        <is>
          <t>32285000053974</t>
        </is>
      </c>
      <c r="BD1003" t="inlineStr">
        <is>
          <t>893792996</t>
        </is>
      </c>
    </row>
    <row r="1004">
      <c r="A1004" t="inlineStr">
        <is>
          <t>No</t>
        </is>
      </c>
      <c r="B1004" t="inlineStr">
        <is>
          <t>BT732.7 .P46 1999</t>
        </is>
      </c>
      <c r="C1004" t="inlineStr">
        <is>
          <t>0                      BT 0732700P  46          1999</t>
        </is>
      </c>
      <c r="D1004" t="inlineStr">
        <is>
          <t>Why, Lord? : suffering and evil in Black theology.</t>
        </is>
      </c>
      <c r="F1004" t="inlineStr">
        <is>
          <t>No</t>
        </is>
      </c>
      <c r="G1004" t="inlineStr">
        <is>
          <t>1</t>
        </is>
      </c>
      <c r="H1004" t="inlineStr">
        <is>
          <t>No</t>
        </is>
      </c>
      <c r="I1004" t="inlineStr">
        <is>
          <t>No</t>
        </is>
      </c>
      <c r="J1004" t="inlineStr">
        <is>
          <t>0</t>
        </is>
      </c>
      <c r="K1004" t="inlineStr">
        <is>
          <t>Pinn, Anthony B.</t>
        </is>
      </c>
      <c r="L1004" t="inlineStr">
        <is>
          <t>New York : Continuum, 1999.</t>
        </is>
      </c>
      <c r="M1004" t="inlineStr">
        <is>
          <t>1999</t>
        </is>
      </c>
      <c r="O1004" t="inlineStr">
        <is>
          <t>eng</t>
        </is>
      </c>
      <c r="P1004" t="inlineStr">
        <is>
          <t>enk</t>
        </is>
      </c>
      <c r="R1004" t="inlineStr">
        <is>
          <t xml:space="preserve">BT </t>
        </is>
      </c>
      <c r="S1004" t="n">
        <v>3</v>
      </c>
      <c r="T1004" t="n">
        <v>3</v>
      </c>
      <c r="U1004" t="inlineStr">
        <is>
          <t>2002-08-06</t>
        </is>
      </c>
      <c r="V1004" t="inlineStr">
        <is>
          <t>2002-08-06</t>
        </is>
      </c>
      <c r="W1004" t="inlineStr">
        <is>
          <t>2002-08-05</t>
        </is>
      </c>
      <c r="X1004" t="inlineStr">
        <is>
          <t>2002-08-05</t>
        </is>
      </c>
      <c r="Y1004" t="n">
        <v>41</v>
      </c>
      <c r="Z1004" t="n">
        <v>38</v>
      </c>
      <c r="AA1004" t="n">
        <v>450</v>
      </c>
      <c r="AB1004" t="n">
        <v>1</v>
      </c>
      <c r="AC1004" t="n">
        <v>3</v>
      </c>
      <c r="AD1004" t="n">
        <v>2</v>
      </c>
      <c r="AE1004" t="n">
        <v>31</v>
      </c>
      <c r="AF1004" t="n">
        <v>2</v>
      </c>
      <c r="AG1004" t="n">
        <v>13</v>
      </c>
      <c r="AH1004" t="n">
        <v>0</v>
      </c>
      <c r="AI1004" t="n">
        <v>6</v>
      </c>
      <c r="AJ1004" t="n">
        <v>0</v>
      </c>
      <c r="AK1004" t="n">
        <v>21</v>
      </c>
      <c r="AL1004" t="n">
        <v>0</v>
      </c>
      <c r="AM1004" t="n">
        <v>2</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HYPERLINK("https://creighton-primo.hosted.exlibrisgroup.com/primo-explore/search?tab=default_tab&amp;search_scope=EVERYTHING&amp;vid=01CRU&amp;lang=en_US&amp;offset=0&amp;query=any,contains,991003837519702656","Catalog Record")</f>
        <v/>
      </c>
      <c r="AT1004">
        <f>HYPERLINK("http://www.worldcat.org/oclc/42579725","WorldCat Record")</f>
        <v/>
      </c>
      <c r="AU1004" t="inlineStr">
        <is>
          <t>836977631:eng</t>
        </is>
      </c>
      <c r="AV1004" t="inlineStr">
        <is>
          <t>42579725</t>
        </is>
      </c>
      <c r="AW1004" t="inlineStr">
        <is>
          <t>991003837519702656</t>
        </is>
      </c>
      <c r="AX1004" t="inlineStr">
        <is>
          <t>991003837519702656</t>
        </is>
      </c>
      <c r="AY1004" t="inlineStr">
        <is>
          <t>2263835980002656</t>
        </is>
      </c>
      <c r="AZ1004" t="inlineStr">
        <is>
          <t>BOOK</t>
        </is>
      </c>
      <c r="BB1004" t="inlineStr">
        <is>
          <t>9780826412089</t>
        </is>
      </c>
      <c r="BC1004" t="inlineStr">
        <is>
          <t>32285004641857</t>
        </is>
      </c>
      <c r="BD1004" t="inlineStr">
        <is>
          <t>893410754</t>
        </is>
      </c>
    </row>
    <row r="1005">
      <c r="A1005" t="inlineStr">
        <is>
          <t>No</t>
        </is>
      </c>
      <c r="B1005" t="inlineStr">
        <is>
          <t>BT732.7 .P78 1983</t>
        </is>
      </c>
      <c r="C1005" t="inlineStr">
        <is>
          <t>0                      BT 0732700P  78          1983</t>
        </is>
      </c>
      <c r="D1005" t="inlineStr">
        <is>
          <t>Suffering : issues of emotional living in an age of stress for clergy and religious : the Ninth Psychotheological Symposium / [papers by] John A. Struzzo ... [et al.] ; edited by Richard J. Gilmartin.</t>
        </is>
      </c>
      <c r="F1005" t="inlineStr">
        <is>
          <t>No</t>
        </is>
      </c>
      <c r="G1005" t="inlineStr">
        <is>
          <t>1</t>
        </is>
      </c>
      <c r="H1005" t="inlineStr">
        <is>
          <t>No</t>
        </is>
      </c>
      <c r="I1005" t="inlineStr">
        <is>
          <t>No</t>
        </is>
      </c>
      <c r="J1005" t="inlineStr">
        <is>
          <t>0</t>
        </is>
      </c>
      <c r="K1005" t="inlineStr">
        <is>
          <t>Psychotheological Symposium (9th : 1983 : Fontbonne Academy)</t>
        </is>
      </c>
      <c r="L1005" t="inlineStr">
        <is>
          <t>Whitinsville, Mass. : Affirmation Books, [c1984]</t>
        </is>
      </c>
      <c r="M1005" t="inlineStr">
        <is>
          <t>1984</t>
        </is>
      </c>
      <c r="N1005" t="inlineStr">
        <is>
          <t>[1st ed.].</t>
        </is>
      </c>
      <c r="O1005" t="inlineStr">
        <is>
          <t>eng</t>
        </is>
      </c>
      <c r="P1005" t="inlineStr">
        <is>
          <t>mau</t>
        </is>
      </c>
      <c r="R1005" t="inlineStr">
        <is>
          <t xml:space="preserve">BT </t>
        </is>
      </c>
      <c r="S1005" t="n">
        <v>1</v>
      </c>
      <c r="T1005" t="n">
        <v>1</v>
      </c>
      <c r="U1005" t="inlineStr">
        <is>
          <t>1992-10-13</t>
        </is>
      </c>
      <c r="V1005" t="inlineStr">
        <is>
          <t>1992-10-13</t>
        </is>
      </c>
      <c r="W1005" t="inlineStr">
        <is>
          <t>1991-09-26</t>
        </is>
      </c>
      <c r="X1005" t="inlineStr">
        <is>
          <t>1991-09-26</t>
        </is>
      </c>
      <c r="Y1005" t="n">
        <v>89</v>
      </c>
      <c r="Z1005" t="n">
        <v>78</v>
      </c>
      <c r="AA1005" t="n">
        <v>78</v>
      </c>
      <c r="AB1005" t="n">
        <v>2</v>
      </c>
      <c r="AC1005" t="n">
        <v>2</v>
      </c>
      <c r="AD1005" t="n">
        <v>6</v>
      </c>
      <c r="AE1005" t="n">
        <v>6</v>
      </c>
      <c r="AF1005" t="n">
        <v>0</v>
      </c>
      <c r="AG1005" t="n">
        <v>0</v>
      </c>
      <c r="AH1005" t="n">
        <v>1</v>
      </c>
      <c r="AI1005" t="n">
        <v>1</v>
      </c>
      <c r="AJ1005" t="n">
        <v>5</v>
      </c>
      <c r="AK1005" t="n">
        <v>5</v>
      </c>
      <c r="AL1005" t="n">
        <v>0</v>
      </c>
      <c r="AM1005" t="n">
        <v>0</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HYPERLINK("https://creighton-primo.hosted.exlibrisgroup.com/primo-explore/search?tab=default_tab&amp;search_scope=EVERYTHING&amp;vid=01CRU&amp;lang=en_US&amp;offset=0&amp;query=any,contains,991000434179702656","Catalog Record")</f>
        <v/>
      </c>
      <c r="AT1005">
        <f>HYPERLINK("http://www.worldcat.org/oclc/10780738","WorldCat Record")</f>
        <v/>
      </c>
      <c r="AU1005" t="inlineStr">
        <is>
          <t>9827379183:eng</t>
        </is>
      </c>
      <c r="AV1005" t="inlineStr">
        <is>
          <t>10780738</t>
        </is>
      </c>
      <c r="AW1005" t="inlineStr">
        <is>
          <t>991000434179702656</t>
        </is>
      </c>
      <c r="AX1005" t="inlineStr">
        <is>
          <t>991000434179702656</t>
        </is>
      </c>
      <c r="AY1005" t="inlineStr">
        <is>
          <t>2255361030002656</t>
        </is>
      </c>
      <c r="AZ1005" t="inlineStr">
        <is>
          <t>BOOK</t>
        </is>
      </c>
      <c r="BB1005" t="inlineStr">
        <is>
          <t>9780895710208</t>
        </is>
      </c>
      <c r="BC1005" t="inlineStr">
        <is>
          <t>32285000749324</t>
        </is>
      </c>
      <c r="BD1005" t="inlineStr">
        <is>
          <t>893314917</t>
        </is>
      </c>
    </row>
    <row r="1006">
      <c r="A1006" t="inlineStr">
        <is>
          <t>No</t>
        </is>
      </c>
      <c r="B1006" t="inlineStr">
        <is>
          <t>BT732.7 .S83 1990</t>
        </is>
      </c>
      <c r="C1006" t="inlineStr">
        <is>
          <t>0                      BT 0732700S  83          1990</t>
        </is>
      </c>
      <c r="D1006" t="inlineStr">
        <is>
          <t>Suffering and healing in our day / Francis A. Eigo, editor.</t>
        </is>
      </c>
      <c r="F1006" t="inlineStr">
        <is>
          <t>No</t>
        </is>
      </c>
      <c r="G1006" t="inlineStr">
        <is>
          <t>1</t>
        </is>
      </c>
      <c r="H1006" t="inlineStr">
        <is>
          <t>No</t>
        </is>
      </c>
      <c r="I1006" t="inlineStr">
        <is>
          <t>No</t>
        </is>
      </c>
      <c r="J1006" t="inlineStr">
        <is>
          <t>0</t>
        </is>
      </c>
      <c r="L1006" t="inlineStr">
        <is>
          <t>Villanova, Pa. : Villanova University Press, c1990.</t>
        </is>
      </c>
      <c r="M1006" t="inlineStr">
        <is>
          <t>1990</t>
        </is>
      </c>
      <c r="O1006" t="inlineStr">
        <is>
          <t>eng</t>
        </is>
      </c>
      <c r="P1006" t="inlineStr">
        <is>
          <t>pau</t>
        </is>
      </c>
      <c r="Q1006" t="inlineStr">
        <is>
          <t>Proceedings of the Theology Institute of Villanova University ; v. 22</t>
        </is>
      </c>
      <c r="R1006" t="inlineStr">
        <is>
          <t xml:space="preserve">BT </t>
        </is>
      </c>
      <c r="S1006" t="n">
        <v>9</v>
      </c>
      <c r="T1006" t="n">
        <v>9</v>
      </c>
      <c r="U1006" t="inlineStr">
        <is>
          <t>2002-11-11</t>
        </is>
      </c>
      <c r="V1006" t="inlineStr">
        <is>
          <t>2002-11-11</t>
        </is>
      </c>
      <c r="W1006" t="inlineStr">
        <is>
          <t>1992-10-14</t>
        </is>
      </c>
      <c r="X1006" t="inlineStr">
        <is>
          <t>1992-10-14</t>
        </is>
      </c>
      <c r="Y1006" t="n">
        <v>94</v>
      </c>
      <c r="Z1006" t="n">
        <v>90</v>
      </c>
      <c r="AA1006" t="n">
        <v>90</v>
      </c>
      <c r="AB1006" t="n">
        <v>1</v>
      </c>
      <c r="AC1006" t="n">
        <v>1</v>
      </c>
      <c r="AD1006" t="n">
        <v>11</v>
      </c>
      <c r="AE1006" t="n">
        <v>11</v>
      </c>
      <c r="AF1006" t="n">
        <v>3</v>
      </c>
      <c r="AG1006" t="n">
        <v>3</v>
      </c>
      <c r="AH1006" t="n">
        <v>4</v>
      </c>
      <c r="AI1006" t="n">
        <v>4</v>
      </c>
      <c r="AJ1006" t="n">
        <v>7</v>
      </c>
      <c r="AK1006" t="n">
        <v>7</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HYPERLINK("https://creighton-primo.hosted.exlibrisgroup.com/primo-explore/search?tab=default_tab&amp;search_scope=EVERYTHING&amp;vid=01CRU&amp;lang=en_US&amp;offset=0&amp;query=any,contains,991001633489702656","Catalog Record")</f>
        <v/>
      </c>
      <c r="AT1006">
        <f>HYPERLINK("http://www.worldcat.org/oclc/20933155","WorldCat Record")</f>
        <v/>
      </c>
      <c r="AU1006" t="inlineStr">
        <is>
          <t>22554692:eng</t>
        </is>
      </c>
      <c r="AV1006" t="inlineStr">
        <is>
          <t>20933155</t>
        </is>
      </c>
      <c r="AW1006" t="inlineStr">
        <is>
          <t>991001633489702656</t>
        </is>
      </c>
      <c r="AX1006" t="inlineStr">
        <is>
          <t>991001633489702656</t>
        </is>
      </c>
      <c r="AY1006" t="inlineStr">
        <is>
          <t>2262827940002656</t>
        </is>
      </c>
      <c r="AZ1006" t="inlineStr">
        <is>
          <t>BOOK</t>
        </is>
      </c>
      <c r="BB1006" t="inlineStr">
        <is>
          <t>9780877230564</t>
        </is>
      </c>
      <c r="BC1006" t="inlineStr">
        <is>
          <t>32285001317857</t>
        </is>
      </c>
      <c r="BD1006" t="inlineStr">
        <is>
          <t>893426719</t>
        </is>
      </c>
    </row>
    <row r="1007">
      <c r="A1007" t="inlineStr">
        <is>
          <t>No</t>
        </is>
      </c>
      <c r="B1007" t="inlineStr">
        <is>
          <t>BT732.7 .T6813 1983</t>
        </is>
      </c>
      <c r="C1007" t="inlineStr">
        <is>
          <t>0                      BT 0732700T  6813        1983</t>
        </is>
      </c>
      <c r="D1007" t="inlineStr">
        <is>
          <t>Creative suffering / Paul Tournier.</t>
        </is>
      </c>
      <c r="F1007" t="inlineStr">
        <is>
          <t>No</t>
        </is>
      </c>
      <c r="G1007" t="inlineStr">
        <is>
          <t>1</t>
        </is>
      </c>
      <c r="H1007" t="inlineStr">
        <is>
          <t>No</t>
        </is>
      </c>
      <c r="I1007" t="inlineStr">
        <is>
          <t>No</t>
        </is>
      </c>
      <c r="J1007" t="inlineStr">
        <is>
          <t>0</t>
        </is>
      </c>
      <c r="K1007" t="inlineStr">
        <is>
          <t>Tournier, Paul.</t>
        </is>
      </c>
      <c r="L1007" t="inlineStr">
        <is>
          <t>San Francisco : Harper &amp; Row, [1983] c1982.</t>
        </is>
      </c>
      <c r="M1007" t="inlineStr">
        <is>
          <t>1983</t>
        </is>
      </c>
      <c r="N1007" t="inlineStr">
        <is>
          <t>1st U.S. ed.</t>
        </is>
      </c>
      <c r="O1007" t="inlineStr">
        <is>
          <t>eng</t>
        </is>
      </c>
      <c r="P1007" t="inlineStr">
        <is>
          <t>cau</t>
        </is>
      </c>
      <c r="R1007" t="inlineStr">
        <is>
          <t xml:space="preserve">BT </t>
        </is>
      </c>
      <c r="S1007" t="n">
        <v>9</v>
      </c>
      <c r="T1007" t="n">
        <v>9</v>
      </c>
      <c r="U1007" t="inlineStr">
        <is>
          <t>1999-03-23</t>
        </is>
      </c>
      <c r="V1007" t="inlineStr">
        <is>
          <t>1999-03-23</t>
        </is>
      </c>
      <c r="W1007" t="inlineStr">
        <is>
          <t>1992-06-09</t>
        </is>
      </c>
      <c r="X1007" t="inlineStr">
        <is>
          <t>1992-06-09</t>
        </is>
      </c>
      <c r="Y1007" t="n">
        <v>306</v>
      </c>
      <c r="Z1007" t="n">
        <v>285</v>
      </c>
      <c r="AA1007" t="n">
        <v>320</v>
      </c>
      <c r="AB1007" t="n">
        <v>3</v>
      </c>
      <c r="AC1007" t="n">
        <v>3</v>
      </c>
      <c r="AD1007" t="n">
        <v>15</v>
      </c>
      <c r="AE1007" t="n">
        <v>16</v>
      </c>
      <c r="AF1007" t="n">
        <v>7</v>
      </c>
      <c r="AG1007" t="n">
        <v>7</v>
      </c>
      <c r="AH1007" t="n">
        <v>5</v>
      </c>
      <c r="AI1007" t="n">
        <v>5</v>
      </c>
      <c r="AJ1007" t="n">
        <v>7</v>
      </c>
      <c r="AK1007" t="n">
        <v>8</v>
      </c>
      <c r="AL1007" t="n">
        <v>1</v>
      </c>
      <c r="AM1007" t="n">
        <v>1</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HYPERLINK("https://creighton-primo.hosted.exlibrisgroup.com/primo-explore/search?tab=default_tab&amp;search_scope=EVERYTHING&amp;vid=01CRU&amp;lang=en_US&amp;offset=0&amp;query=any,contains,991000169519702656","Catalog Record")</f>
        <v/>
      </c>
      <c r="AT1007">
        <f>HYPERLINK("http://www.worldcat.org/oclc/9323008","WorldCat Record")</f>
        <v/>
      </c>
      <c r="AU1007" t="inlineStr">
        <is>
          <t>4915552077:eng</t>
        </is>
      </c>
      <c r="AV1007" t="inlineStr">
        <is>
          <t>9323008</t>
        </is>
      </c>
      <c r="AW1007" t="inlineStr">
        <is>
          <t>991000169519702656</t>
        </is>
      </c>
      <c r="AX1007" t="inlineStr">
        <is>
          <t>991000169519702656</t>
        </is>
      </c>
      <c r="AY1007" t="inlineStr">
        <is>
          <t>2257852790002656</t>
        </is>
      </c>
      <c r="AZ1007" t="inlineStr">
        <is>
          <t>BOOK</t>
        </is>
      </c>
      <c r="BB1007" t="inlineStr">
        <is>
          <t>9780060682965</t>
        </is>
      </c>
      <c r="BC1007" t="inlineStr">
        <is>
          <t>32285001074391</t>
        </is>
      </c>
      <c r="BD1007" t="inlineStr">
        <is>
          <t>893413146</t>
        </is>
      </c>
    </row>
    <row r="1008">
      <c r="A1008" t="inlineStr">
        <is>
          <t>No</t>
        </is>
      </c>
      <c r="B1008" t="inlineStr">
        <is>
          <t>BT734.2 .B36 1997</t>
        </is>
      </c>
      <c r="C1008" t="inlineStr">
        <is>
          <t>0                      BT 0734200B  36          1997</t>
        </is>
      </c>
      <c r="D1008" t="inlineStr">
        <is>
          <t>Our racist legacy : will the church resolve the conflict? / by Ivan A. Beals.</t>
        </is>
      </c>
      <c r="F1008" t="inlineStr">
        <is>
          <t>No</t>
        </is>
      </c>
      <c r="G1008" t="inlineStr">
        <is>
          <t>1</t>
        </is>
      </c>
      <c r="H1008" t="inlineStr">
        <is>
          <t>No</t>
        </is>
      </c>
      <c r="I1008" t="inlineStr">
        <is>
          <t>No</t>
        </is>
      </c>
      <c r="J1008" t="inlineStr">
        <is>
          <t>0</t>
        </is>
      </c>
      <c r="K1008" t="inlineStr">
        <is>
          <t>Beals, Ivan A.</t>
        </is>
      </c>
      <c r="L1008" t="inlineStr">
        <is>
          <t>Notre Dame, Ind., U.S.A. : Cross Cultural Publications, c1997.</t>
        </is>
      </c>
      <c r="M1008" t="inlineStr">
        <is>
          <t>1997</t>
        </is>
      </c>
      <c r="O1008" t="inlineStr">
        <is>
          <t>eng</t>
        </is>
      </c>
      <c r="P1008" t="inlineStr">
        <is>
          <t>inu</t>
        </is>
      </c>
      <c r="Q1008" t="inlineStr">
        <is>
          <t>The church and the world series ; v. 9</t>
        </is>
      </c>
      <c r="R1008" t="inlineStr">
        <is>
          <t xml:space="preserve">BT </t>
        </is>
      </c>
      <c r="S1008" t="n">
        <v>7</v>
      </c>
      <c r="T1008" t="n">
        <v>7</v>
      </c>
      <c r="U1008" t="inlineStr">
        <is>
          <t>2008-03-12</t>
        </is>
      </c>
      <c r="V1008" t="inlineStr">
        <is>
          <t>2008-03-12</t>
        </is>
      </c>
      <c r="W1008" t="inlineStr">
        <is>
          <t>1998-03-10</t>
        </is>
      </c>
      <c r="X1008" t="inlineStr">
        <is>
          <t>1998-03-10</t>
        </is>
      </c>
      <c r="Y1008" t="n">
        <v>201</v>
      </c>
      <c r="Z1008" t="n">
        <v>194</v>
      </c>
      <c r="AA1008" t="n">
        <v>195</v>
      </c>
      <c r="AB1008" t="n">
        <v>1</v>
      </c>
      <c r="AC1008" t="n">
        <v>1</v>
      </c>
      <c r="AD1008" t="n">
        <v>11</v>
      </c>
      <c r="AE1008" t="n">
        <v>11</v>
      </c>
      <c r="AF1008" t="n">
        <v>5</v>
      </c>
      <c r="AG1008" t="n">
        <v>5</v>
      </c>
      <c r="AH1008" t="n">
        <v>2</v>
      </c>
      <c r="AI1008" t="n">
        <v>2</v>
      </c>
      <c r="AJ1008" t="n">
        <v>9</v>
      </c>
      <c r="AK1008" t="n">
        <v>9</v>
      </c>
      <c r="AL1008" t="n">
        <v>0</v>
      </c>
      <c r="AM1008" t="n">
        <v>0</v>
      </c>
      <c r="AN1008" t="n">
        <v>0</v>
      </c>
      <c r="AO1008" t="n">
        <v>0</v>
      </c>
      <c r="AP1008" t="inlineStr">
        <is>
          <t>No</t>
        </is>
      </c>
      <c r="AQ1008" t="inlineStr">
        <is>
          <t>Yes</t>
        </is>
      </c>
      <c r="AR1008">
        <f>HYPERLINK("http://catalog.hathitrust.org/Record/009997836","HathiTrust Record")</f>
        <v/>
      </c>
      <c r="AS1008">
        <f>HYPERLINK("https://creighton-primo.hosted.exlibrisgroup.com/primo-explore/search?tab=default_tab&amp;search_scope=EVERYTHING&amp;vid=01CRU&amp;lang=en_US&amp;offset=0&amp;query=any,contains,991002749559702656","Catalog Record")</f>
        <v/>
      </c>
      <c r="AT1008">
        <f>HYPERLINK("http://www.worldcat.org/oclc/36081184","WorldCat Record")</f>
        <v/>
      </c>
      <c r="AU1008" t="inlineStr">
        <is>
          <t>477214115:eng</t>
        </is>
      </c>
      <c r="AV1008" t="inlineStr">
        <is>
          <t>36081184</t>
        </is>
      </c>
      <c r="AW1008" t="inlineStr">
        <is>
          <t>991002749559702656</t>
        </is>
      </c>
      <c r="AX1008" t="inlineStr">
        <is>
          <t>991002749559702656</t>
        </is>
      </c>
      <c r="AY1008" t="inlineStr">
        <is>
          <t>2265409000002656</t>
        </is>
      </c>
      <c r="AZ1008" t="inlineStr">
        <is>
          <t>BOOK</t>
        </is>
      </c>
      <c r="BB1008" t="inlineStr">
        <is>
          <t>9780940121362</t>
        </is>
      </c>
      <c r="BC1008" t="inlineStr">
        <is>
          <t>32285003356812</t>
        </is>
      </c>
      <c r="BD1008" t="inlineStr">
        <is>
          <t>893867630</t>
        </is>
      </c>
    </row>
    <row r="1009">
      <c r="A1009" t="inlineStr">
        <is>
          <t>No</t>
        </is>
      </c>
      <c r="B1009" t="inlineStr">
        <is>
          <t>BT734.2 .E38 1996</t>
        </is>
      </c>
      <c r="C1009" t="inlineStr">
        <is>
          <t>0                      BT 0734200E  38          1996</t>
        </is>
      </c>
      <c r="D1009" t="inlineStr">
        <is>
          <t>Purging racism from Christianity : freedom &amp; purpose through identity / Jefferson D. Edwards, Jr.</t>
        </is>
      </c>
      <c r="F1009" t="inlineStr">
        <is>
          <t>No</t>
        </is>
      </c>
      <c r="G1009" t="inlineStr">
        <is>
          <t>1</t>
        </is>
      </c>
      <c r="H1009" t="inlineStr">
        <is>
          <t>No</t>
        </is>
      </c>
      <c r="I1009" t="inlineStr">
        <is>
          <t>No</t>
        </is>
      </c>
      <c r="J1009" t="inlineStr">
        <is>
          <t>0</t>
        </is>
      </c>
      <c r="K1009" t="inlineStr">
        <is>
          <t>Edwards, Jefferson D., 1951-</t>
        </is>
      </c>
      <c r="L1009" t="inlineStr">
        <is>
          <t>Grand Rapids, Mich. : Zondervan, c1996.</t>
        </is>
      </c>
      <c r="M1009" t="inlineStr">
        <is>
          <t>1996</t>
        </is>
      </c>
      <c r="O1009" t="inlineStr">
        <is>
          <t>eng</t>
        </is>
      </c>
      <c r="P1009" t="inlineStr">
        <is>
          <t>miu</t>
        </is>
      </c>
      <c r="R1009" t="inlineStr">
        <is>
          <t xml:space="preserve">BT </t>
        </is>
      </c>
      <c r="S1009" t="n">
        <v>5</v>
      </c>
      <c r="T1009" t="n">
        <v>5</v>
      </c>
      <c r="U1009" t="inlineStr">
        <is>
          <t>2002-04-23</t>
        </is>
      </c>
      <c r="V1009" t="inlineStr">
        <is>
          <t>2002-04-23</t>
        </is>
      </c>
      <c r="W1009" t="inlineStr">
        <is>
          <t>1998-01-07</t>
        </is>
      </c>
      <c r="X1009" t="inlineStr">
        <is>
          <t>1998-01-07</t>
        </is>
      </c>
      <c r="Y1009" t="n">
        <v>142</v>
      </c>
      <c r="Z1009" t="n">
        <v>138</v>
      </c>
      <c r="AA1009" t="n">
        <v>139</v>
      </c>
      <c r="AB1009" t="n">
        <v>1</v>
      </c>
      <c r="AC1009" t="n">
        <v>1</v>
      </c>
      <c r="AD1009" t="n">
        <v>4</v>
      </c>
      <c r="AE1009" t="n">
        <v>4</v>
      </c>
      <c r="AF1009" t="n">
        <v>2</v>
      </c>
      <c r="AG1009" t="n">
        <v>2</v>
      </c>
      <c r="AH1009" t="n">
        <v>0</v>
      </c>
      <c r="AI1009" t="n">
        <v>0</v>
      </c>
      <c r="AJ1009" t="n">
        <v>3</v>
      </c>
      <c r="AK1009" t="n">
        <v>3</v>
      </c>
      <c r="AL1009" t="n">
        <v>0</v>
      </c>
      <c r="AM1009" t="n">
        <v>0</v>
      </c>
      <c r="AN1009" t="n">
        <v>0</v>
      </c>
      <c r="AO1009" t="n">
        <v>0</v>
      </c>
      <c r="AP1009" t="inlineStr">
        <is>
          <t>No</t>
        </is>
      </c>
      <c r="AQ1009" t="inlineStr">
        <is>
          <t>Yes</t>
        </is>
      </c>
      <c r="AR1009">
        <f>HYPERLINK("http://catalog.hathitrust.org/Record/006017112","HathiTrust Record")</f>
        <v/>
      </c>
      <c r="AS1009">
        <f>HYPERLINK("https://creighton-primo.hosted.exlibrisgroup.com/primo-explore/search?tab=default_tab&amp;search_scope=EVERYTHING&amp;vid=01CRU&amp;lang=en_US&amp;offset=0&amp;query=any,contains,991002646039702656","Catalog Record")</f>
        <v/>
      </c>
      <c r="AT1009">
        <f>HYPERLINK("http://www.worldcat.org/oclc/34618262","WorldCat Record")</f>
        <v/>
      </c>
      <c r="AU1009" t="inlineStr">
        <is>
          <t>2452737969:eng</t>
        </is>
      </c>
      <c r="AV1009" t="inlineStr">
        <is>
          <t>34618262</t>
        </is>
      </c>
      <c r="AW1009" t="inlineStr">
        <is>
          <t>991002646039702656</t>
        </is>
      </c>
      <c r="AX1009" t="inlineStr">
        <is>
          <t>991002646039702656</t>
        </is>
      </c>
      <c r="AY1009" t="inlineStr">
        <is>
          <t>2271961380002656</t>
        </is>
      </c>
      <c r="AZ1009" t="inlineStr">
        <is>
          <t>BOOK</t>
        </is>
      </c>
      <c r="BB1009" t="inlineStr">
        <is>
          <t>9780310201953</t>
        </is>
      </c>
      <c r="BC1009" t="inlineStr">
        <is>
          <t>32285003301792</t>
        </is>
      </c>
      <c r="BD1009" t="inlineStr">
        <is>
          <t>893323177</t>
        </is>
      </c>
    </row>
    <row r="1010">
      <c r="A1010" t="inlineStr">
        <is>
          <t>No</t>
        </is>
      </c>
      <c r="B1010" t="inlineStr">
        <is>
          <t>BT734.2 .E53 1998</t>
        </is>
      </c>
      <c r="C1010" t="inlineStr">
        <is>
          <t>0                      BT 0734200E  53          1998</t>
        </is>
      </c>
      <c r="D1010" t="inlineStr">
        <is>
          <t>Ending racism in the church / edited by Susan E. Davies and Sister Paul Teresa Hennessee.</t>
        </is>
      </c>
      <c r="F1010" t="inlineStr">
        <is>
          <t>No</t>
        </is>
      </c>
      <c r="G1010" t="inlineStr">
        <is>
          <t>1</t>
        </is>
      </c>
      <c r="H1010" t="inlineStr">
        <is>
          <t>No</t>
        </is>
      </c>
      <c r="I1010" t="inlineStr">
        <is>
          <t>No</t>
        </is>
      </c>
      <c r="J1010" t="inlineStr">
        <is>
          <t>0</t>
        </is>
      </c>
      <c r="L1010" t="inlineStr">
        <is>
          <t>Cleveland, Ohio : United Church Press, 1998.</t>
        </is>
      </c>
      <c r="M1010" t="inlineStr">
        <is>
          <t>1998</t>
        </is>
      </c>
      <c r="O1010" t="inlineStr">
        <is>
          <t>eng</t>
        </is>
      </c>
      <c r="P1010" t="inlineStr">
        <is>
          <t>ohu</t>
        </is>
      </c>
      <c r="R1010" t="inlineStr">
        <is>
          <t xml:space="preserve">BT </t>
        </is>
      </c>
      <c r="S1010" t="n">
        <v>5</v>
      </c>
      <c r="T1010" t="n">
        <v>5</v>
      </c>
      <c r="U1010" t="inlineStr">
        <is>
          <t>2008-03-12</t>
        </is>
      </c>
      <c r="V1010" t="inlineStr">
        <is>
          <t>2008-03-12</t>
        </is>
      </c>
      <c r="W1010" t="inlineStr">
        <is>
          <t>2000-08-23</t>
        </is>
      </c>
      <c r="X1010" t="inlineStr">
        <is>
          <t>2000-08-23</t>
        </is>
      </c>
      <c r="Y1010" t="n">
        <v>282</v>
      </c>
      <c r="Z1010" t="n">
        <v>267</v>
      </c>
      <c r="AA1010" t="n">
        <v>273</v>
      </c>
      <c r="AB1010" t="n">
        <v>1</v>
      </c>
      <c r="AC1010" t="n">
        <v>1</v>
      </c>
      <c r="AD1010" t="n">
        <v>14</v>
      </c>
      <c r="AE1010" t="n">
        <v>14</v>
      </c>
      <c r="AF1010" t="n">
        <v>5</v>
      </c>
      <c r="AG1010" t="n">
        <v>5</v>
      </c>
      <c r="AH1010" t="n">
        <v>4</v>
      </c>
      <c r="AI1010" t="n">
        <v>4</v>
      </c>
      <c r="AJ1010" t="n">
        <v>9</v>
      </c>
      <c r="AK1010" t="n">
        <v>9</v>
      </c>
      <c r="AL1010" t="n">
        <v>0</v>
      </c>
      <c r="AM1010" t="n">
        <v>0</v>
      </c>
      <c r="AN1010" t="n">
        <v>0</v>
      </c>
      <c r="AO1010" t="n">
        <v>0</v>
      </c>
      <c r="AP1010" t="inlineStr">
        <is>
          <t>No</t>
        </is>
      </c>
      <c r="AQ1010" t="inlineStr">
        <is>
          <t>Yes</t>
        </is>
      </c>
      <c r="AR1010">
        <f>HYPERLINK("http://catalog.hathitrust.org/Record/004572555","HathiTrust Record")</f>
        <v/>
      </c>
      <c r="AS1010">
        <f>HYPERLINK("https://creighton-primo.hosted.exlibrisgroup.com/primo-explore/search?tab=default_tab&amp;search_scope=EVERYTHING&amp;vid=01CRU&amp;lang=en_US&amp;offset=0&amp;query=any,contains,991003219139702656","Catalog Record")</f>
        <v/>
      </c>
      <c r="AT1010">
        <f>HYPERLINK("http://www.worldcat.org/oclc/39162253","WorldCat Record")</f>
        <v/>
      </c>
      <c r="AU1010" t="inlineStr">
        <is>
          <t>41663014:eng</t>
        </is>
      </c>
      <c r="AV1010" t="inlineStr">
        <is>
          <t>39162253</t>
        </is>
      </c>
      <c r="AW1010" t="inlineStr">
        <is>
          <t>991003219139702656</t>
        </is>
      </c>
      <c r="AX1010" t="inlineStr">
        <is>
          <t>991003219139702656</t>
        </is>
      </c>
      <c r="AY1010" t="inlineStr">
        <is>
          <t>2269359000002656</t>
        </is>
      </c>
      <c r="AZ1010" t="inlineStr">
        <is>
          <t>BOOK</t>
        </is>
      </c>
      <c r="BB1010" t="inlineStr">
        <is>
          <t>9780829812381</t>
        </is>
      </c>
      <c r="BC1010" t="inlineStr">
        <is>
          <t>32285003758835</t>
        </is>
      </c>
      <c r="BD1010" t="inlineStr">
        <is>
          <t>893604550</t>
        </is>
      </c>
    </row>
    <row r="1011">
      <c r="A1011" t="inlineStr">
        <is>
          <t>No</t>
        </is>
      </c>
      <c r="B1011" t="inlineStr">
        <is>
          <t>BT734.2 .G74 1969</t>
        </is>
      </c>
      <c r="C1011" t="inlineStr">
        <is>
          <t>0                      BT 0734200G  74          1969</t>
        </is>
      </c>
      <c r="D1011" t="inlineStr">
        <is>
          <t>The church and the black man / as seen by John Howard Griffin.</t>
        </is>
      </c>
      <c r="F1011" t="inlineStr">
        <is>
          <t>No</t>
        </is>
      </c>
      <c r="G1011" t="inlineStr">
        <is>
          <t>1</t>
        </is>
      </c>
      <c r="H1011" t="inlineStr">
        <is>
          <t>No</t>
        </is>
      </c>
      <c r="I1011" t="inlineStr">
        <is>
          <t>No</t>
        </is>
      </c>
      <c r="J1011" t="inlineStr">
        <is>
          <t>0</t>
        </is>
      </c>
      <c r="K1011" t="inlineStr">
        <is>
          <t>Griffin, John Howard, 1920-1980.</t>
        </is>
      </c>
      <c r="L1011" t="inlineStr">
        <is>
          <t>Dayton, Ohio : Pflaum Press, 1969.</t>
        </is>
      </c>
      <c r="M1011" t="inlineStr">
        <is>
          <t>1969</t>
        </is>
      </c>
      <c r="O1011" t="inlineStr">
        <is>
          <t>eng</t>
        </is>
      </c>
      <c r="P1011" t="inlineStr">
        <is>
          <t>ohu</t>
        </is>
      </c>
      <c r="R1011" t="inlineStr">
        <is>
          <t xml:space="preserve">BT </t>
        </is>
      </c>
      <c r="S1011" t="n">
        <v>5</v>
      </c>
      <c r="T1011" t="n">
        <v>5</v>
      </c>
      <c r="U1011" t="inlineStr">
        <is>
          <t>2000-07-26</t>
        </is>
      </c>
      <c r="V1011" t="inlineStr">
        <is>
          <t>2000-07-26</t>
        </is>
      </c>
      <c r="W1011" t="inlineStr">
        <is>
          <t>1990-03-02</t>
        </is>
      </c>
      <c r="X1011" t="inlineStr">
        <is>
          <t>1990-03-02</t>
        </is>
      </c>
      <c r="Y1011" t="n">
        <v>331</v>
      </c>
      <c r="Z1011" t="n">
        <v>319</v>
      </c>
      <c r="AA1011" t="n">
        <v>331</v>
      </c>
      <c r="AB1011" t="n">
        <v>1</v>
      </c>
      <c r="AC1011" t="n">
        <v>1</v>
      </c>
      <c r="AD1011" t="n">
        <v>18</v>
      </c>
      <c r="AE1011" t="n">
        <v>19</v>
      </c>
      <c r="AF1011" t="n">
        <v>5</v>
      </c>
      <c r="AG1011" t="n">
        <v>6</v>
      </c>
      <c r="AH1011" t="n">
        <v>5</v>
      </c>
      <c r="AI1011" t="n">
        <v>5</v>
      </c>
      <c r="AJ1011" t="n">
        <v>11</v>
      </c>
      <c r="AK1011" t="n">
        <v>12</v>
      </c>
      <c r="AL1011" t="n">
        <v>0</v>
      </c>
      <c r="AM1011" t="n">
        <v>0</v>
      </c>
      <c r="AN1011" t="n">
        <v>0</v>
      </c>
      <c r="AO1011" t="n">
        <v>0</v>
      </c>
      <c r="AP1011" t="inlineStr">
        <is>
          <t>No</t>
        </is>
      </c>
      <c r="AQ1011" t="inlineStr">
        <is>
          <t>Yes</t>
        </is>
      </c>
      <c r="AR1011">
        <f>HYPERLINK("http://catalog.hathitrust.org/Record/001412488","HathiTrust Record")</f>
        <v/>
      </c>
      <c r="AS1011">
        <f>HYPERLINK("https://creighton-primo.hosted.exlibrisgroup.com/primo-explore/search?tab=default_tab&amp;search_scope=EVERYTHING&amp;vid=01CRU&amp;lang=en_US&amp;offset=0&amp;query=any,contains,991000636069702656","Catalog Record")</f>
        <v/>
      </c>
      <c r="AT1011">
        <f>HYPERLINK("http://www.worldcat.org/oclc/107889","WorldCat Record")</f>
        <v/>
      </c>
      <c r="AU1011" t="inlineStr">
        <is>
          <t>1194845:eng</t>
        </is>
      </c>
      <c r="AV1011" t="inlineStr">
        <is>
          <t>107889</t>
        </is>
      </c>
      <c r="AW1011" t="inlineStr">
        <is>
          <t>991000636069702656</t>
        </is>
      </c>
      <c r="AX1011" t="inlineStr">
        <is>
          <t>991000636069702656</t>
        </is>
      </c>
      <c r="AY1011" t="inlineStr">
        <is>
          <t>2262069440002656</t>
        </is>
      </c>
      <c r="AZ1011" t="inlineStr">
        <is>
          <t>BOOK</t>
        </is>
      </c>
      <c r="BC1011" t="inlineStr">
        <is>
          <t>32285000074228</t>
        </is>
      </c>
      <c r="BD1011" t="inlineStr">
        <is>
          <t>893595739</t>
        </is>
      </c>
    </row>
    <row r="1012">
      <c r="A1012" t="inlineStr">
        <is>
          <t>No</t>
        </is>
      </c>
      <c r="B1012" t="inlineStr">
        <is>
          <t>BT734.2 .H63</t>
        </is>
      </c>
      <c r="C1012" t="inlineStr">
        <is>
          <t>0                      BT 0734200H  63</t>
        </is>
      </c>
      <c r="D1012" t="inlineStr">
        <is>
          <t>Black power and white Protestants : a Christian response to the new Negro pluralism / [by] Joseph C. Hough, Jr.</t>
        </is>
      </c>
      <c r="F1012" t="inlineStr">
        <is>
          <t>No</t>
        </is>
      </c>
      <c r="G1012" t="inlineStr">
        <is>
          <t>1</t>
        </is>
      </c>
      <c r="H1012" t="inlineStr">
        <is>
          <t>No</t>
        </is>
      </c>
      <c r="I1012" t="inlineStr">
        <is>
          <t>No</t>
        </is>
      </c>
      <c r="J1012" t="inlineStr">
        <is>
          <t>0</t>
        </is>
      </c>
      <c r="K1012" t="inlineStr">
        <is>
          <t>Hough, Joseph C.</t>
        </is>
      </c>
      <c r="L1012" t="inlineStr">
        <is>
          <t>New York, Oxford University Press, 1968.</t>
        </is>
      </c>
      <c r="M1012" t="inlineStr">
        <is>
          <t>1968</t>
        </is>
      </c>
      <c r="O1012" t="inlineStr">
        <is>
          <t>eng</t>
        </is>
      </c>
      <c r="P1012" t="inlineStr">
        <is>
          <t>nyu</t>
        </is>
      </c>
      <c r="R1012" t="inlineStr">
        <is>
          <t xml:space="preserve">BT </t>
        </is>
      </c>
      <c r="S1012" t="n">
        <v>3</v>
      </c>
      <c r="T1012" t="n">
        <v>3</v>
      </c>
      <c r="U1012" t="inlineStr">
        <is>
          <t>2007-12-06</t>
        </is>
      </c>
      <c r="V1012" t="inlineStr">
        <is>
          <t>2007-12-06</t>
        </is>
      </c>
      <c r="W1012" t="inlineStr">
        <is>
          <t>1991-09-26</t>
        </is>
      </c>
      <c r="X1012" t="inlineStr">
        <is>
          <t>1991-09-26</t>
        </is>
      </c>
      <c r="Y1012" t="n">
        <v>1103</v>
      </c>
      <c r="Z1012" t="n">
        <v>1002</v>
      </c>
      <c r="AA1012" t="n">
        <v>1014</v>
      </c>
      <c r="AB1012" t="n">
        <v>8</v>
      </c>
      <c r="AC1012" t="n">
        <v>8</v>
      </c>
      <c r="AD1012" t="n">
        <v>42</v>
      </c>
      <c r="AE1012" t="n">
        <v>42</v>
      </c>
      <c r="AF1012" t="n">
        <v>15</v>
      </c>
      <c r="AG1012" t="n">
        <v>15</v>
      </c>
      <c r="AH1012" t="n">
        <v>9</v>
      </c>
      <c r="AI1012" t="n">
        <v>9</v>
      </c>
      <c r="AJ1012" t="n">
        <v>20</v>
      </c>
      <c r="AK1012" t="n">
        <v>20</v>
      </c>
      <c r="AL1012" t="n">
        <v>7</v>
      </c>
      <c r="AM1012" t="n">
        <v>7</v>
      </c>
      <c r="AN1012" t="n">
        <v>0</v>
      </c>
      <c r="AO1012" t="n">
        <v>0</v>
      </c>
      <c r="AP1012" t="inlineStr">
        <is>
          <t>No</t>
        </is>
      </c>
      <c r="AQ1012" t="inlineStr">
        <is>
          <t>Yes</t>
        </is>
      </c>
      <c r="AR1012">
        <f>HYPERLINK("http://catalog.hathitrust.org/Record/001412489","HathiTrust Record")</f>
        <v/>
      </c>
      <c r="AS1012">
        <f>HYPERLINK("https://creighton-primo.hosted.exlibrisgroup.com/primo-explore/search?tab=default_tab&amp;search_scope=EVERYTHING&amp;vid=01CRU&amp;lang=en_US&amp;offset=0&amp;query=any,contains,991002288869702656","Catalog Record")</f>
        <v/>
      </c>
      <c r="AT1012">
        <f>HYPERLINK("http://www.worldcat.org/oclc/312410","WorldCat Record")</f>
        <v/>
      </c>
      <c r="AU1012" t="inlineStr">
        <is>
          <t>414715:eng</t>
        </is>
      </c>
      <c r="AV1012" t="inlineStr">
        <is>
          <t>312410</t>
        </is>
      </c>
      <c r="AW1012" t="inlineStr">
        <is>
          <t>991002288869702656</t>
        </is>
      </c>
      <c r="AX1012" t="inlineStr">
        <is>
          <t>991002288869702656</t>
        </is>
      </c>
      <c r="AY1012" t="inlineStr">
        <is>
          <t>2271065950002656</t>
        </is>
      </c>
      <c r="AZ1012" t="inlineStr">
        <is>
          <t>BOOK</t>
        </is>
      </c>
      <c r="BC1012" t="inlineStr">
        <is>
          <t>32285000749423</t>
        </is>
      </c>
      <c r="BD1012" t="inlineStr">
        <is>
          <t>893251043</t>
        </is>
      </c>
    </row>
    <row r="1013">
      <c r="A1013" t="inlineStr">
        <is>
          <t>No</t>
        </is>
      </c>
      <c r="B1013" t="inlineStr">
        <is>
          <t>BT734.2 .L4 1963</t>
        </is>
      </c>
      <c r="C1013" t="inlineStr">
        <is>
          <t>0                      BT 0734200L  4           1963</t>
        </is>
      </c>
      <c r="D1013" t="inlineStr">
        <is>
          <t>Theology and race relations / Joseph T. Leonard ; with a foreword by Patrick A. O'Boyle.</t>
        </is>
      </c>
      <c r="F1013" t="inlineStr">
        <is>
          <t>No</t>
        </is>
      </c>
      <c r="G1013" t="inlineStr">
        <is>
          <t>1</t>
        </is>
      </c>
      <c r="H1013" t="inlineStr">
        <is>
          <t>No</t>
        </is>
      </c>
      <c r="I1013" t="inlineStr">
        <is>
          <t>No</t>
        </is>
      </c>
      <c r="J1013" t="inlineStr">
        <is>
          <t>0</t>
        </is>
      </c>
      <c r="K1013" t="inlineStr">
        <is>
          <t>Leonard, Joseph T.</t>
        </is>
      </c>
      <c r="L1013" t="inlineStr">
        <is>
          <t>Milwaukee : Bruce Pub. Co., 1963.</t>
        </is>
      </c>
      <c r="M1013" t="inlineStr">
        <is>
          <t>1963</t>
        </is>
      </c>
      <c r="O1013" t="inlineStr">
        <is>
          <t>eng</t>
        </is>
      </c>
      <c r="P1013" t="inlineStr">
        <is>
          <t>wiu</t>
        </is>
      </c>
      <c r="R1013" t="inlineStr">
        <is>
          <t xml:space="preserve">BT </t>
        </is>
      </c>
      <c r="S1013" t="n">
        <v>9</v>
      </c>
      <c r="T1013" t="n">
        <v>9</v>
      </c>
      <c r="U1013" t="inlineStr">
        <is>
          <t>1999-11-19</t>
        </is>
      </c>
      <c r="V1013" t="inlineStr">
        <is>
          <t>1999-11-19</t>
        </is>
      </c>
      <c r="W1013" t="inlineStr">
        <is>
          <t>1991-09-26</t>
        </is>
      </c>
      <c r="X1013" t="inlineStr">
        <is>
          <t>1991-09-26</t>
        </is>
      </c>
      <c r="Y1013" t="n">
        <v>513</v>
      </c>
      <c r="Z1013" t="n">
        <v>483</v>
      </c>
      <c r="AA1013" t="n">
        <v>500</v>
      </c>
      <c r="AB1013" t="n">
        <v>4</v>
      </c>
      <c r="AC1013" t="n">
        <v>4</v>
      </c>
      <c r="AD1013" t="n">
        <v>31</v>
      </c>
      <c r="AE1013" t="n">
        <v>31</v>
      </c>
      <c r="AF1013" t="n">
        <v>11</v>
      </c>
      <c r="AG1013" t="n">
        <v>11</v>
      </c>
      <c r="AH1013" t="n">
        <v>8</v>
      </c>
      <c r="AI1013" t="n">
        <v>8</v>
      </c>
      <c r="AJ1013" t="n">
        <v>24</v>
      </c>
      <c r="AK1013" t="n">
        <v>24</v>
      </c>
      <c r="AL1013" t="n">
        <v>0</v>
      </c>
      <c r="AM1013" t="n">
        <v>0</v>
      </c>
      <c r="AN1013" t="n">
        <v>0</v>
      </c>
      <c r="AO1013" t="n">
        <v>0</v>
      </c>
      <c r="AP1013" t="inlineStr">
        <is>
          <t>No</t>
        </is>
      </c>
      <c r="AQ1013" t="inlineStr">
        <is>
          <t>No</t>
        </is>
      </c>
      <c r="AR1013">
        <f>HYPERLINK("http://catalog.hathitrust.org/Record/000775835","HathiTrust Record")</f>
        <v/>
      </c>
      <c r="AS1013">
        <f>HYPERLINK("https://creighton-primo.hosted.exlibrisgroup.com/primo-explore/search?tab=default_tab&amp;search_scope=EVERYTHING&amp;vid=01CRU&amp;lang=en_US&amp;offset=0&amp;query=any,contains,991002645819702656","Catalog Record")</f>
        <v/>
      </c>
      <c r="AT1013">
        <f>HYPERLINK("http://www.worldcat.org/oclc/385785","WorldCat Record")</f>
        <v/>
      </c>
      <c r="AU1013" t="inlineStr">
        <is>
          <t>1508876:eng</t>
        </is>
      </c>
      <c r="AV1013" t="inlineStr">
        <is>
          <t>385785</t>
        </is>
      </c>
      <c r="AW1013" t="inlineStr">
        <is>
          <t>991002645819702656</t>
        </is>
      </c>
      <c r="AX1013" t="inlineStr">
        <is>
          <t>991002645819702656</t>
        </is>
      </c>
      <c r="AY1013" t="inlineStr">
        <is>
          <t>2259143220002656</t>
        </is>
      </c>
      <c r="AZ1013" t="inlineStr">
        <is>
          <t>BOOK</t>
        </is>
      </c>
      <c r="BC1013" t="inlineStr">
        <is>
          <t>32285000749431</t>
        </is>
      </c>
      <c r="BD1013" t="inlineStr">
        <is>
          <t>893773855</t>
        </is>
      </c>
    </row>
    <row r="1014">
      <c r="A1014" t="inlineStr">
        <is>
          <t>No</t>
        </is>
      </c>
      <c r="B1014" t="inlineStr">
        <is>
          <t>BT734.2 .M4 1965</t>
        </is>
      </c>
      <c r="C1014" t="inlineStr">
        <is>
          <t>0                      BT 0734200M  4           1965</t>
        </is>
      </c>
      <c r="D1014" t="inlineStr">
        <is>
          <t>Seeds of destruction / by Thomas Merton.</t>
        </is>
      </c>
      <c r="F1014" t="inlineStr">
        <is>
          <t>No</t>
        </is>
      </c>
      <c r="G1014" t="inlineStr">
        <is>
          <t>1</t>
        </is>
      </c>
      <c r="H1014" t="inlineStr">
        <is>
          <t>No</t>
        </is>
      </c>
      <c r="I1014" t="inlineStr">
        <is>
          <t>No</t>
        </is>
      </c>
      <c r="J1014" t="inlineStr">
        <is>
          <t>0</t>
        </is>
      </c>
      <c r="K1014" t="inlineStr">
        <is>
          <t>Merton, Thomas, 1915-1968.</t>
        </is>
      </c>
      <c r="L1014" t="inlineStr">
        <is>
          <t>New York : Farrar, Straus and Giroux, [1965, c1964]</t>
        </is>
      </c>
      <c r="M1014" t="inlineStr">
        <is>
          <t>1965</t>
        </is>
      </c>
      <c r="O1014" t="inlineStr">
        <is>
          <t>eng</t>
        </is>
      </c>
      <c r="P1014" t="inlineStr">
        <is>
          <t>nyu</t>
        </is>
      </c>
      <c r="R1014" t="inlineStr">
        <is>
          <t xml:space="preserve">BT </t>
        </is>
      </c>
      <c r="S1014" t="n">
        <v>3</v>
      </c>
      <c r="T1014" t="n">
        <v>3</v>
      </c>
      <c r="U1014" t="inlineStr">
        <is>
          <t>1993-03-09</t>
        </is>
      </c>
      <c r="V1014" t="inlineStr">
        <is>
          <t>1993-03-09</t>
        </is>
      </c>
      <c r="W1014" t="inlineStr">
        <is>
          <t>1991-09-26</t>
        </is>
      </c>
      <c r="X1014" t="inlineStr">
        <is>
          <t>1991-09-26</t>
        </is>
      </c>
      <c r="Y1014" t="n">
        <v>971</v>
      </c>
      <c r="Z1014" t="n">
        <v>935</v>
      </c>
      <c r="AA1014" t="n">
        <v>1072</v>
      </c>
      <c r="AB1014" t="n">
        <v>9</v>
      </c>
      <c r="AC1014" t="n">
        <v>9</v>
      </c>
      <c r="AD1014" t="n">
        <v>41</v>
      </c>
      <c r="AE1014" t="n">
        <v>45</v>
      </c>
      <c r="AF1014" t="n">
        <v>13</v>
      </c>
      <c r="AG1014" t="n">
        <v>16</v>
      </c>
      <c r="AH1014" t="n">
        <v>9</v>
      </c>
      <c r="AI1014" t="n">
        <v>10</v>
      </c>
      <c r="AJ1014" t="n">
        <v>26</v>
      </c>
      <c r="AK1014" t="n">
        <v>27</v>
      </c>
      <c r="AL1014" t="n">
        <v>5</v>
      </c>
      <c r="AM1014" t="n">
        <v>5</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HYPERLINK("https://creighton-primo.hosted.exlibrisgroup.com/primo-explore/search?tab=default_tab&amp;search_scope=EVERYTHING&amp;vid=01CRU&amp;lang=en_US&amp;offset=0&amp;query=any,contains,991002265939702656","Catalog Record")</f>
        <v/>
      </c>
      <c r="AT1014">
        <f>HYPERLINK("http://www.worldcat.org/oclc/306973","WorldCat Record")</f>
        <v/>
      </c>
      <c r="AU1014" t="inlineStr">
        <is>
          <t>572508:eng</t>
        </is>
      </c>
      <c r="AV1014" t="inlineStr">
        <is>
          <t>306973</t>
        </is>
      </c>
      <c r="AW1014" t="inlineStr">
        <is>
          <t>991002265939702656</t>
        </is>
      </c>
      <c r="AX1014" t="inlineStr">
        <is>
          <t>991002265939702656</t>
        </is>
      </c>
      <c r="AY1014" t="inlineStr">
        <is>
          <t>2265991570002656</t>
        </is>
      </c>
      <c r="AZ1014" t="inlineStr">
        <is>
          <t>BOOK</t>
        </is>
      </c>
      <c r="BC1014" t="inlineStr">
        <is>
          <t>32285000749449</t>
        </is>
      </c>
      <c r="BD1014" t="inlineStr">
        <is>
          <t>893898552</t>
        </is>
      </c>
    </row>
    <row r="1015">
      <c r="A1015" t="inlineStr">
        <is>
          <t>No</t>
        </is>
      </c>
      <c r="B1015" t="inlineStr">
        <is>
          <t>BT734.2 .M54 2000</t>
        </is>
      </c>
      <c r="C1015" t="inlineStr">
        <is>
          <t>0                      BT 0734200M  54          2000</t>
        </is>
      </c>
      <c r="D1015" t="inlineStr">
        <is>
          <t>A mighty long journey : reflections on racial reconciliation / Timothy George, Robert Smith, Jr., editors.</t>
        </is>
      </c>
      <c r="F1015" t="inlineStr">
        <is>
          <t>No</t>
        </is>
      </c>
      <c r="G1015" t="inlineStr">
        <is>
          <t>1</t>
        </is>
      </c>
      <c r="H1015" t="inlineStr">
        <is>
          <t>No</t>
        </is>
      </c>
      <c r="I1015" t="inlineStr">
        <is>
          <t>No</t>
        </is>
      </c>
      <c r="J1015" t="inlineStr">
        <is>
          <t>0</t>
        </is>
      </c>
      <c r="L1015" t="inlineStr">
        <is>
          <t>Nashville, Tenn. : Broadman &amp; Holman, c2000.</t>
        </is>
      </c>
      <c r="M1015" t="inlineStr">
        <is>
          <t>2000</t>
        </is>
      </c>
      <c r="O1015" t="inlineStr">
        <is>
          <t>eng</t>
        </is>
      </c>
      <c r="P1015" t="inlineStr">
        <is>
          <t>tnu</t>
        </is>
      </c>
      <c r="R1015" t="inlineStr">
        <is>
          <t xml:space="preserve">BT </t>
        </is>
      </c>
      <c r="S1015" t="n">
        <v>1</v>
      </c>
      <c r="T1015" t="n">
        <v>1</v>
      </c>
      <c r="U1015" t="inlineStr">
        <is>
          <t>2001-05-02</t>
        </is>
      </c>
      <c r="V1015" t="inlineStr">
        <is>
          <t>2001-05-02</t>
        </is>
      </c>
      <c r="W1015" t="inlineStr">
        <is>
          <t>2001-05-02</t>
        </is>
      </c>
      <c r="X1015" t="inlineStr">
        <is>
          <t>2001-05-02</t>
        </is>
      </c>
      <c r="Y1015" t="n">
        <v>102</v>
      </c>
      <c r="Z1015" t="n">
        <v>91</v>
      </c>
      <c r="AA1015" t="n">
        <v>91</v>
      </c>
      <c r="AB1015" t="n">
        <v>1</v>
      </c>
      <c r="AC1015" t="n">
        <v>1</v>
      </c>
      <c r="AD1015" t="n">
        <v>4</v>
      </c>
      <c r="AE1015" t="n">
        <v>4</v>
      </c>
      <c r="AF1015" t="n">
        <v>1</v>
      </c>
      <c r="AG1015" t="n">
        <v>1</v>
      </c>
      <c r="AH1015" t="n">
        <v>0</v>
      </c>
      <c r="AI1015" t="n">
        <v>0</v>
      </c>
      <c r="AJ1015" t="n">
        <v>3</v>
      </c>
      <c r="AK1015" t="n">
        <v>3</v>
      </c>
      <c r="AL1015" t="n">
        <v>0</v>
      </c>
      <c r="AM1015" t="n">
        <v>0</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HYPERLINK("https://creighton-primo.hosted.exlibrisgroup.com/primo-explore/search?tab=default_tab&amp;search_scope=EVERYTHING&amp;vid=01CRU&amp;lang=en_US&amp;offset=0&amp;query=any,contains,991003530649702656","Catalog Record")</f>
        <v/>
      </c>
      <c r="AT1015">
        <f>HYPERLINK("http://www.worldcat.org/oclc/44090550","WorldCat Record")</f>
        <v/>
      </c>
      <c r="AU1015" t="inlineStr">
        <is>
          <t>50786:eng</t>
        </is>
      </c>
      <c r="AV1015" t="inlineStr">
        <is>
          <t>44090550</t>
        </is>
      </c>
      <c r="AW1015" t="inlineStr">
        <is>
          <t>991003530649702656</t>
        </is>
      </c>
      <c r="AX1015" t="inlineStr">
        <is>
          <t>991003530649702656</t>
        </is>
      </c>
      <c r="AY1015" t="inlineStr">
        <is>
          <t>2259016260002656</t>
        </is>
      </c>
      <c r="AZ1015" t="inlineStr">
        <is>
          <t>BOOK</t>
        </is>
      </c>
      <c r="BB1015" t="inlineStr">
        <is>
          <t>9780805418200</t>
        </is>
      </c>
      <c r="BC1015" t="inlineStr">
        <is>
          <t>32285004315932</t>
        </is>
      </c>
      <c r="BD1015" t="inlineStr">
        <is>
          <t>893435090</t>
        </is>
      </c>
    </row>
    <row r="1016">
      <c r="A1016" t="inlineStr">
        <is>
          <t>No</t>
        </is>
      </c>
      <c r="B1016" t="inlineStr">
        <is>
          <t>BT734.2 .N3 1963</t>
        </is>
      </c>
      <c r="C1016" t="inlineStr">
        <is>
          <t>0                      BT 0734200N  3           1963</t>
        </is>
      </c>
      <c r="D1016" t="inlineStr">
        <is>
          <t>Race : challenge to religion, original essays, and, An appeal to the conscience / Edited by Mathew Ahmann.</t>
        </is>
      </c>
      <c r="F1016" t="inlineStr">
        <is>
          <t>No</t>
        </is>
      </c>
      <c r="G1016" t="inlineStr">
        <is>
          <t>1</t>
        </is>
      </c>
      <c r="H1016" t="inlineStr">
        <is>
          <t>No</t>
        </is>
      </c>
      <c r="I1016" t="inlineStr">
        <is>
          <t>No</t>
        </is>
      </c>
      <c r="J1016" t="inlineStr">
        <is>
          <t>0</t>
        </is>
      </c>
      <c r="K1016" t="inlineStr">
        <is>
          <t>National Conference on Religion and Race (1963 : Chicago, Ill.)</t>
        </is>
      </c>
      <c r="L1016" t="inlineStr">
        <is>
          <t>Chicago, H. Regnery Co., 1963.</t>
        </is>
      </c>
      <c r="M1016" t="inlineStr">
        <is>
          <t>1963</t>
        </is>
      </c>
      <c r="O1016" t="inlineStr">
        <is>
          <t>eng</t>
        </is>
      </c>
      <c r="P1016" t="inlineStr">
        <is>
          <t>ilu</t>
        </is>
      </c>
      <c r="R1016" t="inlineStr">
        <is>
          <t xml:space="preserve">BT </t>
        </is>
      </c>
      <c r="S1016" t="n">
        <v>6</v>
      </c>
      <c r="T1016" t="n">
        <v>6</v>
      </c>
      <c r="U1016" t="inlineStr">
        <is>
          <t>1999-11-19</t>
        </is>
      </c>
      <c r="V1016" t="inlineStr">
        <is>
          <t>1999-11-19</t>
        </is>
      </c>
      <c r="W1016" t="inlineStr">
        <is>
          <t>1991-09-26</t>
        </is>
      </c>
      <c r="X1016" t="inlineStr">
        <is>
          <t>1991-09-26</t>
        </is>
      </c>
      <c r="Y1016" t="n">
        <v>763</v>
      </c>
      <c r="Z1016" t="n">
        <v>718</v>
      </c>
      <c r="AA1016" t="n">
        <v>821</v>
      </c>
      <c r="AB1016" t="n">
        <v>4</v>
      </c>
      <c r="AC1016" t="n">
        <v>5</v>
      </c>
      <c r="AD1016" t="n">
        <v>38</v>
      </c>
      <c r="AE1016" t="n">
        <v>44</v>
      </c>
      <c r="AF1016" t="n">
        <v>15</v>
      </c>
      <c r="AG1016" t="n">
        <v>18</v>
      </c>
      <c r="AH1016" t="n">
        <v>9</v>
      </c>
      <c r="AI1016" t="n">
        <v>10</v>
      </c>
      <c r="AJ1016" t="n">
        <v>23</v>
      </c>
      <c r="AK1016" t="n">
        <v>23</v>
      </c>
      <c r="AL1016" t="n">
        <v>3</v>
      </c>
      <c r="AM1016" t="n">
        <v>4</v>
      </c>
      <c r="AN1016" t="n">
        <v>0</v>
      </c>
      <c r="AO1016" t="n">
        <v>2</v>
      </c>
      <c r="AP1016" t="inlineStr">
        <is>
          <t>No</t>
        </is>
      </c>
      <c r="AQ1016" t="inlineStr">
        <is>
          <t>No</t>
        </is>
      </c>
      <c r="AR1016">
        <f>HYPERLINK("http://catalog.hathitrust.org/Record/001412494","HathiTrust Record")</f>
        <v/>
      </c>
      <c r="AS1016">
        <f>HYPERLINK("https://creighton-primo.hosted.exlibrisgroup.com/primo-explore/search?tab=default_tab&amp;search_scope=EVERYTHING&amp;vid=01CRU&amp;lang=en_US&amp;offset=0&amp;query=any,contains,991002647389702656","Catalog Record")</f>
        <v/>
      </c>
      <c r="AT1016">
        <f>HYPERLINK("http://www.worldcat.org/oclc/386142","WorldCat Record")</f>
        <v/>
      </c>
      <c r="AU1016" t="inlineStr">
        <is>
          <t>367249923:eng</t>
        </is>
      </c>
      <c r="AV1016" t="inlineStr">
        <is>
          <t>386142</t>
        </is>
      </c>
      <c r="AW1016" t="inlineStr">
        <is>
          <t>991002647389702656</t>
        </is>
      </c>
      <c r="AX1016" t="inlineStr">
        <is>
          <t>991002647389702656</t>
        </is>
      </c>
      <c r="AY1016" t="inlineStr">
        <is>
          <t>2257582050002656</t>
        </is>
      </c>
      <c r="AZ1016" t="inlineStr">
        <is>
          <t>BOOK</t>
        </is>
      </c>
      <c r="BC1016" t="inlineStr">
        <is>
          <t>32285000749456</t>
        </is>
      </c>
      <c r="BD1016" t="inlineStr">
        <is>
          <t>893352439</t>
        </is>
      </c>
    </row>
    <row r="1017">
      <c r="A1017" t="inlineStr">
        <is>
          <t>No</t>
        </is>
      </c>
      <c r="B1017" t="inlineStr">
        <is>
          <t>BT734.2 .O8 1967</t>
        </is>
      </c>
      <c r="C1017" t="inlineStr">
        <is>
          <t>0                      BT 0734200O  8           1967</t>
        </is>
      </c>
      <c r="D1017" t="inlineStr">
        <is>
          <t>The segregated covenant : race relations and American Catholics / William A. Osborne.</t>
        </is>
      </c>
      <c r="F1017" t="inlineStr">
        <is>
          <t>No</t>
        </is>
      </c>
      <c r="G1017" t="inlineStr">
        <is>
          <t>1</t>
        </is>
      </c>
      <c r="H1017" t="inlineStr">
        <is>
          <t>No</t>
        </is>
      </c>
      <c r="I1017" t="inlineStr">
        <is>
          <t>No</t>
        </is>
      </c>
      <c r="J1017" t="inlineStr">
        <is>
          <t>0</t>
        </is>
      </c>
      <c r="K1017" t="inlineStr">
        <is>
          <t>Osborne, William A. (William Audley), 1919-1979.</t>
        </is>
      </c>
      <c r="L1017" t="inlineStr">
        <is>
          <t>New York : Herder and Herder, c1967.</t>
        </is>
      </c>
      <c r="M1017" t="inlineStr">
        <is>
          <t>1967</t>
        </is>
      </c>
      <c r="O1017" t="inlineStr">
        <is>
          <t>eng</t>
        </is>
      </c>
      <c r="P1017" t="inlineStr">
        <is>
          <t>nyu</t>
        </is>
      </c>
      <c r="R1017" t="inlineStr">
        <is>
          <t xml:space="preserve">BT </t>
        </is>
      </c>
      <c r="S1017" t="n">
        <v>1</v>
      </c>
      <c r="T1017" t="n">
        <v>1</v>
      </c>
      <c r="U1017" t="inlineStr">
        <is>
          <t>1992-04-24</t>
        </is>
      </c>
      <c r="V1017" t="inlineStr">
        <is>
          <t>1992-04-24</t>
        </is>
      </c>
      <c r="W1017" t="inlineStr">
        <is>
          <t>1990-05-24</t>
        </is>
      </c>
      <c r="X1017" t="inlineStr">
        <is>
          <t>1990-05-24</t>
        </is>
      </c>
      <c r="Y1017" t="n">
        <v>389</v>
      </c>
      <c r="Z1017" t="n">
        <v>357</v>
      </c>
      <c r="AA1017" t="n">
        <v>363</v>
      </c>
      <c r="AB1017" t="n">
        <v>3</v>
      </c>
      <c r="AC1017" t="n">
        <v>3</v>
      </c>
      <c r="AD1017" t="n">
        <v>33</v>
      </c>
      <c r="AE1017" t="n">
        <v>33</v>
      </c>
      <c r="AF1017" t="n">
        <v>8</v>
      </c>
      <c r="AG1017" t="n">
        <v>8</v>
      </c>
      <c r="AH1017" t="n">
        <v>9</v>
      </c>
      <c r="AI1017" t="n">
        <v>9</v>
      </c>
      <c r="AJ1017" t="n">
        <v>19</v>
      </c>
      <c r="AK1017" t="n">
        <v>19</v>
      </c>
      <c r="AL1017" t="n">
        <v>2</v>
      </c>
      <c r="AM1017" t="n">
        <v>2</v>
      </c>
      <c r="AN1017" t="n">
        <v>2</v>
      </c>
      <c r="AO1017" t="n">
        <v>2</v>
      </c>
      <c r="AP1017" t="inlineStr">
        <is>
          <t>No</t>
        </is>
      </c>
      <c r="AQ1017" t="inlineStr">
        <is>
          <t>No</t>
        </is>
      </c>
      <c r="AS1017">
        <f>HYPERLINK("https://creighton-primo.hosted.exlibrisgroup.com/primo-explore/search?tab=default_tab&amp;search_scope=EVERYTHING&amp;vid=01CRU&amp;lang=en_US&amp;offset=0&amp;query=any,contains,991002651319702656","Catalog Record")</f>
        <v/>
      </c>
      <c r="AT1017">
        <f>HYPERLINK("http://www.worldcat.org/oclc/387185","WorldCat Record")</f>
        <v/>
      </c>
      <c r="AU1017" t="inlineStr">
        <is>
          <t>1513616:eng</t>
        </is>
      </c>
      <c r="AV1017" t="inlineStr">
        <is>
          <t>387185</t>
        </is>
      </c>
      <c r="AW1017" t="inlineStr">
        <is>
          <t>991002651319702656</t>
        </is>
      </c>
      <c r="AX1017" t="inlineStr">
        <is>
          <t>991002651319702656</t>
        </is>
      </c>
      <c r="AY1017" t="inlineStr">
        <is>
          <t>2258219690002656</t>
        </is>
      </c>
      <c r="AZ1017" t="inlineStr">
        <is>
          <t>BOOK</t>
        </is>
      </c>
      <c r="BC1017" t="inlineStr">
        <is>
          <t>32285000166362</t>
        </is>
      </c>
      <c r="BD1017" t="inlineStr">
        <is>
          <t>893257534</t>
        </is>
      </c>
    </row>
    <row r="1018">
      <c r="A1018" t="inlineStr">
        <is>
          <t>No</t>
        </is>
      </c>
      <c r="B1018" t="inlineStr">
        <is>
          <t>BT734.2 .S56</t>
        </is>
      </c>
      <c r="C1018" t="inlineStr">
        <is>
          <t>0                      BT 0734200S  56</t>
        </is>
      </c>
      <c r="D1018" t="inlineStr">
        <is>
          <t>In his image, but ... : racism in Southern religion, 1780-1910 / [by] H. Shelton Smith.</t>
        </is>
      </c>
      <c r="F1018" t="inlineStr">
        <is>
          <t>No</t>
        </is>
      </c>
      <c r="G1018" t="inlineStr">
        <is>
          <t>1</t>
        </is>
      </c>
      <c r="H1018" t="inlineStr">
        <is>
          <t>No</t>
        </is>
      </c>
      <c r="I1018" t="inlineStr">
        <is>
          <t>No</t>
        </is>
      </c>
      <c r="J1018" t="inlineStr">
        <is>
          <t>0</t>
        </is>
      </c>
      <c r="K1018" t="inlineStr">
        <is>
          <t>Smith, H. Shelton (Hilrie Shelton), 1893-1987.</t>
        </is>
      </c>
      <c r="L1018" t="inlineStr">
        <is>
          <t>Durham, N.C., Duke University Press, 1972.</t>
        </is>
      </c>
      <c r="M1018" t="inlineStr">
        <is>
          <t>1972</t>
        </is>
      </c>
      <c r="O1018" t="inlineStr">
        <is>
          <t>eng</t>
        </is>
      </c>
      <c r="P1018" t="inlineStr">
        <is>
          <t>ncu</t>
        </is>
      </c>
      <c r="R1018" t="inlineStr">
        <is>
          <t xml:space="preserve">BT </t>
        </is>
      </c>
      <c r="S1018" t="n">
        <v>7</v>
      </c>
      <c r="T1018" t="n">
        <v>7</v>
      </c>
      <c r="U1018" t="inlineStr">
        <is>
          <t>1999-11-19</t>
        </is>
      </c>
      <c r="V1018" t="inlineStr">
        <is>
          <t>1999-11-19</t>
        </is>
      </c>
      <c r="W1018" t="inlineStr">
        <is>
          <t>1991-09-26</t>
        </is>
      </c>
      <c r="X1018" t="inlineStr">
        <is>
          <t>1991-09-26</t>
        </is>
      </c>
      <c r="Y1018" t="n">
        <v>1334</v>
      </c>
      <c r="Z1018" t="n">
        <v>1221</v>
      </c>
      <c r="AA1018" t="n">
        <v>1229</v>
      </c>
      <c r="AB1018" t="n">
        <v>14</v>
      </c>
      <c r="AC1018" t="n">
        <v>14</v>
      </c>
      <c r="AD1018" t="n">
        <v>54</v>
      </c>
      <c r="AE1018" t="n">
        <v>54</v>
      </c>
      <c r="AF1018" t="n">
        <v>24</v>
      </c>
      <c r="AG1018" t="n">
        <v>24</v>
      </c>
      <c r="AH1018" t="n">
        <v>7</v>
      </c>
      <c r="AI1018" t="n">
        <v>7</v>
      </c>
      <c r="AJ1018" t="n">
        <v>23</v>
      </c>
      <c r="AK1018" t="n">
        <v>23</v>
      </c>
      <c r="AL1018" t="n">
        <v>12</v>
      </c>
      <c r="AM1018" t="n">
        <v>12</v>
      </c>
      <c r="AN1018" t="n">
        <v>0</v>
      </c>
      <c r="AO1018" t="n">
        <v>0</v>
      </c>
      <c r="AP1018" t="inlineStr">
        <is>
          <t>No</t>
        </is>
      </c>
      <c r="AQ1018" t="inlineStr">
        <is>
          <t>Yes</t>
        </is>
      </c>
      <c r="AR1018">
        <f>HYPERLINK("http://catalog.hathitrust.org/Record/001412497","HathiTrust Record")</f>
        <v/>
      </c>
      <c r="AS1018">
        <f>HYPERLINK("https://creighton-primo.hosted.exlibrisgroup.com/primo-explore/search?tab=default_tab&amp;search_scope=EVERYTHING&amp;vid=01CRU&amp;lang=en_US&amp;offset=0&amp;query=any,contains,991002656089702656","Catalog Record")</f>
        <v/>
      </c>
      <c r="AT1018">
        <f>HYPERLINK("http://www.worldcat.org/oclc/388863","WorldCat Record")</f>
        <v/>
      </c>
      <c r="AU1018" t="inlineStr">
        <is>
          <t>486037:eng</t>
        </is>
      </c>
      <c r="AV1018" t="inlineStr">
        <is>
          <t>388863</t>
        </is>
      </c>
      <c r="AW1018" t="inlineStr">
        <is>
          <t>991002656089702656</t>
        </is>
      </c>
      <c r="AX1018" t="inlineStr">
        <is>
          <t>991002656089702656</t>
        </is>
      </c>
      <c r="AY1018" t="inlineStr">
        <is>
          <t>2254818460002656</t>
        </is>
      </c>
      <c r="AZ1018" t="inlineStr">
        <is>
          <t>BOOK</t>
        </is>
      </c>
      <c r="BB1018" t="inlineStr">
        <is>
          <t>9780822302735</t>
        </is>
      </c>
      <c r="BC1018" t="inlineStr">
        <is>
          <t>32285000749464</t>
        </is>
      </c>
      <c r="BD1018" t="inlineStr">
        <is>
          <t>893691843</t>
        </is>
      </c>
    </row>
    <row r="1019">
      <c r="A1019" t="inlineStr">
        <is>
          <t>No</t>
        </is>
      </c>
      <c r="B1019" t="inlineStr">
        <is>
          <t>BT736.15 .B76</t>
        </is>
      </c>
      <c r="C1019" t="inlineStr">
        <is>
          <t>0                      BT 0736150B  76</t>
        </is>
      </c>
      <c r="D1019" t="inlineStr">
        <is>
          <t>Religion and violence : a primer for white Americans / by Robert McAfee Brown.</t>
        </is>
      </c>
      <c r="F1019" t="inlineStr">
        <is>
          <t>No</t>
        </is>
      </c>
      <c r="G1019" t="inlineStr">
        <is>
          <t>1</t>
        </is>
      </c>
      <c r="H1019" t="inlineStr">
        <is>
          <t>No</t>
        </is>
      </c>
      <c r="I1019" t="inlineStr">
        <is>
          <t>No</t>
        </is>
      </c>
      <c r="J1019" t="inlineStr">
        <is>
          <t>0</t>
        </is>
      </c>
      <c r="K1019" t="inlineStr">
        <is>
          <t>Brown, Robert McAfee, 1920-2001.</t>
        </is>
      </c>
      <c r="L1019" t="inlineStr">
        <is>
          <t>Philadelphia, Westminster Press [1973]</t>
        </is>
      </c>
      <c r="M1019" t="inlineStr">
        <is>
          <t>1973</t>
        </is>
      </c>
      <c r="O1019" t="inlineStr">
        <is>
          <t>eng</t>
        </is>
      </c>
      <c r="P1019" t="inlineStr">
        <is>
          <t>pau</t>
        </is>
      </c>
      <c r="R1019" t="inlineStr">
        <is>
          <t xml:space="preserve">BT </t>
        </is>
      </c>
      <c r="S1019" t="n">
        <v>10</v>
      </c>
      <c r="T1019" t="n">
        <v>10</v>
      </c>
      <c r="U1019" t="inlineStr">
        <is>
          <t>2006-01-26</t>
        </is>
      </c>
      <c r="V1019" t="inlineStr">
        <is>
          <t>2006-01-26</t>
        </is>
      </c>
      <c r="W1019" t="inlineStr">
        <is>
          <t>1990-04-03</t>
        </is>
      </c>
      <c r="X1019" t="inlineStr">
        <is>
          <t>1990-04-03</t>
        </is>
      </c>
      <c r="Y1019" t="n">
        <v>590</v>
      </c>
      <c r="Z1019" t="n">
        <v>534</v>
      </c>
      <c r="AA1019" t="n">
        <v>566</v>
      </c>
      <c r="AB1019" t="n">
        <v>4</v>
      </c>
      <c r="AC1019" t="n">
        <v>4</v>
      </c>
      <c r="AD1019" t="n">
        <v>29</v>
      </c>
      <c r="AE1019" t="n">
        <v>29</v>
      </c>
      <c r="AF1019" t="n">
        <v>11</v>
      </c>
      <c r="AG1019" t="n">
        <v>11</v>
      </c>
      <c r="AH1019" t="n">
        <v>7</v>
      </c>
      <c r="AI1019" t="n">
        <v>7</v>
      </c>
      <c r="AJ1019" t="n">
        <v>20</v>
      </c>
      <c r="AK1019" t="n">
        <v>20</v>
      </c>
      <c r="AL1019" t="n">
        <v>3</v>
      </c>
      <c r="AM1019" t="n">
        <v>3</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HYPERLINK("https://creighton-primo.hosted.exlibrisgroup.com/primo-explore/search?tab=default_tab&amp;search_scope=EVERYTHING&amp;vid=01CRU&amp;lang=en_US&amp;offset=0&amp;query=any,contains,991003162229702656","Catalog Record")</f>
        <v/>
      </c>
      <c r="AT1019">
        <f>HYPERLINK("http://www.worldcat.org/oclc/700904","WorldCat Record")</f>
        <v/>
      </c>
      <c r="AU1019" t="inlineStr">
        <is>
          <t>3944662493:eng</t>
        </is>
      </c>
      <c r="AV1019" t="inlineStr">
        <is>
          <t>700904</t>
        </is>
      </c>
      <c r="AW1019" t="inlineStr">
        <is>
          <t>991003162229702656</t>
        </is>
      </c>
      <c r="AX1019" t="inlineStr">
        <is>
          <t>991003162229702656</t>
        </is>
      </c>
      <c r="AY1019" t="inlineStr">
        <is>
          <t>2255506020002656</t>
        </is>
      </c>
      <c r="AZ1019" t="inlineStr">
        <is>
          <t>BOOK</t>
        </is>
      </c>
      <c r="BB1019" t="inlineStr">
        <is>
          <t>9780664249779</t>
        </is>
      </c>
      <c r="BC1019" t="inlineStr">
        <is>
          <t>32285000109131</t>
        </is>
      </c>
      <c r="BD1019" t="inlineStr">
        <is>
          <t>893416103</t>
        </is>
      </c>
    </row>
    <row r="1020">
      <c r="A1020" t="inlineStr">
        <is>
          <t>No</t>
        </is>
      </c>
      <c r="B1020" t="inlineStr">
        <is>
          <t>BT736.15 .C313 1971</t>
        </is>
      </c>
      <c r="C1020" t="inlineStr">
        <is>
          <t>0                      BT 0736150C  313         1971</t>
        </is>
      </c>
      <c r="D1020" t="inlineStr">
        <is>
          <t>Spiral of violence / Helder Camara ; translated [from the French] by Della Couling.</t>
        </is>
      </c>
      <c r="F1020" t="inlineStr">
        <is>
          <t>No</t>
        </is>
      </c>
      <c r="G1020" t="inlineStr">
        <is>
          <t>1</t>
        </is>
      </c>
      <c r="H1020" t="inlineStr">
        <is>
          <t>No</t>
        </is>
      </c>
      <c r="I1020" t="inlineStr">
        <is>
          <t>No</t>
        </is>
      </c>
      <c r="J1020" t="inlineStr">
        <is>
          <t>0</t>
        </is>
      </c>
      <c r="K1020" t="inlineStr">
        <is>
          <t>Câmara, Hélder, 1909-1999.</t>
        </is>
      </c>
      <c r="L1020" t="inlineStr">
        <is>
          <t>London : Sheed and Ward ; Denville, NJ : Dimension Books, 1971.</t>
        </is>
      </c>
      <c r="M1020" t="inlineStr">
        <is>
          <t>1971</t>
        </is>
      </c>
      <c r="O1020" t="inlineStr">
        <is>
          <t>eng</t>
        </is>
      </c>
      <c r="P1020" t="inlineStr">
        <is>
          <t>enk</t>
        </is>
      </c>
      <c r="R1020" t="inlineStr">
        <is>
          <t xml:space="preserve">BT </t>
        </is>
      </c>
      <c r="S1020" t="n">
        <v>5</v>
      </c>
      <c r="T1020" t="n">
        <v>5</v>
      </c>
      <c r="U1020" t="inlineStr">
        <is>
          <t>2004-09-10</t>
        </is>
      </c>
      <c r="V1020" t="inlineStr">
        <is>
          <t>2004-09-10</t>
        </is>
      </c>
      <c r="W1020" t="inlineStr">
        <is>
          <t>1990-04-03</t>
        </is>
      </c>
      <c r="X1020" t="inlineStr">
        <is>
          <t>1990-04-03</t>
        </is>
      </c>
      <c r="Y1020" t="n">
        <v>189</v>
      </c>
      <c r="Z1020" t="n">
        <v>104</v>
      </c>
      <c r="AA1020" t="n">
        <v>189</v>
      </c>
      <c r="AB1020" t="n">
        <v>2</v>
      </c>
      <c r="AC1020" t="n">
        <v>2</v>
      </c>
      <c r="AD1020" t="n">
        <v>3</v>
      </c>
      <c r="AE1020" t="n">
        <v>12</v>
      </c>
      <c r="AF1020" t="n">
        <v>1</v>
      </c>
      <c r="AG1020" t="n">
        <v>1</v>
      </c>
      <c r="AH1020" t="n">
        <v>1</v>
      </c>
      <c r="AI1020" t="n">
        <v>4</v>
      </c>
      <c r="AJ1020" t="n">
        <v>1</v>
      </c>
      <c r="AK1020" t="n">
        <v>9</v>
      </c>
      <c r="AL1020" t="n">
        <v>1</v>
      </c>
      <c r="AM1020" t="n">
        <v>1</v>
      </c>
      <c r="AN1020" t="n">
        <v>0</v>
      </c>
      <c r="AO1020" t="n">
        <v>0</v>
      </c>
      <c r="AP1020" t="inlineStr">
        <is>
          <t>No</t>
        </is>
      </c>
      <c r="AQ1020" t="inlineStr">
        <is>
          <t>Yes</t>
        </is>
      </c>
      <c r="AR1020">
        <f>HYPERLINK("http://catalog.hathitrust.org/Record/000974075","HathiTrust Record")</f>
        <v/>
      </c>
      <c r="AS1020">
        <f>HYPERLINK("https://creighton-primo.hosted.exlibrisgroup.com/primo-explore/search?tab=default_tab&amp;search_scope=EVERYTHING&amp;vid=01CRU&amp;lang=en_US&amp;offset=0&amp;query=any,contains,991001222619702656","Catalog Record")</f>
        <v/>
      </c>
      <c r="AT1020">
        <f>HYPERLINK("http://www.worldcat.org/oclc/197790","WorldCat Record")</f>
        <v/>
      </c>
      <c r="AU1020" t="inlineStr">
        <is>
          <t>51566777:eng</t>
        </is>
      </c>
      <c r="AV1020" t="inlineStr">
        <is>
          <t>197790</t>
        </is>
      </c>
      <c r="AW1020" t="inlineStr">
        <is>
          <t>991001222619702656</t>
        </is>
      </c>
      <c r="AX1020" t="inlineStr">
        <is>
          <t>991001222619702656</t>
        </is>
      </c>
      <c r="AY1020" t="inlineStr">
        <is>
          <t>2272353490002656</t>
        </is>
      </c>
      <c r="AZ1020" t="inlineStr">
        <is>
          <t>BOOK</t>
        </is>
      </c>
      <c r="BB1020" t="inlineStr">
        <is>
          <t>9780722008249</t>
        </is>
      </c>
      <c r="BC1020" t="inlineStr">
        <is>
          <t>32285000109149</t>
        </is>
      </c>
      <c r="BD1020" t="inlineStr">
        <is>
          <t>893225710</t>
        </is>
      </c>
    </row>
    <row r="1021">
      <c r="A1021" t="inlineStr">
        <is>
          <t>No</t>
        </is>
      </c>
      <c r="B1021" t="inlineStr">
        <is>
          <t>BT736.15 .E413</t>
        </is>
      </c>
      <c r="C1021" t="inlineStr">
        <is>
          <t>0                      BT 0736150E  413</t>
        </is>
      </c>
      <c r="D1021" t="inlineStr">
        <is>
          <t>Violence : reflections from a Christian perspective / Translated by Cecelia Gaul Kings.</t>
        </is>
      </c>
      <c r="F1021" t="inlineStr">
        <is>
          <t>No</t>
        </is>
      </c>
      <c r="G1021" t="inlineStr">
        <is>
          <t>1</t>
        </is>
      </c>
      <c r="H1021" t="inlineStr">
        <is>
          <t>No</t>
        </is>
      </c>
      <c r="I1021" t="inlineStr">
        <is>
          <t>No</t>
        </is>
      </c>
      <c r="J1021" t="inlineStr">
        <is>
          <t>0</t>
        </is>
      </c>
      <c r="K1021" t="inlineStr">
        <is>
          <t>Ellul, Jacques, 1912-1994.</t>
        </is>
      </c>
      <c r="L1021" t="inlineStr">
        <is>
          <t>New York, Seabury Press [1969]</t>
        </is>
      </c>
      <c r="M1021" t="inlineStr">
        <is>
          <t>1969</t>
        </is>
      </c>
      <c r="O1021" t="inlineStr">
        <is>
          <t>eng</t>
        </is>
      </c>
      <c r="P1021" t="inlineStr">
        <is>
          <t>nyu</t>
        </is>
      </c>
      <c r="R1021" t="inlineStr">
        <is>
          <t xml:space="preserve">BT </t>
        </is>
      </c>
      <c r="S1021" t="n">
        <v>2</v>
      </c>
      <c r="T1021" t="n">
        <v>2</v>
      </c>
      <c r="U1021" t="inlineStr">
        <is>
          <t>2009-05-22</t>
        </is>
      </c>
      <c r="V1021" t="inlineStr">
        <is>
          <t>2009-05-22</t>
        </is>
      </c>
      <c r="W1021" t="inlineStr">
        <is>
          <t>1991-09-26</t>
        </is>
      </c>
      <c r="X1021" t="inlineStr">
        <is>
          <t>1991-09-26</t>
        </is>
      </c>
      <c r="Y1021" t="n">
        <v>1054</v>
      </c>
      <c r="Z1021" t="n">
        <v>953</v>
      </c>
      <c r="AA1021" t="n">
        <v>984</v>
      </c>
      <c r="AB1021" t="n">
        <v>9</v>
      </c>
      <c r="AC1021" t="n">
        <v>9</v>
      </c>
      <c r="AD1021" t="n">
        <v>42</v>
      </c>
      <c r="AE1021" t="n">
        <v>43</v>
      </c>
      <c r="AF1021" t="n">
        <v>18</v>
      </c>
      <c r="AG1021" t="n">
        <v>18</v>
      </c>
      <c r="AH1021" t="n">
        <v>8</v>
      </c>
      <c r="AI1021" t="n">
        <v>8</v>
      </c>
      <c r="AJ1021" t="n">
        <v>23</v>
      </c>
      <c r="AK1021" t="n">
        <v>24</v>
      </c>
      <c r="AL1021" t="n">
        <v>6</v>
      </c>
      <c r="AM1021" t="n">
        <v>6</v>
      </c>
      <c r="AN1021" t="n">
        <v>0</v>
      </c>
      <c r="AO1021" t="n">
        <v>0</v>
      </c>
      <c r="AP1021" t="inlineStr">
        <is>
          <t>No</t>
        </is>
      </c>
      <c r="AQ1021" t="inlineStr">
        <is>
          <t>Yes</t>
        </is>
      </c>
      <c r="AR1021">
        <f>HYPERLINK("http://catalog.hathitrust.org/Record/001412500","HathiTrust Record")</f>
        <v/>
      </c>
      <c r="AS1021">
        <f>HYPERLINK("https://creighton-primo.hosted.exlibrisgroup.com/primo-explore/search?tab=default_tab&amp;search_scope=EVERYTHING&amp;vid=01CRU&amp;lang=en_US&amp;offset=0&amp;query=any,contains,991000003279702656","Catalog Record")</f>
        <v/>
      </c>
      <c r="AT1021">
        <f>HYPERLINK("http://www.worldcat.org/oclc/12028","WorldCat Record")</f>
        <v/>
      </c>
      <c r="AU1021" t="inlineStr">
        <is>
          <t>287913022:eng</t>
        </is>
      </c>
      <c r="AV1021" t="inlineStr">
        <is>
          <t>12028</t>
        </is>
      </c>
      <c r="AW1021" t="inlineStr">
        <is>
          <t>991000003279702656</t>
        </is>
      </c>
      <c r="AX1021" t="inlineStr">
        <is>
          <t>991000003279702656</t>
        </is>
      </c>
      <c r="AY1021" t="inlineStr">
        <is>
          <t>2264693790002656</t>
        </is>
      </c>
      <c r="AZ1021" t="inlineStr">
        <is>
          <t>BOOK</t>
        </is>
      </c>
      <c r="BC1021" t="inlineStr">
        <is>
          <t>32285000749480</t>
        </is>
      </c>
      <c r="BD1021" t="inlineStr">
        <is>
          <t>893790162</t>
        </is>
      </c>
    </row>
    <row r="1022">
      <c r="A1022" t="inlineStr">
        <is>
          <t>No</t>
        </is>
      </c>
      <c r="B1022" t="inlineStr">
        <is>
          <t>BT736.15 .H4513</t>
        </is>
      </c>
      <c r="C1022" t="inlineStr">
        <is>
          <t>0                      BT 0736150H  4513</t>
        </is>
      </c>
      <c r="D1022" t="inlineStr">
        <is>
          <t>Victory over violence, Jesus and the revolutionists. Translated by David E. Green. With an introd. by Robin Scroggs.</t>
        </is>
      </c>
      <c r="F1022" t="inlineStr">
        <is>
          <t>No</t>
        </is>
      </c>
      <c r="G1022" t="inlineStr">
        <is>
          <t>1</t>
        </is>
      </c>
      <c r="H1022" t="inlineStr">
        <is>
          <t>No</t>
        </is>
      </c>
      <c r="I1022" t="inlineStr">
        <is>
          <t>No</t>
        </is>
      </c>
      <c r="J1022" t="inlineStr">
        <is>
          <t>0</t>
        </is>
      </c>
      <c r="K1022" t="inlineStr">
        <is>
          <t>Hengel, Martin.</t>
        </is>
      </c>
      <c r="L1022" t="inlineStr">
        <is>
          <t>Philadelphia, Fortress Press [1973]</t>
        </is>
      </c>
      <c r="M1022" t="inlineStr">
        <is>
          <t>1973</t>
        </is>
      </c>
      <c r="O1022" t="inlineStr">
        <is>
          <t>eng</t>
        </is>
      </c>
      <c r="P1022" t="inlineStr">
        <is>
          <t>pau</t>
        </is>
      </c>
      <c r="R1022" t="inlineStr">
        <is>
          <t xml:space="preserve">BT </t>
        </is>
      </c>
      <c r="S1022" t="n">
        <v>6</v>
      </c>
      <c r="T1022" t="n">
        <v>6</v>
      </c>
      <c r="U1022" t="inlineStr">
        <is>
          <t>2009-03-17</t>
        </is>
      </c>
      <c r="V1022" t="inlineStr">
        <is>
          <t>2009-03-17</t>
        </is>
      </c>
      <c r="W1022" t="inlineStr">
        <is>
          <t>1991-09-26</t>
        </is>
      </c>
      <c r="X1022" t="inlineStr">
        <is>
          <t>1991-09-26</t>
        </is>
      </c>
      <c r="Y1022" t="n">
        <v>490</v>
      </c>
      <c r="Z1022" t="n">
        <v>433</v>
      </c>
      <c r="AA1022" t="n">
        <v>437</v>
      </c>
      <c r="AB1022" t="n">
        <v>4</v>
      </c>
      <c r="AC1022" t="n">
        <v>4</v>
      </c>
      <c r="AD1022" t="n">
        <v>27</v>
      </c>
      <c r="AE1022" t="n">
        <v>27</v>
      </c>
      <c r="AF1022" t="n">
        <v>8</v>
      </c>
      <c r="AG1022" t="n">
        <v>8</v>
      </c>
      <c r="AH1022" t="n">
        <v>6</v>
      </c>
      <c r="AI1022" t="n">
        <v>6</v>
      </c>
      <c r="AJ1022" t="n">
        <v>16</v>
      </c>
      <c r="AK1022" t="n">
        <v>16</v>
      </c>
      <c r="AL1022" t="n">
        <v>3</v>
      </c>
      <c r="AM1022" t="n">
        <v>3</v>
      </c>
      <c r="AN1022" t="n">
        <v>1</v>
      </c>
      <c r="AO1022" t="n">
        <v>1</v>
      </c>
      <c r="AP1022" t="inlineStr">
        <is>
          <t>No</t>
        </is>
      </c>
      <c r="AQ1022" t="inlineStr">
        <is>
          <t>No</t>
        </is>
      </c>
      <c r="AS1022">
        <f>HYPERLINK("https://creighton-primo.hosted.exlibrisgroup.com/primo-explore/search?tab=default_tab&amp;search_scope=EVERYTHING&amp;vid=01CRU&amp;lang=en_US&amp;offset=0&amp;query=any,contains,991003155169702656","Catalog Record")</f>
        <v/>
      </c>
      <c r="AT1022">
        <f>HYPERLINK("http://www.worldcat.org/oclc/694115","WorldCat Record")</f>
        <v/>
      </c>
      <c r="AU1022" t="inlineStr">
        <is>
          <t>5091357693:eng</t>
        </is>
      </c>
      <c r="AV1022" t="inlineStr">
        <is>
          <t>694115</t>
        </is>
      </c>
      <c r="AW1022" t="inlineStr">
        <is>
          <t>991003155169702656</t>
        </is>
      </c>
      <c r="AX1022" t="inlineStr">
        <is>
          <t>991003155169702656</t>
        </is>
      </c>
      <c r="AY1022" t="inlineStr">
        <is>
          <t>2266916060002656</t>
        </is>
      </c>
      <c r="AZ1022" t="inlineStr">
        <is>
          <t>BOOK</t>
        </is>
      </c>
      <c r="BB1022" t="inlineStr">
        <is>
          <t>9780800601676</t>
        </is>
      </c>
      <c r="BC1022" t="inlineStr">
        <is>
          <t>32285000749514</t>
        </is>
      </c>
      <c r="BD1022" t="inlineStr">
        <is>
          <t>893711104</t>
        </is>
      </c>
    </row>
    <row r="1023">
      <c r="A1023" t="inlineStr">
        <is>
          <t>No</t>
        </is>
      </c>
      <c r="B1023" t="inlineStr">
        <is>
          <t>BT736.15 .H8313 1996</t>
        </is>
      </c>
      <c r="C1023" t="inlineStr">
        <is>
          <t>0                      BT 0736150H  8313        1996</t>
        </is>
      </c>
      <c r="D1023" t="inlineStr">
        <is>
          <t>Violence : the unrelenting assault on human dignity / Wolfgang Huber ; translated by Ruth C.L. Gritsch ; foreword by Daniel Berrigan.</t>
        </is>
      </c>
      <c r="F1023" t="inlineStr">
        <is>
          <t>No</t>
        </is>
      </c>
      <c r="G1023" t="inlineStr">
        <is>
          <t>1</t>
        </is>
      </c>
      <c r="H1023" t="inlineStr">
        <is>
          <t>No</t>
        </is>
      </c>
      <c r="I1023" t="inlineStr">
        <is>
          <t>No</t>
        </is>
      </c>
      <c r="J1023" t="inlineStr">
        <is>
          <t>0</t>
        </is>
      </c>
      <c r="K1023" t="inlineStr">
        <is>
          <t>Huber, Wolfgang, 1942-</t>
        </is>
      </c>
      <c r="L1023" t="inlineStr">
        <is>
          <t>Minneapolis : Fortress Press, 1996.</t>
        </is>
      </c>
      <c r="M1023" t="inlineStr">
        <is>
          <t>1996</t>
        </is>
      </c>
      <c r="N1023" t="inlineStr">
        <is>
          <t>1st Fortress Press ed.</t>
        </is>
      </c>
      <c r="O1023" t="inlineStr">
        <is>
          <t>eng</t>
        </is>
      </c>
      <c r="P1023" t="inlineStr">
        <is>
          <t>mnu</t>
        </is>
      </c>
      <c r="R1023" t="inlineStr">
        <is>
          <t xml:space="preserve">BT </t>
        </is>
      </c>
      <c r="S1023" t="n">
        <v>6</v>
      </c>
      <c r="T1023" t="n">
        <v>6</v>
      </c>
      <c r="U1023" t="inlineStr">
        <is>
          <t>2009-03-17</t>
        </is>
      </c>
      <c r="V1023" t="inlineStr">
        <is>
          <t>2009-03-17</t>
        </is>
      </c>
      <c r="W1023" t="inlineStr">
        <is>
          <t>1996-09-12</t>
        </is>
      </c>
      <c r="X1023" t="inlineStr">
        <is>
          <t>1996-09-12</t>
        </is>
      </c>
      <c r="Y1023" t="n">
        <v>429</v>
      </c>
      <c r="Z1023" t="n">
        <v>385</v>
      </c>
      <c r="AA1023" t="n">
        <v>385</v>
      </c>
      <c r="AB1023" t="n">
        <v>2</v>
      </c>
      <c r="AC1023" t="n">
        <v>2</v>
      </c>
      <c r="AD1023" t="n">
        <v>26</v>
      </c>
      <c r="AE1023" t="n">
        <v>26</v>
      </c>
      <c r="AF1023" t="n">
        <v>13</v>
      </c>
      <c r="AG1023" t="n">
        <v>13</v>
      </c>
      <c r="AH1023" t="n">
        <v>7</v>
      </c>
      <c r="AI1023" t="n">
        <v>7</v>
      </c>
      <c r="AJ1023" t="n">
        <v>15</v>
      </c>
      <c r="AK1023" t="n">
        <v>15</v>
      </c>
      <c r="AL1023" t="n">
        <v>1</v>
      </c>
      <c r="AM1023" t="n">
        <v>1</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HYPERLINK("https://creighton-primo.hosted.exlibrisgroup.com/primo-explore/search?tab=default_tab&amp;search_scope=EVERYTHING&amp;vid=01CRU&amp;lang=en_US&amp;offset=0&amp;query=any,contains,991002670739702656","Catalog Record")</f>
        <v/>
      </c>
      <c r="AT1023">
        <f>HYPERLINK("http://www.worldcat.org/oclc/34926880","WorldCat Record")</f>
        <v/>
      </c>
      <c r="AU1023" t="inlineStr">
        <is>
          <t>1151511235:eng</t>
        </is>
      </c>
      <c r="AV1023" t="inlineStr">
        <is>
          <t>34926880</t>
        </is>
      </c>
      <c r="AW1023" t="inlineStr">
        <is>
          <t>991002670739702656</t>
        </is>
      </c>
      <c r="AX1023" t="inlineStr">
        <is>
          <t>991002670739702656</t>
        </is>
      </c>
      <c r="AY1023" t="inlineStr">
        <is>
          <t>2256074670002656</t>
        </is>
      </c>
      <c r="AZ1023" t="inlineStr">
        <is>
          <t>BOOK</t>
        </is>
      </c>
      <c r="BB1023" t="inlineStr">
        <is>
          <t>9780800628581</t>
        </is>
      </c>
      <c r="BC1023" t="inlineStr">
        <is>
          <t>32285002317526</t>
        </is>
      </c>
      <c r="BD1023" t="inlineStr">
        <is>
          <t>893603855</t>
        </is>
      </c>
    </row>
    <row r="1024">
      <c r="A1024" t="inlineStr">
        <is>
          <t>No</t>
        </is>
      </c>
      <c r="B1024" t="inlineStr">
        <is>
          <t>BT736.15 .M4</t>
        </is>
      </c>
      <c r="C1024" t="inlineStr">
        <is>
          <t>0                      BT 0736150M  4</t>
        </is>
      </c>
      <c r="D1024" t="inlineStr">
        <is>
          <t>Faith and violence : Christian teaching and Christian practice / Thomas Merton.</t>
        </is>
      </c>
      <c r="F1024" t="inlineStr">
        <is>
          <t>No</t>
        </is>
      </c>
      <c r="G1024" t="inlineStr">
        <is>
          <t>1</t>
        </is>
      </c>
      <c r="H1024" t="inlineStr">
        <is>
          <t>No</t>
        </is>
      </c>
      <c r="I1024" t="inlineStr">
        <is>
          <t>No</t>
        </is>
      </c>
      <c r="J1024" t="inlineStr">
        <is>
          <t>0</t>
        </is>
      </c>
      <c r="K1024" t="inlineStr">
        <is>
          <t>Merton, Thomas, 1915-1968.</t>
        </is>
      </c>
      <c r="L1024" t="inlineStr">
        <is>
          <t>[Notre Dame, Ind.] University of Notre Dame Press, 1968.</t>
        </is>
      </c>
      <c r="M1024" t="inlineStr">
        <is>
          <t>1968</t>
        </is>
      </c>
      <c r="O1024" t="inlineStr">
        <is>
          <t>eng</t>
        </is>
      </c>
      <c r="P1024" t="inlineStr">
        <is>
          <t>inu</t>
        </is>
      </c>
      <c r="R1024" t="inlineStr">
        <is>
          <t xml:space="preserve">BT </t>
        </is>
      </c>
      <c r="S1024" t="n">
        <v>5</v>
      </c>
      <c r="T1024" t="n">
        <v>5</v>
      </c>
      <c r="U1024" t="inlineStr">
        <is>
          <t>2009-03-17</t>
        </is>
      </c>
      <c r="V1024" t="inlineStr">
        <is>
          <t>2009-03-17</t>
        </is>
      </c>
      <c r="W1024" t="inlineStr">
        <is>
          <t>1991-09-26</t>
        </is>
      </c>
      <c r="X1024" t="inlineStr">
        <is>
          <t>1991-09-26</t>
        </is>
      </c>
      <c r="Y1024" t="n">
        <v>1003</v>
      </c>
      <c r="Z1024" t="n">
        <v>893</v>
      </c>
      <c r="AA1024" t="n">
        <v>1075</v>
      </c>
      <c r="AB1024" t="n">
        <v>7</v>
      </c>
      <c r="AC1024" t="n">
        <v>7</v>
      </c>
      <c r="AD1024" t="n">
        <v>49</v>
      </c>
      <c r="AE1024" t="n">
        <v>55</v>
      </c>
      <c r="AF1024" t="n">
        <v>22</v>
      </c>
      <c r="AG1024" t="n">
        <v>27</v>
      </c>
      <c r="AH1024" t="n">
        <v>9</v>
      </c>
      <c r="AI1024" t="n">
        <v>10</v>
      </c>
      <c r="AJ1024" t="n">
        <v>25</v>
      </c>
      <c r="AK1024" t="n">
        <v>26</v>
      </c>
      <c r="AL1024" t="n">
        <v>5</v>
      </c>
      <c r="AM1024" t="n">
        <v>5</v>
      </c>
      <c r="AN1024" t="n">
        <v>0</v>
      </c>
      <c r="AO1024" t="n">
        <v>0</v>
      </c>
      <c r="AP1024" t="inlineStr">
        <is>
          <t>No</t>
        </is>
      </c>
      <c r="AQ1024" t="inlineStr">
        <is>
          <t>Yes</t>
        </is>
      </c>
      <c r="AR1024">
        <f>HYPERLINK("http://catalog.hathitrust.org/Record/001412501","HathiTrust Record")</f>
        <v/>
      </c>
      <c r="AS1024">
        <f>HYPERLINK("https://creighton-primo.hosted.exlibrisgroup.com/primo-explore/search?tab=default_tab&amp;search_scope=EVERYTHING&amp;vid=01CRU&amp;lang=en_US&amp;offset=0&amp;query=any,contains,991002375009702656","Catalog Record")</f>
        <v/>
      </c>
      <c r="AT1024">
        <f>HYPERLINK("http://www.worldcat.org/oclc/327320","WorldCat Record")</f>
        <v/>
      </c>
      <c r="AU1024" t="inlineStr">
        <is>
          <t>430412:eng</t>
        </is>
      </c>
      <c r="AV1024" t="inlineStr">
        <is>
          <t>327320</t>
        </is>
      </c>
      <c r="AW1024" t="inlineStr">
        <is>
          <t>991002375009702656</t>
        </is>
      </c>
      <c r="AX1024" t="inlineStr">
        <is>
          <t>991002375009702656</t>
        </is>
      </c>
      <c r="AY1024" t="inlineStr">
        <is>
          <t>2272786450002656</t>
        </is>
      </c>
      <c r="AZ1024" t="inlineStr">
        <is>
          <t>BOOK</t>
        </is>
      </c>
      <c r="BC1024" t="inlineStr">
        <is>
          <t>32285000749522</t>
        </is>
      </c>
      <c r="BD1024" t="inlineStr">
        <is>
          <t>893710207</t>
        </is>
      </c>
    </row>
    <row r="1025">
      <c r="A1025" t="inlineStr">
        <is>
          <t>No</t>
        </is>
      </c>
      <c r="B1025" t="inlineStr">
        <is>
          <t>BT736.15 .W47</t>
        </is>
      </c>
      <c r="C1025" t="inlineStr">
        <is>
          <t>0                      BT 0736150W  47</t>
        </is>
      </c>
      <c r="D1025" t="inlineStr">
        <is>
          <t>Ethics, violence &amp; revolution / [by] Charles C. West. Commentary by Monika Hellwig [and] Ernest W. Lefever.</t>
        </is>
      </c>
      <c r="F1025" t="inlineStr">
        <is>
          <t>No</t>
        </is>
      </c>
      <c r="G1025" t="inlineStr">
        <is>
          <t>1</t>
        </is>
      </c>
      <c r="H1025" t="inlineStr">
        <is>
          <t>No</t>
        </is>
      </c>
      <c r="I1025" t="inlineStr">
        <is>
          <t>No</t>
        </is>
      </c>
      <c r="J1025" t="inlineStr">
        <is>
          <t>0</t>
        </is>
      </c>
      <c r="K1025" t="inlineStr">
        <is>
          <t>West, Charles C.</t>
        </is>
      </c>
      <c r="L1025" t="inlineStr">
        <is>
          <t>[New York] Council on Religion and International Affairs [c1969]</t>
        </is>
      </c>
      <c r="M1025" t="inlineStr">
        <is>
          <t>1969</t>
        </is>
      </c>
      <c r="O1025" t="inlineStr">
        <is>
          <t>eng</t>
        </is>
      </c>
      <c r="P1025" t="inlineStr">
        <is>
          <t>nyu</t>
        </is>
      </c>
      <c r="Q1025" t="inlineStr">
        <is>
          <t>CRIA special studies ; 208</t>
        </is>
      </c>
      <c r="R1025" t="inlineStr">
        <is>
          <t xml:space="preserve">BT </t>
        </is>
      </c>
      <c r="S1025" t="n">
        <v>5</v>
      </c>
      <c r="T1025" t="n">
        <v>5</v>
      </c>
      <c r="U1025" t="inlineStr">
        <is>
          <t>1995-11-26</t>
        </is>
      </c>
      <c r="V1025" t="inlineStr">
        <is>
          <t>1995-11-26</t>
        </is>
      </c>
      <c r="W1025" t="inlineStr">
        <is>
          <t>1991-09-26</t>
        </is>
      </c>
      <c r="X1025" t="inlineStr">
        <is>
          <t>1991-09-26</t>
        </is>
      </c>
      <c r="Y1025" t="n">
        <v>302</v>
      </c>
      <c r="Z1025" t="n">
        <v>276</v>
      </c>
      <c r="AA1025" t="n">
        <v>281</v>
      </c>
      <c r="AB1025" t="n">
        <v>3</v>
      </c>
      <c r="AC1025" t="n">
        <v>3</v>
      </c>
      <c r="AD1025" t="n">
        <v>18</v>
      </c>
      <c r="AE1025" t="n">
        <v>18</v>
      </c>
      <c r="AF1025" t="n">
        <v>4</v>
      </c>
      <c r="AG1025" t="n">
        <v>4</v>
      </c>
      <c r="AH1025" t="n">
        <v>5</v>
      </c>
      <c r="AI1025" t="n">
        <v>5</v>
      </c>
      <c r="AJ1025" t="n">
        <v>12</v>
      </c>
      <c r="AK1025" t="n">
        <v>12</v>
      </c>
      <c r="AL1025" t="n">
        <v>2</v>
      </c>
      <c r="AM1025" t="n">
        <v>2</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HYPERLINK("https://creighton-primo.hosted.exlibrisgroup.com/primo-explore/search?tab=default_tab&amp;search_scope=EVERYTHING&amp;vid=01CRU&amp;lang=en_US&amp;offset=0&amp;query=any,contains,991002654989702656","Catalog Record")</f>
        <v/>
      </c>
      <c r="AT1025">
        <f>HYPERLINK("http://www.worldcat.org/oclc/388466","WorldCat Record")</f>
        <v/>
      </c>
      <c r="AU1025" t="inlineStr">
        <is>
          <t>143512334:eng</t>
        </is>
      </c>
      <c r="AV1025" t="inlineStr">
        <is>
          <t>388466</t>
        </is>
      </c>
      <c r="AW1025" t="inlineStr">
        <is>
          <t>991002654989702656</t>
        </is>
      </c>
      <c r="AX1025" t="inlineStr">
        <is>
          <t>991002654989702656</t>
        </is>
      </c>
      <c r="AY1025" t="inlineStr">
        <is>
          <t>2255019400002656</t>
        </is>
      </c>
      <c r="AZ1025" t="inlineStr">
        <is>
          <t>BOOK</t>
        </is>
      </c>
      <c r="BC1025" t="inlineStr">
        <is>
          <t>32285000749530</t>
        </is>
      </c>
      <c r="BD1025" t="inlineStr">
        <is>
          <t>893352447</t>
        </is>
      </c>
    </row>
    <row r="1026">
      <c r="A1026" t="inlineStr">
        <is>
          <t>No</t>
        </is>
      </c>
      <c r="B1026" t="inlineStr">
        <is>
          <t>BT736.2 .B3 1960</t>
        </is>
      </c>
      <c r="C1026" t="inlineStr">
        <is>
          <t>0                      BT 0736200B  3           1960</t>
        </is>
      </c>
      <c r="D1026" t="inlineStr">
        <is>
          <t>Christian attitudes toward war and peace : a historical survey and critical re-evaluation / Roland H. Bainton.</t>
        </is>
      </c>
      <c r="F1026" t="inlineStr">
        <is>
          <t>No</t>
        </is>
      </c>
      <c r="G1026" t="inlineStr">
        <is>
          <t>1</t>
        </is>
      </c>
      <c r="H1026" t="inlineStr">
        <is>
          <t>No</t>
        </is>
      </c>
      <c r="I1026" t="inlineStr">
        <is>
          <t>No</t>
        </is>
      </c>
      <c r="J1026" t="inlineStr">
        <is>
          <t>0</t>
        </is>
      </c>
      <c r="K1026" t="inlineStr">
        <is>
          <t>Bainton, Roland H. (Roland Herbert), 1894-1984.</t>
        </is>
      </c>
      <c r="L1026" t="inlineStr">
        <is>
          <t>New York : Abingdon Press, [1960]</t>
        </is>
      </c>
      <c r="M1026" t="inlineStr">
        <is>
          <t>1960</t>
        </is>
      </c>
      <c r="O1026" t="inlineStr">
        <is>
          <t>eng</t>
        </is>
      </c>
      <c r="P1026" t="inlineStr">
        <is>
          <t>nyu</t>
        </is>
      </c>
      <c r="R1026" t="inlineStr">
        <is>
          <t xml:space="preserve">BT </t>
        </is>
      </c>
      <c r="S1026" t="n">
        <v>9</v>
      </c>
      <c r="T1026" t="n">
        <v>9</v>
      </c>
      <c r="U1026" t="inlineStr">
        <is>
          <t>2006-09-21</t>
        </is>
      </c>
      <c r="V1026" t="inlineStr">
        <is>
          <t>2006-09-21</t>
        </is>
      </c>
      <c r="W1026" t="inlineStr">
        <is>
          <t>1991-09-26</t>
        </is>
      </c>
      <c r="X1026" t="inlineStr">
        <is>
          <t>1991-09-26</t>
        </is>
      </c>
      <c r="Y1026" t="n">
        <v>1200</v>
      </c>
      <c r="Z1026" t="n">
        <v>1069</v>
      </c>
      <c r="AA1026" t="n">
        <v>1147</v>
      </c>
      <c r="AB1026" t="n">
        <v>10</v>
      </c>
      <c r="AC1026" t="n">
        <v>10</v>
      </c>
      <c r="AD1026" t="n">
        <v>48</v>
      </c>
      <c r="AE1026" t="n">
        <v>50</v>
      </c>
      <c r="AF1026" t="n">
        <v>19</v>
      </c>
      <c r="AG1026" t="n">
        <v>21</v>
      </c>
      <c r="AH1026" t="n">
        <v>9</v>
      </c>
      <c r="AI1026" t="n">
        <v>9</v>
      </c>
      <c r="AJ1026" t="n">
        <v>24</v>
      </c>
      <c r="AK1026" t="n">
        <v>25</v>
      </c>
      <c r="AL1026" t="n">
        <v>7</v>
      </c>
      <c r="AM1026" t="n">
        <v>7</v>
      </c>
      <c r="AN1026" t="n">
        <v>0</v>
      </c>
      <c r="AO1026" t="n">
        <v>0</v>
      </c>
      <c r="AP1026" t="inlineStr">
        <is>
          <t>No</t>
        </is>
      </c>
      <c r="AQ1026" t="inlineStr">
        <is>
          <t>Yes</t>
        </is>
      </c>
      <c r="AR1026">
        <f>HYPERLINK("http://catalog.hathitrust.org/Record/000005407","HathiTrust Record")</f>
        <v/>
      </c>
      <c r="AS1026">
        <f>HYPERLINK("https://creighton-primo.hosted.exlibrisgroup.com/primo-explore/search?tab=default_tab&amp;search_scope=EVERYTHING&amp;vid=01CRU&amp;lang=en_US&amp;offset=0&amp;query=any,contains,991002641849702656","Catalog Record")</f>
        <v/>
      </c>
      <c r="AT1026">
        <f>HYPERLINK("http://www.worldcat.org/oclc/384668","WorldCat Record")</f>
        <v/>
      </c>
      <c r="AU1026" t="inlineStr">
        <is>
          <t>429086654:eng</t>
        </is>
      </c>
      <c r="AV1026" t="inlineStr">
        <is>
          <t>384668</t>
        </is>
      </c>
      <c r="AW1026" t="inlineStr">
        <is>
          <t>991002641849702656</t>
        </is>
      </c>
      <c r="AX1026" t="inlineStr">
        <is>
          <t>991002641849702656</t>
        </is>
      </c>
      <c r="AY1026" t="inlineStr">
        <is>
          <t>2258516730002656</t>
        </is>
      </c>
      <c r="AZ1026" t="inlineStr">
        <is>
          <t>BOOK</t>
        </is>
      </c>
      <c r="BC1026" t="inlineStr">
        <is>
          <t>32285000749548</t>
        </is>
      </c>
      <c r="BD1026" t="inlineStr">
        <is>
          <t>893341664</t>
        </is>
      </c>
    </row>
    <row r="1027">
      <c r="A1027" t="inlineStr">
        <is>
          <t>No</t>
        </is>
      </c>
      <c r="B1027" t="inlineStr">
        <is>
          <t>BT736.2 .B762 1992</t>
        </is>
      </c>
      <c r="C1027" t="inlineStr">
        <is>
          <t>0                      BT 0736200B  762         1992</t>
        </is>
      </c>
      <c r="D1027" t="inlineStr">
        <is>
          <t>A brief history of pacifism from Jesus to Tolstoy / by Peter Brock.</t>
        </is>
      </c>
      <c r="F1027" t="inlineStr">
        <is>
          <t>No</t>
        </is>
      </c>
      <c r="G1027" t="inlineStr">
        <is>
          <t>1</t>
        </is>
      </c>
      <c r="H1027" t="inlineStr">
        <is>
          <t>No</t>
        </is>
      </c>
      <c r="I1027" t="inlineStr">
        <is>
          <t>No</t>
        </is>
      </c>
      <c r="J1027" t="inlineStr">
        <is>
          <t>0</t>
        </is>
      </c>
      <c r="K1027" t="inlineStr">
        <is>
          <t>Brock, Peter, 1920-2006.</t>
        </is>
      </c>
      <c r="L1027" t="inlineStr">
        <is>
          <t>Toronto : [P. Brock] : Syracuse, N.Y. : Distributed by Syracuse University Press, 1992.</t>
        </is>
      </c>
      <c r="M1027" t="inlineStr">
        <is>
          <t>1992</t>
        </is>
      </c>
      <c r="N1027" t="inlineStr">
        <is>
          <t>2nd ed.</t>
        </is>
      </c>
      <c r="O1027" t="inlineStr">
        <is>
          <t>eng</t>
        </is>
      </c>
      <c r="P1027" t="inlineStr">
        <is>
          <t>onc</t>
        </is>
      </c>
      <c r="R1027" t="inlineStr">
        <is>
          <t xml:space="preserve">BT </t>
        </is>
      </c>
      <c r="S1027" t="n">
        <v>3</v>
      </c>
      <c r="T1027" t="n">
        <v>3</v>
      </c>
      <c r="U1027" t="inlineStr">
        <is>
          <t>2009-03-17</t>
        </is>
      </c>
      <c r="V1027" t="inlineStr">
        <is>
          <t>2009-03-17</t>
        </is>
      </c>
      <c r="W1027" t="inlineStr">
        <is>
          <t>1995-03-10</t>
        </is>
      </c>
      <c r="X1027" t="inlineStr">
        <is>
          <t>1995-03-10</t>
        </is>
      </c>
      <c r="Y1027" t="n">
        <v>142</v>
      </c>
      <c r="Z1027" t="n">
        <v>99</v>
      </c>
      <c r="AA1027" t="n">
        <v>100</v>
      </c>
      <c r="AB1027" t="n">
        <v>1</v>
      </c>
      <c r="AC1027" t="n">
        <v>1</v>
      </c>
      <c r="AD1027" t="n">
        <v>6</v>
      </c>
      <c r="AE1027" t="n">
        <v>6</v>
      </c>
      <c r="AF1027" t="n">
        <v>3</v>
      </c>
      <c r="AG1027" t="n">
        <v>3</v>
      </c>
      <c r="AH1027" t="n">
        <v>2</v>
      </c>
      <c r="AI1027" t="n">
        <v>2</v>
      </c>
      <c r="AJ1027" t="n">
        <v>3</v>
      </c>
      <c r="AK1027" t="n">
        <v>3</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HYPERLINK("https://creighton-primo.hosted.exlibrisgroup.com/primo-explore/search?tab=default_tab&amp;search_scope=EVERYTHING&amp;vid=01CRU&amp;lang=en_US&amp;offset=0&amp;query=any,contains,991002163709702656","Catalog Record")</f>
        <v/>
      </c>
      <c r="AT1027">
        <f>HYPERLINK("http://www.worldcat.org/oclc/38595138","WorldCat Record")</f>
        <v/>
      </c>
      <c r="AU1027" t="inlineStr">
        <is>
          <t>890648068:eng</t>
        </is>
      </c>
      <c r="AV1027" t="inlineStr">
        <is>
          <t>38595138</t>
        </is>
      </c>
      <c r="AW1027" t="inlineStr">
        <is>
          <t>991002163709702656</t>
        </is>
      </c>
      <c r="AX1027" t="inlineStr">
        <is>
          <t>991002163709702656</t>
        </is>
      </c>
      <c r="AY1027" t="inlineStr">
        <is>
          <t>2261964710002656</t>
        </is>
      </c>
      <c r="AZ1027" t="inlineStr">
        <is>
          <t>BOOK</t>
        </is>
      </c>
      <c r="BB1027" t="inlineStr">
        <is>
          <t>9780969099710</t>
        </is>
      </c>
      <c r="BC1027" t="inlineStr">
        <is>
          <t>32285002002169</t>
        </is>
      </c>
      <c r="BD1027" t="inlineStr">
        <is>
          <t>893721315</t>
        </is>
      </c>
    </row>
    <row r="1028">
      <c r="A1028" t="inlineStr">
        <is>
          <t>No</t>
        </is>
      </c>
      <c r="B1028" t="inlineStr">
        <is>
          <t>BT736.2 .C24 1982</t>
        </is>
      </c>
      <c r="C1028" t="inlineStr">
        <is>
          <t>0                      BT 0736200C  24          1982</t>
        </is>
      </c>
      <c r="D1028" t="inlineStr">
        <is>
          <t>The early Christian attitude to war : a contribution to the history of Christian ethics / C. John Cadoux.</t>
        </is>
      </c>
      <c r="F1028" t="inlineStr">
        <is>
          <t>No</t>
        </is>
      </c>
      <c r="G1028" t="inlineStr">
        <is>
          <t>1</t>
        </is>
      </c>
      <c r="H1028" t="inlineStr">
        <is>
          <t>No</t>
        </is>
      </c>
      <c r="I1028" t="inlineStr">
        <is>
          <t>No</t>
        </is>
      </c>
      <c r="J1028" t="inlineStr">
        <is>
          <t>0</t>
        </is>
      </c>
      <c r="K1028" t="inlineStr">
        <is>
          <t>Cadoux, Cecil John, 1883-1947.</t>
        </is>
      </c>
      <c r="L1028" t="inlineStr">
        <is>
          <t>New York : Seabury Press, 1982.</t>
        </is>
      </c>
      <c r="M1028" t="inlineStr">
        <is>
          <t>1982</t>
        </is>
      </c>
      <c r="O1028" t="inlineStr">
        <is>
          <t>eng</t>
        </is>
      </c>
      <c r="P1028" t="inlineStr">
        <is>
          <t>nyu</t>
        </is>
      </c>
      <c r="R1028" t="inlineStr">
        <is>
          <t xml:space="preserve">BT </t>
        </is>
      </c>
      <c r="S1028" t="n">
        <v>7</v>
      </c>
      <c r="T1028" t="n">
        <v>7</v>
      </c>
      <c r="U1028" t="inlineStr">
        <is>
          <t>1994-04-01</t>
        </is>
      </c>
      <c r="V1028" t="inlineStr">
        <is>
          <t>1994-04-01</t>
        </is>
      </c>
      <c r="W1028" t="inlineStr">
        <is>
          <t>1991-09-26</t>
        </is>
      </c>
      <c r="X1028" t="inlineStr">
        <is>
          <t>1991-09-26</t>
        </is>
      </c>
      <c r="Y1028" t="n">
        <v>405</v>
      </c>
      <c r="Z1028" t="n">
        <v>360</v>
      </c>
      <c r="AA1028" t="n">
        <v>509</v>
      </c>
      <c r="AB1028" t="n">
        <v>6</v>
      </c>
      <c r="AC1028" t="n">
        <v>8</v>
      </c>
      <c r="AD1028" t="n">
        <v>31</v>
      </c>
      <c r="AE1028" t="n">
        <v>38</v>
      </c>
      <c r="AF1028" t="n">
        <v>12</v>
      </c>
      <c r="AG1028" t="n">
        <v>14</v>
      </c>
      <c r="AH1028" t="n">
        <v>7</v>
      </c>
      <c r="AI1028" t="n">
        <v>8</v>
      </c>
      <c r="AJ1028" t="n">
        <v>17</v>
      </c>
      <c r="AK1028" t="n">
        <v>20</v>
      </c>
      <c r="AL1028" t="n">
        <v>4</v>
      </c>
      <c r="AM1028" t="n">
        <v>6</v>
      </c>
      <c r="AN1028" t="n">
        <v>0</v>
      </c>
      <c r="AO1028" t="n">
        <v>0</v>
      </c>
      <c r="AP1028" t="inlineStr">
        <is>
          <t>No</t>
        </is>
      </c>
      <c r="AQ1028" t="inlineStr">
        <is>
          <t>Yes</t>
        </is>
      </c>
      <c r="AR1028">
        <f>HYPERLINK("http://catalog.hathitrust.org/Record/101877547","HathiTrust Record")</f>
        <v/>
      </c>
      <c r="AS1028">
        <f>HYPERLINK("https://creighton-primo.hosted.exlibrisgroup.com/primo-explore/search?tab=default_tab&amp;search_scope=EVERYTHING&amp;vid=01CRU&amp;lang=en_US&amp;offset=0&amp;query=any,contains,991005232719702656","Catalog Record")</f>
        <v/>
      </c>
      <c r="AT1028">
        <f>HYPERLINK("http://www.worldcat.org/oclc/8345693","WorldCat Record")</f>
        <v/>
      </c>
      <c r="AU1028" t="inlineStr">
        <is>
          <t>479596:eng</t>
        </is>
      </c>
      <c r="AV1028" t="inlineStr">
        <is>
          <t>8345693</t>
        </is>
      </c>
      <c r="AW1028" t="inlineStr">
        <is>
          <t>991005232719702656</t>
        </is>
      </c>
      <c r="AX1028" t="inlineStr">
        <is>
          <t>991005232719702656</t>
        </is>
      </c>
      <c r="AY1028" t="inlineStr">
        <is>
          <t>2263261080002656</t>
        </is>
      </c>
      <c r="AZ1028" t="inlineStr">
        <is>
          <t>BOOK</t>
        </is>
      </c>
      <c r="BB1028" t="inlineStr">
        <is>
          <t>9780816424160</t>
        </is>
      </c>
      <c r="BC1028" t="inlineStr">
        <is>
          <t>32285000749555</t>
        </is>
      </c>
      <c r="BD1028" t="inlineStr">
        <is>
          <t>893783256</t>
        </is>
      </c>
    </row>
    <row r="1029">
      <c r="A1029" t="inlineStr">
        <is>
          <t>No</t>
        </is>
      </c>
      <c r="B1029" t="inlineStr">
        <is>
          <t>BT736.2 .C37 1995</t>
        </is>
      </c>
      <c r="C1029" t="inlineStr">
        <is>
          <t>0                      BT 0736200C  37          1995</t>
        </is>
      </c>
      <c r="D1029" t="inlineStr">
        <is>
          <t>Sowing weapons of war: a pastoral reflection on the arms trade and landmines</t>
        </is>
      </c>
      <c r="F1029" t="inlineStr">
        <is>
          <t>No</t>
        </is>
      </c>
      <c r="G1029" t="inlineStr">
        <is>
          <t>1</t>
        </is>
      </c>
      <c r="H1029" t="inlineStr">
        <is>
          <t>No</t>
        </is>
      </c>
      <c r="I1029" t="inlineStr">
        <is>
          <t>No</t>
        </is>
      </c>
      <c r="J1029" t="inlineStr">
        <is>
          <t>0</t>
        </is>
      </c>
      <c r="K1029" t="inlineStr">
        <is>
          <t>Catholic Church. National Conference of Catholic Bishops.</t>
        </is>
      </c>
      <c r="L1029" t="inlineStr">
        <is>
          <t>Washington, DC: United States Catholic Conference, 1995</t>
        </is>
      </c>
      <c r="M1029" t="inlineStr">
        <is>
          <t>1995</t>
        </is>
      </c>
      <c r="O1029" t="inlineStr">
        <is>
          <t>eng</t>
        </is>
      </c>
      <c r="P1029" t="inlineStr">
        <is>
          <t>dcu</t>
        </is>
      </c>
      <c r="R1029" t="inlineStr">
        <is>
          <t xml:space="preserve">BT </t>
        </is>
      </c>
      <c r="S1029" t="n">
        <v>4</v>
      </c>
      <c r="T1029" t="n">
        <v>4</v>
      </c>
      <c r="U1029" t="inlineStr">
        <is>
          <t>2009-03-06</t>
        </is>
      </c>
      <c r="V1029" t="inlineStr">
        <is>
          <t>2009-03-06</t>
        </is>
      </c>
      <c r="W1029" t="inlineStr">
        <is>
          <t>1995-10-11</t>
        </is>
      </c>
      <c r="X1029" t="inlineStr">
        <is>
          <t>1995-10-11</t>
        </is>
      </c>
      <c r="Y1029" t="n">
        <v>55</v>
      </c>
      <c r="Z1029" t="n">
        <v>55</v>
      </c>
      <c r="AA1029" t="n">
        <v>55</v>
      </c>
      <c r="AB1029" t="n">
        <v>1</v>
      </c>
      <c r="AC1029" t="n">
        <v>1</v>
      </c>
      <c r="AD1029" t="n">
        <v>7</v>
      </c>
      <c r="AE1029" t="n">
        <v>7</v>
      </c>
      <c r="AF1029" t="n">
        <v>0</v>
      </c>
      <c r="AG1029" t="n">
        <v>0</v>
      </c>
      <c r="AH1029" t="n">
        <v>3</v>
      </c>
      <c r="AI1029" t="n">
        <v>3</v>
      </c>
      <c r="AJ1029" t="n">
        <v>5</v>
      </c>
      <c r="AK1029" t="n">
        <v>5</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HYPERLINK("https://creighton-primo.hosted.exlibrisgroup.com/primo-explore/search?tab=default_tab&amp;search_scope=EVERYTHING&amp;vid=01CRU&amp;lang=en_US&amp;offset=0&amp;query=any,contains,991002544389702656","Catalog Record")</f>
        <v/>
      </c>
      <c r="AT1029">
        <f>HYPERLINK("http://www.worldcat.org/oclc/33064415","WorldCat Record")</f>
        <v/>
      </c>
      <c r="AU1029" t="inlineStr">
        <is>
          <t>37488894:eng</t>
        </is>
      </c>
      <c r="AV1029" t="inlineStr">
        <is>
          <t>33064415</t>
        </is>
      </c>
      <c r="AW1029" t="inlineStr">
        <is>
          <t>991002544389702656</t>
        </is>
      </c>
      <c r="AX1029" t="inlineStr">
        <is>
          <t>991002544389702656</t>
        </is>
      </c>
      <c r="AY1029" t="inlineStr">
        <is>
          <t>2258176110002656</t>
        </is>
      </c>
      <c r="AZ1029" t="inlineStr">
        <is>
          <t>BOOK</t>
        </is>
      </c>
      <c r="BB1029" t="inlineStr">
        <is>
          <t>9781574550283</t>
        </is>
      </c>
      <c r="BC1029" t="inlineStr">
        <is>
          <t>32285002095676</t>
        </is>
      </c>
      <c r="BD1029" t="inlineStr">
        <is>
          <t>893685465</t>
        </is>
      </c>
    </row>
    <row r="1030">
      <c r="A1030" t="inlineStr">
        <is>
          <t>No</t>
        </is>
      </c>
      <c r="B1030" t="inlineStr">
        <is>
          <t>BT736.2 .H2913</t>
        </is>
      </c>
      <c r="C1030" t="inlineStr">
        <is>
          <t>0                      BT 0736200H  2913</t>
        </is>
      </c>
      <c r="D1030" t="inlineStr">
        <is>
          <t>Militia Christi : the Christian religion and the military in the first three centuries / Adolf Harnack ; translated and introduced by David McInnes Gracie.</t>
        </is>
      </c>
      <c r="F1030" t="inlineStr">
        <is>
          <t>No</t>
        </is>
      </c>
      <c r="G1030" t="inlineStr">
        <is>
          <t>1</t>
        </is>
      </c>
      <c r="H1030" t="inlineStr">
        <is>
          <t>No</t>
        </is>
      </c>
      <c r="I1030" t="inlineStr">
        <is>
          <t>No</t>
        </is>
      </c>
      <c r="J1030" t="inlineStr">
        <is>
          <t>0</t>
        </is>
      </c>
      <c r="K1030" t="inlineStr">
        <is>
          <t>Harnack, Adolf von, 1851-1930.</t>
        </is>
      </c>
      <c r="L1030" t="inlineStr">
        <is>
          <t>Philadelphia : Fortress Press, c1981.</t>
        </is>
      </c>
      <c r="M1030" t="inlineStr">
        <is>
          <t>1981</t>
        </is>
      </c>
      <c r="O1030" t="inlineStr">
        <is>
          <t>eng</t>
        </is>
      </c>
      <c r="P1030" t="inlineStr">
        <is>
          <t>pau</t>
        </is>
      </c>
      <c r="R1030" t="inlineStr">
        <is>
          <t xml:space="preserve">BT </t>
        </is>
      </c>
      <c r="S1030" t="n">
        <v>5</v>
      </c>
      <c r="T1030" t="n">
        <v>5</v>
      </c>
      <c r="U1030" t="inlineStr">
        <is>
          <t>1994-07-02</t>
        </is>
      </c>
      <c r="V1030" t="inlineStr">
        <is>
          <t>1994-07-02</t>
        </is>
      </c>
      <c r="W1030" t="inlineStr">
        <is>
          <t>1991-09-26</t>
        </is>
      </c>
      <c r="X1030" t="inlineStr">
        <is>
          <t>1991-09-26</t>
        </is>
      </c>
      <c r="Y1030" t="n">
        <v>619</v>
      </c>
      <c r="Z1030" t="n">
        <v>512</v>
      </c>
      <c r="AA1030" t="n">
        <v>514</v>
      </c>
      <c r="AB1030" t="n">
        <v>1</v>
      </c>
      <c r="AC1030" t="n">
        <v>1</v>
      </c>
      <c r="AD1030" t="n">
        <v>30</v>
      </c>
      <c r="AE1030" t="n">
        <v>30</v>
      </c>
      <c r="AF1030" t="n">
        <v>13</v>
      </c>
      <c r="AG1030" t="n">
        <v>13</v>
      </c>
      <c r="AH1030" t="n">
        <v>8</v>
      </c>
      <c r="AI1030" t="n">
        <v>8</v>
      </c>
      <c r="AJ1030" t="n">
        <v>19</v>
      </c>
      <c r="AK1030" t="n">
        <v>19</v>
      </c>
      <c r="AL1030" t="n">
        <v>0</v>
      </c>
      <c r="AM1030" t="n">
        <v>0</v>
      </c>
      <c r="AN1030" t="n">
        <v>0</v>
      </c>
      <c r="AO1030" t="n">
        <v>0</v>
      </c>
      <c r="AP1030" t="inlineStr">
        <is>
          <t>No</t>
        </is>
      </c>
      <c r="AQ1030" t="inlineStr">
        <is>
          <t>Yes</t>
        </is>
      </c>
      <c r="AR1030">
        <f>HYPERLINK("http://catalog.hathitrust.org/Record/000182778","HathiTrust Record")</f>
        <v/>
      </c>
      <c r="AS1030">
        <f>HYPERLINK("https://creighton-primo.hosted.exlibrisgroup.com/primo-explore/search?tab=default_tab&amp;search_scope=EVERYTHING&amp;vid=01CRU&amp;lang=en_US&amp;offset=0&amp;query=any,contains,991005133999702656","Catalog Record")</f>
        <v/>
      </c>
      <c r="AT1030">
        <f>HYPERLINK("http://www.worldcat.org/oclc/7575096","WorldCat Record")</f>
        <v/>
      </c>
      <c r="AU1030" t="inlineStr">
        <is>
          <t>4095685079:eng</t>
        </is>
      </c>
      <c r="AV1030" t="inlineStr">
        <is>
          <t>7575096</t>
        </is>
      </c>
      <c r="AW1030" t="inlineStr">
        <is>
          <t>991005133999702656</t>
        </is>
      </c>
      <c r="AX1030" t="inlineStr">
        <is>
          <t>991005133999702656</t>
        </is>
      </c>
      <c r="AY1030" t="inlineStr">
        <is>
          <t>2272537950002656</t>
        </is>
      </c>
      <c r="AZ1030" t="inlineStr">
        <is>
          <t>BOOK</t>
        </is>
      </c>
      <c r="BB1030" t="inlineStr">
        <is>
          <t>9780800606732</t>
        </is>
      </c>
      <c r="BC1030" t="inlineStr">
        <is>
          <t>32285000749571</t>
        </is>
      </c>
      <c r="BD1030" t="inlineStr">
        <is>
          <t>893905249</t>
        </is>
      </c>
    </row>
    <row r="1031">
      <c r="A1031" t="inlineStr">
        <is>
          <t>No</t>
        </is>
      </c>
      <c r="B1031" t="inlineStr">
        <is>
          <t>BT736.2 .H37 1985</t>
        </is>
      </c>
      <c r="C1031" t="inlineStr">
        <is>
          <t>0                      BT 0736200H  37          1985</t>
        </is>
      </c>
      <c r="D1031" t="inlineStr">
        <is>
          <t>Against the nations : war and survival in a liberal society / Stanley Hauerwas.</t>
        </is>
      </c>
      <c r="F1031" t="inlineStr">
        <is>
          <t>No</t>
        </is>
      </c>
      <c r="G1031" t="inlineStr">
        <is>
          <t>1</t>
        </is>
      </c>
      <c r="H1031" t="inlineStr">
        <is>
          <t>No</t>
        </is>
      </c>
      <c r="I1031" t="inlineStr">
        <is>
          <t>No</t>
        </is>
      </c>
      <c r="J1031" t="inlineStr">
        <is>
          <t>0</t>
        </is>
      </c>
      <c r="K1031" t="inlineStr">
        <is>
          <t>Hauerwas, Stanley, 1940-</t>
        </is>
      </c>
      <c r="L1031" t="inlineStr">
        <is>
          <t>Minneapolis, Minn. : Winston Press, 1985.</t>
        </is>
      </c>
      <c r="M1031" t="inlineStr">
        <is>
          <t>1985</t>
        </is>
      </c>
      <c r="O1031" t="inlineStr">
        <is>
          <t>eng</t>
        </is>
      </c>
      <c r="P1031" t="inlineStr">
        <is>
          <t>mnu</t>
        </is>
      </c>
      <c r="R1031" t="inlineStr">
        <is>
          <t xml:space="preserve">BT </t>
        </is>
      </c>
      <c r="S1031" t="n">
        <v>7</v>
      </c>
      <c r="T1031" t="n">
        <v>7</v>
      </c>
      <c r="U1031" t="inlineStr">
        <is>
          <t>2007-06-07</t>
        </is>
      </c>
      <c r="V1031" t="inlineStr">
        <is>
          <t>2007-06-07</t>
        </is>
      </c>
      <c r="W1031" t="inlineStr">
        <is>
          <t>1991-09-26</t>
        </is>
      </c>
      <c r="X1031" t="inlineStr">
        <is>
          <t>1991-09-26</t>
        </is>
      </c>
      <c r="Y1031" t="n">
        <v>533</v>
      </c>
      <c r="Z1031" t="n">
        <v>462</v>
      </c>
      <c r="AA1031" t="n">
        <v>910</v>
      </c>
      <c r="AB1031" t="n">
        <v>6</v>
      </c>
      <c r="AC1031" t="n">
        <v>6</v>
      </c>
      <c r="AD1031" t="n">
        <v>37</v>
      </c>
      <c r="AE1031" t="n">
        <v>46</v>
      </c>
      <c r="AF1031" t="n">
        <v>15</v>
      </c>
      <c r="AG1031" t="n">
        <v>19</v>
      </c>
      <c r="AH1031" t="n">
        <v>7</v>
      </c>
      <c r="AI1031" t="n">
        <v>10</v>
      </c>
      <c r="AJ1031" t="n">
        <v>23</v>
      </c>
      <c r="AK1031" t="n">
        <v>26</v>
      </c>
      <c r="AL1031" t="n">
        <v>4</v>
      </c>
      <c r="AM1031" t="n">
        <v>4</v>
      </c>
      <c r="AN1031" t="n">
        <v>0</v>
      </c>
      <c r="AO1031" t="n">
        <v>1</v>
      </c>
      <c r="AP1031" t="inlineStr">
        <is>
          <t>No</t>
        </is>
      </c>
      <c r="AQ1031" t="inlineStr">
        <is>
          <t>Yes</t>
        </is>
      </c>
      <c r="AR1031">
        <f>HYPERLINK("http://catalog.hathitrust.org/Record/000580484","HathiTrust Record")</f>
        <v/>
      </c>
      <c r="AS1031">
        <f>HYPERLINK("https://creighton-primo.hosted.exlibrisgroup.com/primo-explore/search?tab=default_tab&amp;search_scope=EVERYTHING&amp;vid=01CRU&amp;lang=en_US&amp;offset=0&amp;query=any,contains,991000671759702656","Catalog Record")</f>
        <v/>
      </c>
      <c r="AT1031">
        <f>HYPERLINK("http://www.worldcat.org/oclc/12317147","WorldCat Record")</f>
        <v/>
      </c>
      <c r="AU1031" t="inlineStr">
        <is>
          <t>4995426:eng</t>
        </is>
      </c>
      <c r="AV1031" t="inlineStr">
        <is>
          <t>12317147</t>
        </is>
      </c>
      <c r="AW1031" t="inlineStr">
        <is>
          <t>991000671759702656</t>
        </is>
      </c>
      <c r="AX1031" t="inlineStr">
        <is>
          <t>991000671759702656</t>
        </is>
      </c>
      <c r="AY1031" t="inlineStr">
        <is>
          <t>2256239180002656</t>
        </is>
      </c>
      <c r="AZ1031" t="inlineStr">
        <is>
          <t>BOOK</t>
        </is>
      </c>
      <c r="BB1031" t="inlineStr">
        <is>
          <t>9780866839570</t>
        </is>
      </c>
      <c r="BC1031" t="inlineStr">
        <is>
          <t>32285000749589</t>
        </is>
      </c>
      <c r="BD1031" t="inlineStr">
        <is>
          <t>893237512</t>
        </is>
      </c>
    </row>
    <row r="1032">
      <c r="A1032" t="inlineStr">
        <is>
          <t>No</t>
        </is>
      </c>
      <c r="B1032" t="inlineStr">
        <is>
          <t>BT736.2 .H613 1980</t>
        </is>
      </c>
      <c r="C1032" t="inlineStr">
        <is>
          <t>0                      BT 0736200H  613         1980</t>
        </is>
      </c>
      <c r="D1032" t="inlineStr">
        <is>
          <t>It is not lawful for me to fight : early Christian attitudes toward war, violence, and the State / Jean-Michel Hornus ; translated by Alan Kreider and Oliver Coburn.</t>
        </is>
      </c>
      <c r="F1032" t="inlineStr">
        <is>
          <t>No</t>
        </is>
      </c>
      <c r="G1032" t="inlineStr">
        <is>
          <t>1</t>
        </is>
      </c>
      <c r="H1032" t="inlineStr">
        <is>
          <t>No</t>
        </is>
      </c>
      <c r="I1032" t="inlineStr">
        <is>
          <t>No</t>
        </is>
      </c>
      <c r="J1032" t="inlineStr">
        <is>
          <t>0</t>
        </is>
      </c>
      <c r="K1032" t="inlineStr">
        <is>
          <t>Hornus, Jean Michel.</t>
        </is>
      </c>
      <c r="L1032" t="inlineStr">
        <is>
          <t>Scottdale, Pa. : Herald Press, 1980.</t>
        </is>
      </c>
      <c r="M1032" t="inlineStr">
        <is>
          <t>1980</t>
        </is>
      </c>
      <c r="N1032" t="inlineStr">
        <is>
          <t>Rev. ed.</t>
        </is>
      </c>
      <c r="O1032" t="inlineStr">
        <is>
          <t>eng</t>
        </is>
      </c>
      <c r="P1032" t="inlineStr">
        <is>
          <t>pau</t>
        </is>
      </c>
      <c r="Q1032" t="inlineStr">
        <is>
          <t>A Christian peace shelf selection</t>
        </is>
      </c>
      <c r="R1032" t="inlineStr">
        <is>
          <t xml:space="preserve">BT </t>
        </is>
      </c>
      <c r="S1032" t="n">
        <v>7</v>
      </c>
      <c r="T1032" t="n">
        <v>7</v>
      </c>
      <c r="U1032" t="inlineStr">
        <is>
          <t>2003-10-12</t>
        </is>
      </c>
      <c r="V1032" t="inlineStr">
        <is>
          <t>2003-10-12</t>
        </is>
      </c>
      <c r="W1032" t="inlineStr">
        <is>
          <t>1991-10-04</t>
        </is>
      </c>
      <c r="X1032" t="inlineStr">
        <is>
          <t>1991-10-04</t>
        </is>
      </c>
      <c r="Y1032" t="n">
        <v>420</v>
      </c>
      <c r="Z1032" t="n">
        <v>322</v>
      </c>
      <c r="AA1032" t="n">
        <v>333</v>
      </c>
      <c r="AB1032" t="n">
        <v>2</v>
      </c>
      <c r="AC1032" t="n">
        <v>2</v>
      </c>
      <c r="AD1032" t="n">
        <v>23</v>
      </c>
      <c r="AE1032" t="n">
        <v>24</v>
      </c>
      <c r="AF1032" t="n">
        <v>9</v>
      </c>
      <c r="AG1032" t="n">
        <v>10</v>
      </c>
      <c r="AH1032" t="n">
        <v>6</v>
      </c>
      <c r="AI1032" t="n">
        <v>6</v>
      </c>
      <c r="AJ1032" t="n">
        <v>15</v>
      </c>
      <c r="AK1032" t="n">
        <v>16</v>
      </c>
      <c r="AL1032" t="n">
        <v>1</v>
      </c>
      <c r="AM1032" t="n">
        <v>1</v>
      </c>
      <c r="AN1032" t="n">
        <v>0</v>
      </c>
      <c r="AO1032" t="n">
        <v>0</v>
      </c>
      <c r="AP1032" t="inlineStr">
        <is>
          <t>No</t>
        </is>
      </c>
      <c r="AQ1032" t="inlineStr">
        <is>
          <t>Yes</t>
        </is>
      </c>
      <c r="AR1032">
        <f>HYPERLINK("http://catalog.hathitrust.org/Record/000148692","HathiTrust Record")</f>
        <v/>
      </c>
      <c r="AS1032">
        <f>HYPERLINK("https://creighton-primo.hosted.exlibrisgroup.com/primo-explore/search?tab=default_tab&amp;search_scope=EVERYTHING&amp;vid=01CRU&amp;lang=en_US&amp;offset=0&amp;query=any,contains,991004884539702656","Catalog Record")</f>
        <v/>
      </c>
      <c r="AT1032">
        <f>HYPERLINK("http://www.worldcat.org/oclc/5830973","WorldCat Record")</f>
        <v/>
      </c>
      <c r="AU1032" t="inlineStr">
        <is>
          <t>890033424:eng</t>
        </is>
      </c>
      <c r="AV1032" t="inlineStr">
        <is>
          <t>5830973</t>
        </is>
      </c>
      <c r="AW1032" t="inlineStr">
        <is>
          <t>991004884539702656</t>
        </is>
      </c>
      <c r="AX1032" t="inlineStr">
        <is>
          <t>991004884539702656</t>
        </is>
      </c>
      <c r="AY1032" t="inlineStr">
        <is>
          <t>2260704900002656</t>
        </is>
      </c>
      <c r="AZ1032" t="inlineStr">
        <is>
          <t>BOOK</t>
        </is>
      </c>
      <c r="BB1032" t="inlineStr">
        <is>
          <t>9780836119114</t>
        </is>
      </c>
      <c r="BC1032" t="inlineStr">
        <is>
          <t>32285000749597</t>
        </is>
      </c>
      <c r="BD1032" t="inlineStr">
        <is>
          <t>893722647</t>
        </is>
      </c>
    </row>
    <row r="1033">
      <c r="A1033" t="inlineStr">
        <is>
          <t>No</t>
        </is>
      </c>
      <c r="B1033" t="inlineStr">
        <is>
          <t>BT736.2 .M377 1997</t>
        </is>
      </c>
      <c r="C1033" t="inlineStr">
        <is>
          <t>0                      BT 0736200M  377         1997</t>
        </is>
      </c>
      <c r="D1033" t="inlineStr">
        <is>
          <t>Does Christianity cause war? / David Martin.</t>
        </is>
      </c>
      <c r="F1033" t="inlineStr">
        <is>
          <t>No</t>
        </is>
      </c>
      <c r="G1033" t="inlineStr">
        <is>
          <t>1</t>
        </is>
      </c>
      <c r="H1033" t="inlineStr">
        <is>
          <t>No</t>
        </is>
      </c>
      <c r="I1033" t="inlineStr">
        <is>
          <t>No</t>
        </is>
      </c>
      <c r="J1033" t="inlineStr">
        <is>
          <t>0</t>
        </is>
      </c>
      <c r="K1033" t="inlineStr">
        <is>
          <t>Martin, David, 1929-</t>
        </is>
      </c>
      <c r="L1033" t="inlineStr">
        <is>
          <t>Oxford : Clarendon Press ; New York : Oxford University Press, 1997.</t>
        </is>
      </c>
      <c r="M1033" t="inlineStr">
        <is>
          <t>1997</t>
        </is>
      </c>
      <c r="O1033" t="inlineStr">
        <is>
          <t>eng</t>
        </is>
      </c>
      <c r="P1033" t="inlineStr">
        <is>
          <t>enk</t>
        </is>
      </c>
      <c r="R1033" t="inlineStr">
        <is>
          <t xml:space="preserve">BT </t>
        </is>
      </c>
      <c r="S1033" t="n">
        <v>4</v>
      </c>
      <c r="T1033" t="n">
        <v>4</v>
      </c>
      <c r="U1033" t="inlineStr">
        <is>
          <t>2000-04-03</t>
        </is>
      </c>
      <c r="V1033" t="inlineStr">
        <is>
          <t>2000-04-03</t>
        </is>
      </c>
      <c r="W1033" t="inlineStr">
        <is>
          <t>1998-10-28</t>
        </is>
      </c>
      <c r="X1033" t="inlineStr">
        <is>
          <t>1998-10-28</t>
        </is>
      </c>
      <c r="Y1033" t="n">
        <v>456</v>
      </c>
      <c r="Z1033" t="n">
        <v>361</v>
      </c>
      <c r="AA1033" t="n">
        <v>368</v>
      </c>
      <c r="AB1033" t="n">
        <v>3</v>
      </c>
      <c r="AC1033" t="n">
        <v>3</v>
      </c>
      <c r="AD1033" t="n">
        <v>24</v>
      </c>
      <c r="AE1033" t="n">
        <v>24</v>
      </c>
      <c r="AF1033" t="n">
        <v>11</v>
      </c>
      <c r="AG1033" t="n">
        <v>11</v>
      </c>
      <c r="AH1033" t="n">
        <v>4</v>
      </c>
      <c r="AI1033" t="n">
        <v>4</v>
      </c>
      <c r="AJ1033" t="n">
        <v>12</v>
      </c>
      <c r="AK1033" t="n">
        <v>12</v>
      </c>
      <c r="AL1033" t="n">
        <v>2</v>
      </c>
      <c r="AM1033" t="n">
        <v>2</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HYPERLINK("https://creighton-primo.hosted.exlibrisgroup.com/primo-explore/search?tab=default_tab&amp;search_scope=EVERYTHING&amp;vid=01CRU&amp;lang=en_US&amp;offset=0&amp;query=any,contains,991002824819702656","Catalog Record")</f>
        <v/>
      </c>
      <c r="AT1033">
        <f>HYPERLINK("http://www.worldcat.org/oclc/37187522","WorldCat Record")</f>
        <v/>
      </c>
      <c r="AU1033" t="inlineStr">
        <is>
          <t>599038:eng</t>
        </is>
      </c>
      <c r="AV1033" t="inlineStr">
        <is>
          <t>37187522</t>
        </is>
      </c>
      <c r="AW1033" t="inlineStr">
        <is>
          <t>991002824819702656</t>
        </is>
      </c>
      <c r="AX1033" t="inlineStr">
        <is>
          <t>991002824819702656</t>
        </is>
      </c>
      <c r="AY1033" t="inlineStr">
        <is>
          <t>2258602430002656</t>
        </is>
      </c>
      <c r="AZ1033" t="inlineStr">
        <is>
          <t>BOOK</t>
        </is>
      </c>
      <c r="BB1033" t="inlineStr">
        <is>
          <t>9780198292678</t>
        </is>
      </c>
      <c r="BC1033" t="inlineStr">
        <is>
          <t>32285003478368</t>
        </is>
      </c>
      <c r="BD1033" t="inlineStr">
        <is>
          <t>893317297</t>
        </is>
      </c>
    </row>
    <row r="1034">
      <c r="A1034" t="inlineStr">
        <is>
          <t>No</t>
        </is>
      </c>
      <c r="B1034" t="inlineStr">
        <is>
          <t>BT736.2 .P63</t>
        </is>
      </c>
      <c r="C1034" t="inlineStr">
        <is>
          <t>0                      BT 0736200P  63</t>
        </is>
      </c>
      <c r="D1034" t="inlineStr">
        <is>
          <t>War and moral discourse / [by] Ralph B. Potter.</t>
        </is>
      </c>
      <c r="F1034" t="inlineStr">
        <is>
          <t>No</t>
        </is>
      </c>
      <c r="G1034" t="inlineStr">
        <is>
          <t>1</t>
        </is>
      </c>
      <c r="H1034" t="inlineStr">
        <is>
          <t>No</t>
        </is>
      </c>
      <c r="I1034" t="inlineStr">
        <is>
          <t>No</t>
        </is>
      </c>
      <c r="J1034" t="inlineStr">
        <is>
          <t>0</t>
        </is>
      </c>
      <c r="K1034" t="inlineStr">
        <is>
          <t>Potter, Ralph B.</t>
        </is>
      </c>
      <c r="L1034" t="inlineStr">
        <is>
          <t>Richmond, John Knox Press [1969]</t>
        </is>
      </c>
      <c r="M1034" t="inlineStr">
        <is>
          <t>1969</t>
        </is>
      </c>
      <c r="O1034" t="inlineStr">
        <is>
          <t>eng</t>
        </is>
      </c>
      <c r="P1034" t="inlineStr">
        <is>
          <t>vau</t>
        </is>
      </c>
      <c r="R1034" t="inlineStr">
        <is>
          <t xml:space="preserve">BT </t>
        </is>
      </c>
      <c r="S1034" t="n">
        <v>9</v>
      </c>
      <c r="T1034" t="n">
        <v>9</v>
      </c>
      <c r="U1034" t="inlineStr">
        <is>
          <t>2001-12-12</t>
        </is>
      </c>
      <c r="V1034" t="inlineStr">
        <is>
          <t>2001-12-12</t>
        </is>
      </c>
      <c r="W1034" t="inlineStr">
        <is>
          <t>1991-10-04</t>
        </is>
      </c>
      <c r="X1034" t="inlineStr">
        <is>
          <t>1991-10-04</t>
        </is>
      </c>
      <c r="Y1034" t="n">
        <v>543</v>
      </c>
      <c r="Z1034" t="n">
        <v>482</v>
      </c>
      <c r="AA1034" t="n">
        <v>486</v>
      </c>
      <c r="AB1034" t="n">
        <v>4</v>
      </c>
      <c r="AC1034" t="n">
        <v>4</v>
      </c>
      <c r="AD1034" t="n">
        <v>31</v>
      </c>
      <c r="AE1034" t="n">
        <v>31</v>
      </c>
      <c r="AF1034" t="n">
        <v>13</v>
      </c>
      <c r="AG1034" t="n">
        <v>13</v>
      </c>
      <c r="AH1034" t="n">
        <v>6</v>
      </c>
      <c r="AI1034" t="n">
        <v>6</v>
      </c>
      <c r="AJ1034" t="n">
        <v>18</v>
      </c>
      <c r="AK1034" t="n">
        <v>18</v>
      </c>
      <c r="AL1034" t="n">
        <v>2</v>
      </c>
      <c r="AM1034" t="n">
        <v>2</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HYPERLINK("https://creighton-primo.hosted.exlibrisgroup.com/primo-explore/search?tab=default_tab&amp;search_scope=EVERYTHING&amp;vid=01CRU&amp;lang=en_US&amp;offset=0&amp;query=any,contains,991000005069702656","Catalog Record")</f>
        <v/>
      </c>
      <c r="AT1034">
        <f>HYPERLINK("http://www.worldcat.org/oclc/12919","WorldCat Record")</f>
        <v/>
      </c>
      <c r="AU1034" t="inlineStr">
        <is>
          <t>1135767:eng</t>
        </is>
      </c>
      <c r="AV1034" t="inlineStr">
        <is>
          <t>12919</t>
        </is>
      </c>
      <c r="AW1034" t="inlineStr">
        <is>
          <t>991000005069702656</t>
        </is>
      </c>
      <c r="AX1034" t="inlineStr">
        <is>
          <t>991000005069702656</t>
        </is>
      </c>
      <c r="AY1034" t="inlineStr">
        <is>
          <t>2264939400002656</t>
        </is>
      </c>
      <c r="AZ1034" t="inlineStr">
        <is>
          <t>BOOK</t>
        </is>
      </c>
      <c r="BB1034" t="inlineStr">
        <is>
          <t>9780804208635</t>
        </is>
      </c>
      <c r="BC1034" t="inlineStr">
        <is>
          <t>32285000749639</t>
        </is>
      </c>
      <c r="BD1034" t="inlineStr">
        <is>
          <t>893771285</t>
        </is>
      </c>
    </row>
    <row r="1035">
      <c r="A1035" t="inlineStr">
        <is>
          <t>No</t>
        </is>
      </c>
      <c r="B1035" t="inlineStr">
        <is>
          <t>BT736.2 .P68 1988</t>
        </is>
      </c>
      <c r="C1035" t="inlineStr">
        <is>
          <t>0                      BT 0736200P  68          1988</t>
        </is>
      </c>
      <c r="D1035" t="inlineStr">
        <is>
          <t>Thomas Merton on nuclear weapons / Ronald E. Powaski.</t>
        </is>
      </c>
      <c r="F1035" t="inlineStr">
        <is>
          <t>No</t>
        </is>
      </c>
      <c r="G1035" t="inlineStr">
        <is>
          <t>1</t>
        </is>
      </c>
      <c r="H1035" t="inlineStr">
        <is>
          <t>No</t>
        </is>
      </c>
      <c r="I1035" t="inlineStr">
        <is>
          <t>No</t>
        </is>
      </c>
      <c r="J1035" t="inlineStr">
        <is>
          <t>0</t>
        </is>
      </c>
      <c r="K1035" t="inlineStr">
        <is>
          <t>Powaski, Ronald E.</t>
        </is>
      </c>
      <c r="L1035" t="inlineStr">
        <is>
          <t>Chicago : Loyola University Press, c1988.</t>
        </is>
      </c>
      <c r="M1035" t="inlineStr">
        <is>
          <t>1988</t>
        </is>
      </c>
      <c r="O1035" t="inlineStr">
        <is>
          <t>eng</t>
        </is>
      </c>
      <c r="P1035" t="inlineStr">
        <is>
          <t>ilu</t>
        </is>
      </c>
      <c r="R1035" t="inlineStr">
        <is>
          <t xml:space="preserve">BT </t>
        </is>
      </c>
      <c r="S1035" t="n">
        <v>7</v>
      </c>
      <c r="T1035" t="n">
        <v>7</v>
      </c>
      <c r="U1035" t="inlineStr">
        <is>
          <t>2004-04-05</t>
        </is>
      </c>
      <c r="V1035" t="inlineStr">
        <is>
          <t>2004-04-05</t>
        </is>
      </c>
      <c r="W1035" t="inlineStr">
        <is>
          <t>1991-10-04</t>
        </is>
      </c>
      <c r="X1035" t="inlineStr">
        <is>
          <t>1991-10-04</t>
        </is>
      </c>
      <c r="Y1035" t="n">
        <v>325</v>
      </c>
      <c r="Z1035" t="n">
        <v>288</v>
      </c>
      <c r="AA1035" t="n">
        <v>295</v>
      </c>
      <c r="AB1035" t="n">
        <v>3</v>
      </c>
      <c r="AC1035" t="n">
        <v>3</v>
      </c>
      <c r="AD1035" t="n">
        <v>24</v>
      </c>
      <c r="AE1035" t="n">
        <v>24</v>
      </c>
      <c r="AF1035" t="n">
        <v>9</v>
      </c>
      <c r="AG1035" t="n">
        <v>9</v>
      </c>
      <c r="AH1035" t="n">
        <v>4</v>
      </c>
      <c r="AI1035" t="n">
        <v>4</v>
      </c>
      <c r="AJ1035" t="n">
        <v>14</v>
      </c>
      <c r="AK1035" t="n">
        <v>14</v>
      </c>
      <c r="AL1035" t="n">
        <v>2</v>
      </c>
      <c r="AM1035" t="n">
        <v>2</v>
      </c>
      <c r="AN1035" t="n">
        <v>2</v>
      </c>
      <c r="AO1035" t="n">
        <v>2</v>
      </c>
      <c r="AP1035" t="inlineStr">
        <is>
          <t>No</t>
        </is>
      </c>
      <c r="AQ1035" t="inlineStr">
        <is>
          <t>Yes</t>
        </is>
      </c>
      <c r="AR1035">
        <f>HYPERLINK("http://catalog.hathitrust.org/Record/000914165","HathiTrust Record")</f>
        <v/>
      </c>
      <c r="AS1035">
        <f>HYPERLINK("https://creighton-primo.hosted.exlibrisgroup.com/primo-explore/search?tab=default_tab&amp;search_scope=EVERYTHING&amp;vid=01CRU&amp;lang=en_US&amp;offset=0&amp;query=any,contains,991001172719702656","Catalog Record")</f>
        <v/>
      </c>
      <c r="AT1035">
        <f>HYPERLINK("http://www.worldcat.org/oclc/16981789","WorldCat Record")</f>
        <v/>
      </c>
      <c r="AU1035" t="inlineStr">
        <is>
          <t>13796864:eng</t>
        </is>
      </c>
      <c r="AV1035" t="inlineStr">
        <is>
          <t>16981789</t>
        </is>
      </c>
      <c r="AW1035" t="inlineStr">
        <is>
          <t>991001172719702656</t>
        </is>
      </c>
      <c r="AX1035" t="inlineStr">
        <is>
          <t>991001172719702656</t>
        </is>
      </c>
      <c r="AY1035" t="inlineStr">
        <is>
          <t>2255152650002656</t>
        </is>
      </c>
      <c r="AZ1035" t="inlineStr">
        <is>
          <t>BOOK</t>
        </is>
      </c>
      <c r="BB1035" t="inlineStr">
        <is>
          <t>9780829405866</t>
        </is>
      </c>
      <c r="BC1035" t="inlineStr">
        <is>
          <t>32285000749647</t>
        </is>
      </c>
      <c r="BD1035" t="inlineStr">
        <is>
          <t>893321699</t>
        </is>
      </c>
    </row>
    <row r="1036">
      <c r="A1036" t="inlineStr">
        <is>
          <t>No</t>
        </is>
      </c>
      <c r="B1036" t="inlineStr">
        <is>
          <t>BT736.2 .R83</t>
        </is>
      </c>
      <c r="C1036" t="inlineStr">
        <is>
          <t>0                      BT 0736200R  83</t>
        </is>
      </c>
      <c r="D1036" t="inlineStr">
        <is>
          <t>Rumors of war : a moral and theological perspective on the arms race / edited by C.A. Cesaretti and Joseph T. Vitale.</t>
        </is>
      </c>
      <c r="F1036" t="inlineStr">
        <is>
          <t>No</t>
        </is>
      </c>
      <c r="G1036" t="inlineStr">
        <is>
          <t>1</t>
        </is>
      </c>
      <c r="H1036" t="inlineStr">
        <is>
          <t>No</t>
        </is>
      </c>
      <c r="I1036" t="inlineStr">
        <is>
          <t>No</t>
        </is>
      </c>
      <c r="J1036" t="inlineStr">
        <is>
          <t>0</t>
        </is>
      </c>
      <c r="L1036" t="inlineStr">
        <is>
          <t>New York : Seabury Press, 1982.</t>
        </is>
      </c>
      <c r="M1036" t="inlineStr">
        <is>
          <t>1982</t>
        </is>
      </c>
      <c r="O1036" t="inlineStr">
        <is>
          <t>eng</t>
        </is>
      </c>
      <c r="P1036" t="inlineStr">
        <is>
          <t>nyu</t>
        </is>
      </c>
      <c r="R1036" t="inlineStr">
        <is>
          <t xml:space="preserve">BT </t>
        </is>
      </c>
      <c r="S1036" t="n">
        <v>4</v>
      </c>
      <c r="T1036" t="n">
        <v>4</v>
      </c>
      <c r="U1036" t="inlineStr">
        <is>
          <t>2002-03-27</t>
        </is>
      </c>
      <c r="V1036" t="inlineStr">
        <is>
          <t>2002-03-27</t>
        </is>
      </c>
      <c r="W1036" t="inlineStr">
        <is>
          <t>1991-10-04</t>
        </is>
      </c>
      <c r="X1036" t="inlineStr">
        <is>
          <t>1991-10-04</t>
        </is>
      </c>
      <c r="Y1036" t="n">
        <v>404</v>
      </c>
      <c r="Z1036" t="n">
        <v>368</v>
      </c>
      <c r="AA1036" t="n">
        <v>374</v>
      </c>
      <c r="AB1036" t="n">
        <v>2</v>
      </c>
      <c r="AC1036" t="n">
        <v>2</v>
      </c>
      <c r="AD1036" t="n">
        <v>26</v>
      </c>
      <c r="AE1036" t="n">
        <v>26</v>
      </c>
      <c r="AF1036" t="n">
        <v>12</v>
      </c>
      <c r="AG1036" t="n">
        <v>12</v>
      </c>
      <c r="AH1036" t="n">
        <v>6</v>
      </c>
      <c r="AI1036" t="n">
        <v>6</v>
      </c>
      <c r="AJ1036" t="n">
        <v>17</v>
      </c>
      <c r="AK1036" t="n">
        <v>17</v>
      </c>
      <c r="AL1036" t="n">
        <v>1</v>
      </c>
      <c r="AM1036" t="n">
        <v>1</v>
      </c>
      <c r="AN1036" t="n">
        <v>0</v>
      </c>
      <c r="AO1036" t="n">
        <v>0</v>
      </c>
      <c r="AP1036" t="inlineStr">
        <is>
          <t>No</t>
        </is>
      </c>
      <c r="AQ1036" t="inlineStr">
        <is>
          <t>Yes</t>
        </is>
      </c>
      <c r="AR1036">
        <f>HYPERLINK("http://catalog.hathitrust.org/Record/006762301","HathiTrust Record")</f>
        <v/>
      </c>
      <c r="AS1036">
        <f>HYPERLINK("https://creighton-primo.hosted.exlibrisgroup.com/primo-explore/search?tab=default_tab&amp;search_scope=EVERYTHING&amp;vid=01CRU&amp;lang=en_US&amp;offset=0&amp;query=any,contains,991005183959702656","Catalog Record")</f>
        <v/>
      </c>
      <c r="AT1036">
        <f>HYPERLINK("http://www.worldcat.org/oclc/7948625","WorldCat Record")</f>
        <v/>
      </c>
      <c r="AU1036" t="inlineStr">
        <is>
          <t>428045338:eng</t>
        </is>
      </c>
      <c r="AV1036" t="inlineStr">
        <is>
          <t>7948625</t>
        </is>
      </c>
      <c r="AW1036" t="inlineStr">
        <is>
          <t>991005183959702656</t>
        </is>
      </c>
      <c r="AX1036" t="inlineStr">
        <is>
          <t>991005183959702656</t>
        </is>
      </c>
      <c r="AY1036" t="inlineStr">
        <is>
          <t>2267073890002656</t>
        </is>
      </c>
      <c r="AZ1036" t="inlineStr">
        <is>
          <t>BOOK</t>
        </is>
      </c>
      <c r="BB1036" t="inlineStr">
        <is>
          <t>9780816423651</t>
        </is>
      </c>
      <c r="BC1036" t="inlineStr">
        <is>
          <t>32285000749654</t>
        </is>
      </c>
      <c r="BD1036" t="inlineStr">
        <is>
          <t>893431000</t>
        </is>
      </c>
    </row>
    <row r="1037">
      <c r="A1037" t="inlineStr">
        <is>
          <t>No</t>
        </is>
      </c>
      <c r="B1037" t="inlineStr">
        <is>
          <t>BT736.2 .S3 1983</t>
        </is>
      </c>
      <c r="C1037" t="inlineStr">
        <is>
          <t>0                      BT 0736200S  3           1983</t>
        </is>
      </c>
      <c r="D1037" t="inlineStr">
        <is>
          <t>Who is for peace? / by Francis Schaeffer, Vladimir Bukovsky, James Hitchcock.</t>
        </is>
      </c>
      <c r="F1037" t="inlineStr">
        <is>
          <t>No</t>
        </is>
      </c>
      <c r="G1037" t="inlineStr">
        <is>
          <t>1</t>
        </is>
      </c>
      <c r="H1037" t="inlineStr">
        <is>
          <t>No</t>
        </is>
      </c>
      <c r="I1037" t="inlineStr">
        <is>
          <t>No</t>
        </is>
      </c>
      <c r="J1037" t="inlineStr">
        <is>
          <t>0</t>
        </is>
      </c>
      <c r="K1037" t="inlineStr">
        <is>
          <t>Schaeffer, Francis A. (Francis August)</t>
        </is>
      </c>
      <c r="L1037" t="inlineStr">
        <is>
          <t>Nashville : Nelson, c1983.</t>
        </is>
      </c>
      <c r="M1037" t="inlineStr">
        <is>
          <t>1983</t>
        </is>
      </c>
      <c r="O1037" t="inlineStr">
        <is>
          <t>eng</t>
        </is>
      </c>
      <c r="P1037" t="inlineStr">
        <is>
          <t>tnu</t>
        </is>
      </c>
      <c r="R1037" t="inlineStr">
        <is>
          <t xml:space="preserve">BT </t>
        </is>
      </c>
      <c r="S1037" t="n">
        <v>3</v>
      </c>
      <c r="T1037" t="n">
        <v>3</v>
      </c>
      <c r="U1037" t="inlineStr">
        <is>
          <t>1994-03-13</t>
        </is>
      </c>
      <c r="V1037" t="inlineStr">
        <is>
          <t>1994-03-13</t>
        </is>
      </c>
      <c r="W1037" t="inlineStr">
        <is>
          <t>1990-11-05</t>
        </is>
      </c>
      <c r="X1037" t="inlineStr">
        <is>
          <t>1990-11-05</t>
        </is>
      </c>
      <c r="Y1037" t="n">
        <v>339</v>
      </c>
      <c r="Z1037" t="n">
        <v>308</v>
      </c>
      <c r="AA1037" t="n">
        <v>314</v>
      </c>
      <c r="AB1037" t="n">
        <v>3</v>
      </c>
      <c r="AC1037" t="n">
        <v>3</v>
      </c>
      <c r="AD1037" t="n">
        <v>13</v>
      </c>
      <c r="AE1037" t="n">
        <v>13</v>
      </c>
      <c r="AF1037" t="n">
        <v>3</v>
      </c>
      <c r="AG1037" t="n">
        <v>3</v>
      </c>
      <c r="AH1037" t="n">
        <v>5</v>
      </c>
      <c r="AI1037" t="n">
        <v>5</v>
      </c>
      <c r="AJ1037" t="n">
        <v>7</v>
      </c>
      <c r="AK1037" t="n">
        <v>7</v>
      </c>
      <c r="AL1037" t="n">
        <v>0</v>
      </c>
      <c r="AM1037" t="n">
        <v>0</v>
      </c>
      <c r="AN1037" t="n">
        <v>1</v>
      </c>
      <c r="AO1037" t="n">
        <v>1</v>
      </c>
      <c r="AP1037" t="inlineStr">
        <is>
          <t>No</t>
        </is>
      </c>
      <c r="AQ1037" t="inlineStr">
        <is>
          <t>Yes</t>
        </is>
      </c>
      <c r="AR1037">
        <f>HYPERLINK("http://catalog.hathitrust.org/Record/000204396","HathiTrust Record")</f>
        <v/>
      </c>
      <c r="AS1037">
        <f>HYPERLINK("https://creighton-primo.hosted.exlibrisgroup.com/primo-explore/search?tab=default_tab&amp;search_scope=EVERYTHING&amp;vid=01CRU&amp;lang=en_US&amp;offset=0&amp;query=any,contains,991000282209702656","Catalog Record")</f>
        <v/>
      </c>
      <c r="AT1037">
        <f>HYPERLINK("http://www.worldcat.org/oclc/9919229","WorldCat Record")</f>
        <v/>
      </c>
      <c r="AU1037" t="inlineStr">
        <is>
          <t>43891161:eng</t>
        </is>
      </c>
      <c r="AV1037" t="inlineStr">
        <is>
          <t>9919229</t>
        </is>
      </c>
      <c r="AW1037" t="inlineStr">
        <is>
          <t>991000282209702656</t>
        </is>
      </c>
      <c r="AX1037" t="inlineStr">
        <is>
          <t>991000282209702656</t>
        </is>
      </c>
      <c r="AY1037" t="inlineStr">
        <is>
          <t>2268089530002656</t>
        </is>
      </c>
      <c r="AZ1037" t="inlineStr">
        <is>
          <t>BOOK</t>
        </is>
      </c>
      <c r="BB1037" t="inlineStr">
        <is>
          <t>9780840758781</t>
        </is>
      </c>
      <c r="BC1037" t="inlineStr">
        <is>
          <t>32285000296813</t>
        </is>
      </c>
      <c r="BD1037" t="inlineStr">
        <is>
          <t>893614069</t>
        </is>
      </c>
    </row>
    <row r="1038">
      <c r="A1038" t="inlineStr">
        <is>
          <t>No</t>
        </is>
      </c>
      <c r="B1038" t="inlineStr">
        <is>
          <t>BT736.2 .W37</t>
        </is>
      </c>
      <c r="C1038" t="inlineStr">
        <is>
          <t>0                      BT 0736200W  37</t>
        </is>
      </c>
      <c r="D1038" t="inlineStr">
        <is>
          <t>Modern war and the pursuit of peace / by Theodore R. Weber.</t>
        </is>
      </c>
      <c r="F1038" t="inlineStr">
        <is>
          <t>No</t>
        </is>
      </c>
      <c r="G1038" t="inlineStr">
        <is>
          <t>1</t>
        </is>
      </c>
      <c r="H1038" t="inlineStr">
        <is>
          <t>No</t>
        </is>
      </c>
      <c r="I1038" t="inlineStr">
        <is>
          <t>No</t>
        </is>
      </c>
      <c r="J1038" t="inlineStr">
        <is>
          <t>0</t>
        </is>
      </c>
      <c r="K1038" t="inlineStr">
        <is>
          <t>Weber, Theodore R.</t>
        </is>
      </c>
      <c r="L1038" t="inlineStr">
        <is>
          <t>[New York] Council on Religion and International Affairs [1968]</t>
        </is>
      </c>
      <c r="M1038" t="inlineStr">
        <is>
          <t>1968</t>
        </is>
      </c>
      <c r="O1038" t="inlineStr">
        <is>
          <t>eng</t>
        </is>
      </c>
      <c r="P1038" t="inlineStr">
        <is>
          <t>nyu</t>
        </is>
      </c>
      <c r="Q1038" t="inlineStr">
        <is>
          <t>Ethics and foreign policy series</t>
        </is>
      </c>
      <c r="R1038" t="inlineStr">
        <is>
          <t xml:space="preserve">BT </t>
        </is>
      </c>
      <c r="S1038" t="n">
        <v>3</v>
      </c>
      <c r="T1038" t="n">
        <v>3</v>
      </c>
      <c r="U1038" t="inlineStr">
        <is>
          <t>2009-12-01</t>
        </is>
      </c>
      <c r="V1038" t="inlineStr">
        <is>
          <t>2009-12-01</t>
        </is>
      </c>
      <c r="W1038" t="inlineStr">
        <is>
          <t>1991-10-04</t>
        </is>
      </c>
      <c r="X1038" t="inlineStr">
        <is>
          <t>1991-10-04</t>
        </is>
      </c>
      <c r="Y1038" t="n">
        <v>263</v>
      </c>
      <c r="Z1038" t="n">
        <v>244</v>
      </c>
      <c r="AA1038" t="n">
        <v>245</v>
      </c>
      <c r="AB1038" t="n">
        <v>2</v>
      </c>
      <c r="AC1038" t="n">
        <v>2</v>
      </c>
      <c r="AD1038" t="n">
        <v>20</v>
      </c>
      <c r="AE1038" t="n">
        <v>20</v>
      </c>
      <c r="AF1038" t="n">
        <v>6</v>
      </c>
      <c r="AG1038" t="n">
        <v>6</v>
      </c>
      <c r="AH1038" t="n">
        <v>5</v>
      </c>
      <c r="AI1038" t="n">
        <v>5</v>
      </c>
      <c r="AJ1038" t="n">
        <v>15</v>
      </c>
      <c r="AK1038" t="n">
        <v>15</v>
      </c>
      <c r="AL1038" t="n">
        <v>1</v>
      </c>
      <c r="AM1038" t="n">
        <v>1</v>
      </c>
      <c r="AN1038" t="n">
        <v>1</v>
      </c>
      <c r="AO1038" t="n">
        <v>1</v>
      </c>
      <c r="AP1038" t="inlineStr">
        <is>
          <t>No</t>
        </is>
      </c>
      <c r="AQ1038" t="inlineStr">
        <is>
          <t>No</t>
        </is>
      </c>
      <c r="AS1038">
        <f>HYPERLINK("https://creighton-primo.hosted.exlibrisgroup.com/primo-explore/search?tab=default_tab&amp;search_scope=EVERYTHING&amp;vid=01CRU&amp;lang=en_US&amp;offset=0&amp;query=any,contains,991000937759702656","Catalog Record")</f>
        <v/>
      </c>
      <c r="AT1038">
        <f>HYPERLINK("http://www.worldcat.org/oclc/165530","WorldCat Record")</f>
        <v/>
      </c>
      <c r="AU1038" t="inlineStr">
        <is>
          <t>1282657:eng</t>
        </is>
      </c>
      <c r="AV1038" t="inlineStr">
        <is>
          <t>165530</t>
        </is>
      </c>
      <c r="AW1038" t="inlineStr">
        <is>
          <t>991000937759702656</t>
        </is>
      </c>
      <c r="AX1038" t="inlineStr">
        <is>
          <t>991000937759702656</t>
        </is>
      </c>
      <c r="AY1038" t="inlineStr">
        <is>
          <t>2269814370002656</t>
        </is>
      </c>
      <c r="AZ1038" t="inlineStr">
        <is>
          <t>BOOK</t>
        </is>
      </c>
      <c r="BC1038" t="inlineStr">
        <is>
          <t>32285000749704</t>
        </is>
      </c>
      <c r="BD1038" t="inlineStr">
        <is>
          <t>893884890</t>
        </is>
      </c>
    </row>
    <row r="1039">
      <c r="A1039" t="inlineStr">
        <is>
          <t>No</t>
        </is>
      </c>
      <c r="B1039" t="inlineStr">
        <is>
          <t>BT736.2 .Y6 1977</t>
        </is>
      </c>
      <c r="C1039" t="inlineStr">
        <is>
          <t>0                      BT 0736200Y  6           1977</t>
        </is>
      </c>
      <c r="D1039" t="inlineStr">
        <is>
          <t>The original revolution : essays on Christian pacifism / John H. Yoder.</t>
        </is>
      </c>
      <c r="F1039" t="inlineStr">
        <is>
          <t>No</t>
        </is>
      </c>
      <c r="G1039" t="inlineStr">
        <is>
          <t>1</t>
        </is>
      </c>
      <c r="H1039" t="inlineStr">
        <is>
          <t>No</t>
        </is>
      </c>
      <c r="I1039" t="inlineStr">
        <is>
          <t>No</t>
        </is>
      </c>
      <c r="J1039" t="inlineStr">
        <is>
          <t>0</t>
        </is>
      </c>
      <c r="K1039" t="inlineStr">
        <is>
          <t>Yoder, John Howard.</t>
        </is>
      </c>
      <c r="L1039" t="inlineStr">
        <is>
          <t>Scottdale, Pa. : Herald Press, c1977.</t>
        </is>
      </c>
      <c r="M1039" t="inlineStr">
        <is>
          <t>1977</t>
        </is>
      </c>
      <c r="O1039" t="inlineStr">
        <is>
          <t>eng</t>
        </is>
      </c>
      <c r="P1039" t="inlineStr">
        <is>
          <t>pau</t>
        </is>
      </c>
      <c r="Q1039" t="inlineStr">
        <is>
          <t>Christian peace shelf</t>
        </is>
      </c>
      <c r="R1039" t="inlineStr">
        <is>
          <t xml:space="preserve">BT </t>
        </is>
      </c>
      <c r="S1039" t="n">
        <v>6</v>
      </c>
      <c r="T1039" t="n">
        <v>6</v>
      </c>
      <c r="U1039" t="inlineStr">
        <is>
          <t>1995-10-12</t>
        </is>
      </c>
      <c r="V1039" t="inlineStr">
        <is>
          <t>1995-10-12</t>
        </is>
      </c>
      <c r="W1039" t="inlineStr">
        <is>
          <t>1991-10-04</t>
        </is>
      </c>
      <c r="X1039" t="inlineStr">
        <is>
          <t>1991-10-04</t>
        </is>
      </c>
      <c r="Y1039" t="n">
        <v>92</v>
      </c>
      <c r="Z1039" t="n">
        <v>70</v>
      </c>
      <c r="AA1039" t="n">
        <v>70</v>
      </c>
      <c r="AB1039" t="n">
        <v>1</v>
      </c>
      <c r="AC1039" t="n">
        <v>1</v>
      </c>
      <c r="AD1039" t="n">
        <v>6</v>
      </c>
      <c r="AE1039" t="n">
        <v>6</v>
      </c>
      <c r="AF1039" t="n">
        <v>2</v>
      </c>
      <c r="AG1039" t="n">
        <v>2</v>
      </c>
      <c r="AH1039" t="n">
        <v>1</v>
      </c>
      <c r="AI1039" t="n">
        <v>1</v>
      </c>
      <c r="AJ1039" t="n">
        <v>4</v>
      </c>
      <c r="AK1039" t="n">
        <v>4</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HYPERLINK("https://creighton-primo.hosted.exlibrisgroup.com/primo-explore/search?tab=default_tab&amp;search_scope=EVERYTHING&amp;vid=01CRU&amp;lang=en_US&amp;offset=0&amp;query=any,contains,991000806219702656","Catalog Record")</f>
        <v/>
      </c>
      <c r="AT1039">
        <f>HYPERLINK("http://www.worldcat.org/oclc/13292199","WorldCat Record")</f>
        <v/>
      </c>
      <c r="AU1039" t="inlineStr">
        <is>
          <t>5609000677:eng</t>
        </is>
      </c>
      <c r="AV1039" t="inlineStr">
        <is>
          <t>13292199</t>
        </is>
      </c>
      <c r="AW1039" t="inlineStr">
        <is>
          <t>991000806219702656</t>
        </is>
      </c>
      <c r="AX1039" t="inlineStr">
        <is>
          <t>991000806219702656</t>
        </is>
      </c>
      <c r="AY1039" t="inlineStr">
        <is>
          <t>2272373190002656</t>
        </is>
      </c>
      <c r="AZ1039" t="inlineStr">
        <is>
          <t>BOOK</t>
        </is>
      </c>
      <c r="BB1039" t="inlineStr">
        <is>
          <t>9780836118124</t>
        </is>
      </c>
      <c r="BC1039" t="inlineStr">
        <is>
          <t>32285000749720</t>
        </is>
      </c>
      <c r="BD1039" t="inlineStr">
        <is>
          <t>893502822</t>
        </is>
      </c>
    </row>
    <row r="1040">
      <c r="A1040" t="inlineStr">
        <is>
          <t>No</t>
        </is>
      </c>
      <c r="B1040" t="inlineStr">
        <is>
          <t>BT736.4 .C42 1990</t>
        </is>
      </c>
      <c r="C1040" t="inlineStr">
        <is>
          <t>0                      BT 0736400C  42          1990</t>
        </is>
      </c>
      <c r="D1040" t="inlineStr">
        <is>
          <t>Celebrating peace / edited by Leroy S. Rouner.</t>
        </is>
      </c>
      <c r="F1040" t="inlineStr">
        <is>
          <t>No</t>
        </is>
      </c>
      <c r="G1040" t="inlineStr">
        <is>
          <t>1</t>
        </is>
      </c>
      <c r="H1040" t="inlineStr">
        <is>
          <t>No</t>
        </is>
      </c>
      <c r="I1040" t="inlineStr">
        <is>
          <t>No</t>
        </is>
      </c>
      <c r="J1040" t="inlineStr">
        <is>
          <t>0</t>
        </is>
      </c>
      <c r="L1040" t="inlineStr">
        <is>
          <t>Notre Dame, Ind. : University of Notre Dame Press, c1990.</t>
        </is>
      </c>
      <c r="M1040" t="inlineStr">
        <is>
          <t>1990</t>
        </is>
      </c>
      <c r="O1040" t="inlineStr">
        <is>
          <t>eng</t>
        </is>
      </c>
      <c r="P1040" t="inlineStr">
        <is>
          <t>inu</t>
        </is>
      </c>
      <c r="Q1040" t="inlineStr">
        <is>
          <t>Boston University studies in philosophy and religion ; v. 11</t>
        </is>
      </c>
      <c r="R1040" t="inlineStr">
        <is>
          <t xml:space="preserve">BT </t>
        </is>
      </c>
      <c r="S1040" t="n">
        <v>9</v>
      </c>
      <c r="T1040" t="n">
        <v>9</v>
      </c>
      <c r="U1040" t="inlineStr">
        <is>
          <t>2004-10-27</t>
        </is>
      </c>
      <c r="V1040" t="inlineStr">
        <is>
          <t>2004-10-27</t>
        </is>
      </c>
      <c r="W1040" t="inlineStr">
        <is>
          <t>1996-05-09</t>
        </is>
      </c>
      <c r="X1040" t="inlineStr">
        <is>
          <t>1996-05-09</t>
        </is>
      </c>
      <c r="Y1040" t="n">
        <v>323</v>
      </c>
      <c r="Z1040" t="n">
        <v>293</v>
      </c>
      <c r="AA1040" t="n">
        <v>295</v>
      </c>
      <c r="AB1040" t="n">
        <v>2</v>
      </c>
      <c r="AC1040" t="n">
        <v>2</v>
      </c>
      <c r="AD1040" t="n">
        <v>20</v>
      </c>
      <c r="AE1040" t="n">
        <v>20</v>
      </c>
      <c r="AF1040" t="n">
        <v>6</v>
      </c>
      <c r="AG1040" t="n">
        <v>6</v>
      </c>
      <c r="AH1040" t="n">
        <v>6</v>
      </c>
      <c r="AI1040" t="n">
        <v>6</v>
      </c>
      <c r="AJ1040" t="n">
        <v>13</v>
      </c>
      <c r="AK1040" t="n">
        <v>13</v>
      </c>
      <c r="AL1040" t="n">
        <v>1</v>
      </c>
      <c r="AM1040" t="n">
        <v>1</v>
      </c>
      <c r="AN1040" t="n">
        <v>0</v>
      </c>
      <c r="AO1040" t="n">
        <v>0</v>
      </c>
      <c r="AP1040" t="inlineStr">
        <is>
          <t>No</t>
        </is>
      </c>
      <c r="AQ1040" t="inlineStr">
        <is>
          <t>Yes</t>
        </is>
      </c>
      <c r="AR1040">
        <f>HYPERLINK("http://catalog.hathitrust.org/Record/002430997","HathiTrust Record")</f>
        <v/>
      </c>
      <c r="AS1040">
        <f>HYPERLINK("https://creighton-primo.hosted.exlibrisgroup.com/primo-explore/search?tab=default_tab&amp;search_scope=EVERYTHING&amp;vid=01CRU&amp;lang=en_US&amp;offset=0&amp;query=any,contains,991001695789702656","Catalog Record")</f>
        <v/>
      </c>
      <c r="AT1040">
        <f>HYPERLINK("http://www.worldcat.org/oclc/21483392","WorldCat Record")</f>
        <v/>
      </c>
      <c r="AU1040" t="inlineStr">
        <is>
          <t>23387365:eng</t>
        </is>
      </c>
      <c r="AV1040" t="inlineStr">
        <is>
          <t>21483392</t>
        </is>
      </c>
      <c r="AW1040" t="inlineStr">
        <is>
          <t>991001695789702656</t>
        </is>
      </c>
      <c r="AX1040" t="inlineStr">
        <is>
          <t>991001695789702656</t>
        </is>
      </c>
      <c r="AY1040" t="inlineStr">
        <is>
          <t>2261753760002656</t>
        </is>
      </c>
      <c r="AZ1040" t="inlineStr">
        <is>
          <t>BOOK</t>
        </is>
      </c>
      <c r="BB1040" t="inlineStr">
        <is>
          <t>9780268007799</t>
        </is>
      </c>
      <c r="BC1040" t="inlineStr">
        <is>
          <t>32285002166295</t>
        </is>
      </c>
      <c r="BD1040" t="inlineStr">
        <is>
          <t>893703252</t>
        </is>
      </c>
    </row>
    <row r="1041">
      <c r="A1041" t="inlineStr">
        <is>
          <t>No</t>
        </is>
      </c>
      <c r="B1041" t="inlineStr">
        <is>
          <t>BT736.4 .C54 1994</t>
        </is>
      </c>
      <c r="C1041" t="inlineStr">
        <is>
          <t>0                      BT 0736400C  54          1994</t>
        </is>
      </c>
      <c r="D1041" t="inlineStr">
        <is>
          <t>The Church's peace witness / edited by Marlin E. Miller and Barbara Nelson Gingerich.</t>
        </is>
      </c>
      <c r="F1041" t="inlineStr">
        <is>
          <t>No</t>
        </is>
      </c>
      <c r="G1041" t="inlineStr">
        <is>
          <t>1</t>
        </is>
      </c>
      <c r="H1041" t="inlineStr">
        <is>
          <t>No</t>
        </is>
      </c>
      <c r="I1041" t="inlineStr">
        <is>
          <t>No</t>
        </is>
      </c>
      <c r="J1041" t="inlineStr">
        <is>
          <t>0</t>
        </is>
      </c>
      <c r="L1041" t="inlineStr">
        <is>
          <t>Grand Rapids, Mich. : W.B. Eerdmans Pub. Co., c1994.</t>
        </is>
      </c>
      <c r="M1041" t="inlineStr">
        <is>
          <t>1994</t>
        </is>
      </c>
      <c r="O1041" t="inlineStr">
        <is>
          <t>eng</t>
        </is>
      </c>
      <c r="P1041" t="inlineStr">
        <is>
          <t>miu</t>
        </is>
      </c>
      <c r="R1041" t="inlineStr">
        <is>
          <t xml:space="preserve">BT </t>
        </is>
      </c>
      <c r="S1041" t="n">
        <v>2</v>
      </c>
      <c r="T1041" t="n">
        <v>2</v>
      </c>
      <c r="U1041" t="inlineStr">
        <is>
          <t>2010-01-05</t>
        </is>
      </c>
      <c r="V1041" t="inlineStr">
        <is>
          <t>2010-01-05</t>
        </is>
      </c>
      <c r="W1041" t="inlineStr">
        <is>
          <t>1996-01-17</t>
        </is>
      </c>
      <c r="X1041" t="inlineStr">
        <is>
          <t>1996-01-17</t>
        </is>
      </c>
      <c r="Y1041" t="n">
        <v>227</v>
      </c>
      <c r="Z1041" t="n">
        <v>190</v>
      </c>
      <c r="AA1041" t="n">
        <v>195</v>
      </c>
      <c r="AB1041" t="n">
        <v>4</v>
      </c>
      <c r="AC1041" t="n">
        <v>4</v>
      </c>
      <c r="AD1041" t="n">
        <v>16</v>
      </c>
      <c r="AE1041" t="n">
        <v>16</v>
      </c>
      <c r="AF1041" t="n">
        <v>6</v>
      </c>
      <c r="AG1041" t="n">
        <v>6</v>
      </c>
      <c r="AH1041" t="n">
        <v>5</v>
      </c>
      <c r="AI1041" t="n">
        <v>5</v>
      </c>
      <c r="AJ1041" t="n">
        <v>8</v>
      </c>
      <c r="AK1041" t="n">
        <v>8</v>
      </c>
      <c r="AL1041" t="n">
        <v>2</v>
      </c>
      <c r="AM1041" t="n">
        <v>2</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HYPERLINK("https://creighton-primo.hosted.exlibrisgroup.com/primo-explore/search?tab=default_tab&amp;search_scope=EVERYTHING&amp;vid=01CRU&amp;lang=en_US&amp;offset=0&amp;query=any,contains,991002395269702656","Catalog Record")</f>
        <v/>
      </c>
      <c r="AT1041">
        <f>HYPERLINK("http://www.worldcat.org/oclc/31130985","WorldCat Record")</f>
        <v/>
      </c>
      <c r="AU1041" t="inlineStr">
        <is>
          <t>435617346:eng</t>
        </is>
      </c>
      <c r="AV1041" t="inlineStr">
        <is>
          <t>31130985</t>
        </is>
      </c>
      <c r="AW1041" t="inlineStr">
        <is>
          <t>991002395269702656</t>
        </is>
      </c>
      <c r="AX1041" t="inlineStr">
        <is>
          <t>991002395269702656</t>
        </is>
      </c>
      <c r="AY1041" t="inlineStr">
        <is>
          <t>2271924240002656</t>
        </is>
      </c>
      <c r="AZ1041" t="inlineStr">
        <is>
          <t>BOOK</t>
        </is>
      </c>
      <c r="BB1041" t="inlineStr">
        <is>
          <t>9780802805553</t>
        </is>
      </c>
      <c r="BC1041" t="inlineStr">
        <is>
          <t>32285002118411</t>
        </is>
      </c>
      <c r="BD1041" t="inlineStr">
        <is>
          <t>893873458</t>
        </is>
      </c>
    </row>
    <row r="1042">
      <c r="A1042" t="inlineStr">
        <is>
          <t>No</t>
        </is>
      </c>
      <c r="B1042" t="inlineStr">
        <is>
          <t>BT736.4 .D84 1995</t>
        </is>
      </c>
      <c r="C1042" t="inlineStr">
        <is>
          <t>0                      BT 0736400D  84          1995</t>
        </is>
      </c>
      <c r="D1042" t="inlineStr">
        <is>
          <t>Peacemaking Christians : the future of just wars, pacifism, and nonviolent resistance / Michael K. Duffey.</t>
        </is>
      </c>
      <c r="F1042" t="inlineStr">
        <is>
          <t>No</t>
        </is>
      </c>
      <c r="G1042" t="inlineStr">
        <is>
          <t>1</t>
        </is>
      </c>
      <c r="H1042" t="inlineStr">
        <is>
          <t>No</t>
        </is>
      </c>
      <c r="I1042" t="inlineStr">
        <is>
          <t>No</t>
        </is>
      </c>
      <c r="J1042" t="inlineStr">
        <is>
          <t>0</t>
        </is>
      </c>
      <c r="K1042" t="inlineStr">
        <is>
          <t>Duffey, Michael K., 1948-</t>
        </is>
      </c>
      <c r="L1042" t="inlineStr">
        <is>
          <t>Kansas City : Sheed &amp; Ward, c1995.</t>
        </is>
      </c>
      <c r="M1042" t="inlineStr">
        <is>
          <t>1995</t>
        </is>
      </c>
      <c r="O1042" t="inlineStr">
        <is>
          <t>eng</t>
        </is>
      </c>
      <c r="P1042" t="inlineStr">
        <is>
          <t>mou</t>
        </is>
      </c>
      <c r="R1042" t="inlineStr">
        <is>
          <t xml:space="preserve">BT </t>
        </is>
      </c>
      <c r="S1042" t="n">
        <v>6</v>
      </c>
      <c r="T1042" t="n">
        <v>6</v>
      </c>
      <c r="U1042" t="inlineStr">
        <is>
          <t>2008-04-15</t>
        </is>
      </c>
      <c r="V1042" t="inlineStr">
        <is>
          <t>2008-04-15</t>
        </is>
      </c>
      <c r="W1042" t="inlineStr">
        <is>
          <t>1996-10-15</t>
        </is>
      </c>
      <c r="X1042" t="inlineStr">
        <is>
          <t>1996-10-15</t>
        </is>
      </c>
      <c r="Y1042" t="n">
        <v>178</v>
      </c>
      <c r="Z1042" t="n">
        <v>159</v>
      </c>
      <c r="AA1042" t="n">
        <v>163</v>
      </c>
      <c r="AB1042" t="n">
        <v>1</v>
      </c>
      <c r="AC1042" t="n">
        <v>1</v>
      </c>
      <c r="AD1042" t="n">
        <v>19</v>
      </c>
      <c r="AE1042" t="n">
        <v>19</v>
      </c>
      <c r="AF1042" t="n">
        <v>9</v>
      </c>
      <c r="AG1042" t="n">
        <v>9</v>
      </c>
      <c r="AH1042" t="n">
        <v>5</v>
      </c>
      <c r="AI1042" t="n">
        <v>5</v>
      </c>
      <c r="AJ1042" t="n">
        <v>13</v>
      </c>
      <c r="AK1042" t="n">
        <v>13</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HYPERLINK("https://creighton-primo.hosted.exlibrisgroup.com/primo-explore/search?tab=default_tab&amp;search_scope=EVERYTHING&amp;vid=01CRU&amp;lang=en_US&amp;offset=0&amp;query=any,contains,991002483029702656","Catalog Record")</f>
        <v/>
      </c>
      <c r="AT1042">
        <f>HYPERLINK("http://www.worldcat.org/oclc/32312995","WorldCat Record")</f>
        <v/>
      </c>
      <c r="AU1042" t="inlineStr">
        <is>
          <t>34175167:eng</t>
        </is>
      </c>
      <c r="AV1042" t="inlineStr">
        <is>
          <t>32312995</t>
        </is>
      </c>
      <c r="AW1042" t="inlineStr">
        <is>
          <t>991002483029702656</t>
        </is>
      </c>
      <c r="AX1042" t="inlineStr">
        <is>
          <t>991002483029702656</t>
        </is>
      </c>
      <c r="AY1042" t="inlineStr">
        <is>
          <t>2268719250002656</t>
        </is>
      </c>
      <c r="AZ1042" t="inlineStr">
        <is>
          <t>BOOK</t>
        </is>
      </c>
      <c r="BB1042" t="inlineStr">
        <is>
          <t>9781556127649</t>
        </is>
      </c>
      <c r="BC1042" t="inlineStr">
        <is>
          <t>32285002365830</t>
        </is>
      </c>
      <c r="BD1042" t="inlineStr">
        <is>
          <t>893903918</t>
        </is>
      </c>
    </row>
    <row r="1043">
      <c r="A1043" t="inlineStr">
        <is>
          <t>No</t>
        </is>
      </c>
      <c r="B1043" t="inlineStr">
        <is>
          <t>BT736.4 .M25 1973</t>
        </is>
      </c>
      <c r="C1043" t="inlineStr">
        <is>
          <t>0                      BT 0736400M  25          1973</t>
        </is>
      </c>
      <c r="D1043" t="inlineStr">
        <is>
          <t>The concept of peace / John Macquarrie.</t>
        </is>
      </c>
      <c r="F1043" t="inlineStr">
        <is>
          <t>No</t>
        </is>
      </c>
      <c r="G1043" t="inlineStr">
        <is>
          <t>1</t>
        </is>
      </c>
      <c r="H1043" t="inlineStr">
        <is>
          <t>No</t>
        </is>
      </c>
      <c r="I1043" t="inlineStr">
        <is>
          <t>No</t>
        </is>
      </c>
      <c r="J1043" t="inlineStr">
        <is>
          <t>0</t>
        </is>
      </c>
      <c r="K1043" t="inlineStr">
        <is>
          <t>Macquarrie, John.</t>
        </is>
      </c>
      <c r="L1043" t="inlineStr">
        <is>
          <t>New York, Harper &amp; Row [1973]</t>
        </is>
      </c>
      <c r="M1043" t="inlineStr">
        <is>
          <t>1973</t>
        </is>
      </c>
      <c r="N1043" t="inlineStr">
        <is>
          <t>[1st U.S. ed.]</t>
        </is>
      </c>
      <c r="O1043" t="inlineStr">
        <is>
          <t>eng</t>
        </is>
      </c>
      <c r="P1043" t="inlineStr">
        <is>
          <t>nyu</t>
        </is>
      </c>
      <c r="R1043" t="inlineStr">
        <is>
          <t xml:space="preserve">BT </t>
        </is>
      </c>
      <c r="S1043" t="n">
        <v>1</v>
      </c>
      <c r="T1043" t="n">
        <v>1</v>
      </c>
      <c r="U1043" t="inlineStr">
        <is>
          <t>1994-03-11</t>
        </is>
      </c>
      <c r="V1043" t="inlineStr">
        <is>
          <t>1994-03-11</t>
        </is>
      </c>
      <c r="W1043" t="inlineStr">
        <is>
          <t>1991-10-04</t>
        </is>
      </c>
      <c r="X1043" t="inlineStr">
        <is>
          <t>1991-10-04</t>
        </is>
      </c>
      <c r="Y1043" t="n">
        <v>491</v>
      </c>
      <c r="Z1043" t="n">
        <v>454</v>
      </c>
      <c r="AA1043" t="n">
        <v>563</v>
      </c>
      <c r="AB1043" t="n">
        <v>4</v>
      </c>
      <c r="AC1043" t="n">
        <v>4</v>
      </c>
      <c r="AD1043" t="n">
        <v>29</v>
      </c>
      <c r="AE1043" t="n">
        <v>34</v>
      </c>
      <c r="AF1043" t="n">
        <v>10</v>
      </c>
      <c r="AG1043" t="n">
        <v>13</v>
      </c>
      <c r="AH1043" t="n">
        <v>6</v>
      </c>
      <c r="AI1043" t="n">
        <v>8</v>
      </c>
      <c r="AJ1043" t="n">
        <v>18</v>
      </c>
      <c r="AK1043" t="n">
        <v>21</v>
      </c>
      <c r="AL1043" t="n">
        <v>2</v>
      </c>
      <c r="AM1043" t="n">
        <v>2</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HYPERLINK("https://creighton-primo.hosted.exlibrisgroup.com/primo-explore/search?tab=default_tab&amp;search_scope=EVERYTHING&amp;vid=01CRU&amp;lang=en_US&amp;offset=0&amp;query=any,contains,991003238349702656","Catalog Record")</f>
        <v/>
      </c>
      <c r="AT1043">
        <f>HYPERLINK("http://www.worldcat.org/oclc/762385","WorldCat Record")</f>
        <v/>
      </c>
      <c r="AU1043" t="inlineStr">
        <is>
          <t>1638934:eng</t>
        </is>
      </c>
      <c r="AV1043" t="inlineStr">
        <is>
          <t>762385</t>
        </is>
      </c>
      <c r="AW1043" t="inlineStr">
        <is>
          <t>991003238349702656</t>
        </is>
      </c>
      <c r="AX1043" t="inlineStr">
        <is>
          <t>991003238349702656</t>
        </is>
      </c>
      <c r="AY1043" t="inlineStr">
        <is>
          <t>2265194560002656</t>
        </is>
      </c>
      <c r="AZ1043" t="inlineStr">
        <is>
          <t>BOOK</t>
        </is>
      </c>
      <c r="BB1043" t="inlineStr">
        <is>
          <t>9780060653651</t>
        </is>
      </c>
      <c r="BC1043" t="inlineStr">
        <is>
          <t>32285000749761</t>
        </is>
      </c>
      <c r="BD1043" t="inlineStr">
        <is>
          <t>893868220</t>
        </is>
      </c>
    </row>
    <row r="1044">
      <c r="A1044" t="inlineStr">
        <is>
          <t>No</t>
        </is>
      </c>
      <c r="B1044" t="inlineStr">
        <is>
          <t>BT736.4 .M6613 1989</t>
        </is>
      </c>
      <c r="C1044" t="inlineStr">
        <is>
          <t>0                      BT 0736400M  6613        1989</t>
        </is>
      </c>
      <c r="D1044" t="inlineStr">
        <is>
          <t>Creating a just future : the politics of peace and the ethics of creation in a threatened world / Jürgen Moltmann.</t>
        </is>
      </c>
      <c r="F1044" t="inlineStr">
        <is>
          <t>No</t>
        </is>
      </c>
      <c r="G1044" t="inlineStr">
        <is>
          <t>1</t>
        </is>
      </c>
      <c r="H1044" t="inlineStr">
        <is>
          <t>No</t>
        </is>
      </c>
      <c r="I1044" t="inlineStr">
        <is>
          <t>No</t>
        </is>
      </c>
      <c r="J1044" t="inlineStr">
        <is>
          <t>0</t>
        </is>
      </c>
      <c r="K1044" t="inlineStr">
        <is>
          <t>Moltmann, Jürgen.</t>
        </is>
      </c>
      <c r="L1044" t="inlineStr">
        <is>
          <t>London : SCM Press ; Philadelphia : Trinity Press International, 1989.</t>
        </is>
      </c>
      <c r="M1044" t="inlineStr">
        <is>
          <t>1989</t>
        </is>
      </c>
      <c r="O1044" t="inlineStr">
        <is>
          <t>eng</t>
        </is>
      </c>
      <c r="P1044" t="inlineStr">
        <is>
          <t>enk</t>
        </is>
      </c>
      <c r="R1044" t="inlineStr">
        <is>
          <t xml:space="preserve">BT </t>
        </is>
      </c>
      <c r="S1044" t="n">
        <v>9</v>
      </c>
      <c r="T1044" t="n">
        <v>9</v>
      </c>
      <c r="U1044" t="inlineStr">
        <is>
          <t>2005-10-07</t>
        </is>
      </c>
      <c r="V1044" t="inlineStr">
        <is>
          <t>2005-10-07</t>
        </is>
      </c>
      <c r="W1044" t="inlineStr">
        <is>
          <t>1990-04-23</t>
        </is>
      </c>
      <c r="X1044" t="inlineStr">
        <is>
          <t>1990-04-23</t>
        </is>
      </c>
      <c r="Y1044" t="n">
        <v>311</v>
      </c>
      <c r="Z1044" t="n">
        <v>214</v>
      </c>
      <c r="AA1044" t="n">
        <v>216</v>
      </c>
      <c r="AB1044" t="n">
        <v>2</v>
      </c>
      <c r="AC1044" t="n">
        <v>2</v>
      </c>
      <c r="AD1044" t="n">
        <v>16</v>
      </c>
      <c r="AE1044" t="n">
        <v>16</v>
      </c>
      <c r="AF1044" t="n">
        <v>6</v>
      </c>
      <c r="AG1044" t="n">
        <v>6</v>
      </c>
      <c r="AH1044" t="n">
        <v>4</v>
      </c>
      <c r="AI1044" t="n">
        <v>4</v>
      </c>
      <c r="AJ1044" t="n">
        <v>8</v>
      </c>
      <c r="AK1044" t="n">
        <v>8</v>
      </c>
      <c r="AL1044" t="n">
        <v>1</v>
      </c>
      <c r="AM1044" t="n">
        <v>1</v>
      </c>
      <c r="AN1044" t="n">
        <v>0</v>
      </c>
      <c r="AO1044" t="n">
        <v>0</v>
      </c>
      <c r="AP1044" t="inlineStr">
        <is>
          <t>No</t>
        </is>
      </c>
      <c r="AQ1044" t="inlineStr">
        <is>
          <t>Yes</t>
        </is>
      </c>
      <c r="AR1044">
        <f>HYPERLINK("http://catalog.hathitrust.org/Record/001818672","HathiTrust Record")</f>
        <v/>
      </c>
      <c r="AS1044">
        <f>HYPERLINK("https://creighton-primo.hosted.exlibrisgroup.com/primo-explore/search?tab=default_tab&amp;search_scope=EVERYTHING&amp;vid=01CRU&amp;lang=en_US&amp;offset=0&amp;query=any,contains,991001513999702656","Catalog Record")</f>
        <v/>
      </c>
      <c r="AT1044">
        <f>HYPERLINK("http://www.worldcat.org/oclc/19921102","WorldCat Record")</f>
        <v/>
      </c>
      <c r="AU1044" t="inlineStr">
        <is>
          <t>21331126:eng</t>
        </is>
      </c>
      <c r="AV1044" t="inlineStr">
        <is>
          <t>19921102</t>
        </is>
      </c>
      <c r="AW1044" t="inlineStr">
        <is>
          <t>991001513999702656</t>
        </is>
      </c>
      <c r="AX1044" t="inlineStr">
        <is>
          <t>991001513999702656</t>
        </is>
      </c>
      <c r="AY1044" t="inlineStr">
        <is>
          <t>2269399670002656</t>
        </is>
      </c>
      <c r="AZ1044" t="inlineStr">
        <is>
          <t>BOOK</t>
        </is>
      </c>
      <c r="BB1044" t="inlineStr">
        <is>
          <t>9780334019091</t>
        </is>
      </c>
      <c r="BC1044" t="inlineStr">
        <is>
          <t>32285000104967</t>
        </is>
      </c>
      <c r="BD1044" t="inlineStr">
        <is>
          <t>893721038</t>
        </is>
      </c>
    </row>
    <row r="1045">
      <c r="A1045" t="inlineStr">
        <is>
          <t>No</t>
        </is>
      </c>
      <c r="B1045" t="inlineStr">
        <is>
          <t>BT736.4 .N8 1971b</t>
        </is>
      </c>
      <c r="C1045" t="inlineStr">
        <is>
          <t>0                      BT 0736400N  8           1971b</t>
        </is>
      </c>
      <c r="D1045" t="inlineStr">
        <is>
          <t>Christian pacifism in history / Geoffrey F. Nuttall.</t>
        </is>
      </c>
      <c r="F1045" t="inlineStr">
        <is>
          <t>No</t>
        </is>
      </c>
      <c r="G1045" t="inlineStr">
        <is>
          <t>1</t>
        </is>
      </c>
      <c r="H1045" t="inlineStr">
        <is>
          <t>No</t>
        </is>
      </c>
      <c r="I1045" t="inlineStr">
        <is>
          <t>No</t>
        </is>
      </c>
      <c r="J1045" t="inlineStr">
        <is>
          <t>0</t>
        </is>
      </c>
      <c r="K1045" t="inlineStr">
        <is>
          <t>Nuttall, Geoffrey F. (Geoffrey Fillingham), 1911-2007.</t>
        </is>
      </c>
      <c r="L1045" t="inlineStr">
        <is>
          <t>[Berkeley, Calif.] World Without War Council [1971, c1958]</t>
        </is>
      </c>
      <c r="M1045" t="inlineStr">
        <is>
          <t>1971</t>
        </is>
      </c>
      <c r="O1045" t="inlineStr">
        <is>
          <t>eng</t>
        </is>
      </c>
      <c r="P1045" t="inlineStr">
        <is>
          <t>___</t>
        </is>
      </c>
      <c r="R1045" t="inlineStr">
        <is>
          <t xml:space="preserve">BT </t>
        </is>
      </c>
      <c r="S1045" t="n">
        <v>6</v>
      </c>
      <c r="T1045" t="n">
        <v>6</v>
      </c>
      <c r="U1045" t="inlineStr">
        <is>
          <t>2002-09-18</t>
        </is>
      </c>
      <c r="V1045" t="inlineStr">
        <is>
          <t>2002-09-18</t>
        </is>
      </c>
      <c r="W1045" t="inlineStr">
        <is>
          <t>1991-10-04</t>
        </is>
      </c>
      <c r="X1045" t="inlineStr">
        <is>
          <t>1991-10-04</t>
        </is>
      </c>
      <c r="Y1045" t="n">
        <v>195</v>
      </c>
      <c r="Z1045" t="n">
        <v>172</v>
      </c>
      <c r="AA1045" t="n">
        <v>290</v>
      </c>
      <c r="AB1045" t="n">
        <v>2</v>
      </c>
      <c r="AC1045" t="n">
        <v>2</v>
      </c>
      <c r="AD1045" t="n">
        <v>9</v>
      </c>
      <c r="AE1045" t="n">
        <v>15</v>
      </c>
      <c r="AF1045" t="n">
        <v>4</v>
      </c>
      <c r="AG1045" t="n">
        <v>5</v>
      </c>
      <c r="AH1045" t="n">
        <v>1</v>
      </c>
      <c r="AI1045" t="n">
        <v>5</v>
      </c>
      <c r="AJ1045" t="n">
        <v>4</v>
      </c>
      <c r="AK1045" t="n">
        <v>8</v>
      </c>
      <c r="AL1045" t="n">
        <v>1</v>
      </c>
      <c r="AM1045" t="n">
        <v>1</v>
      </c>
      <c r="AN1045" t="n">
        <v>1</v>
      </c>
      <c r="AO1045" t="n">
        <v>1</v>
      </c>
      <c r="AP1045" t="inlineStr">
        <is>
          <t>No</t>
        </is>
      </c>
      <c r="AQ1045" t="inlineStr">
        <is>
          <t>No</t>
        </is>
      </c>
      <c r="AS1045">
        <f>HYPERLINK("https://creighton-primo.hosted.exlibrisgroup.com/primo-explore/search?tab=default_tab&amp;search_scope=EVERYTHING&amp;vid=01CRU&amp;lang=en_US&amp;offset=0&amp;query=any,contains,991002232599702656","Catalog Record")</f>
        <v/>
      </c>
      <c r="AT1045">
        <f>HYPERLINK("http://www.worldcat.org/oclc/294662","WorldCat Record")</f>
        <v/>
      </c>
      <c r="AU1045" t="inlineStr">
        <is>
          <t>1488575:eng</t>
        </is>
      </c>
      <c r="AV1045" t="inlineStr">
        <is>
          <t>294662</t>
        </is>
      </c>
      <c r="AW1045" t="inlineStr">
        <is>
          <t>991002232599702656</t>
        </is>
      </c>
      <c r="AX1045" t="inlineStr">
        <is>
          <t>991002232599702656</t>
        </is>
      </c>
      <c r="AY1045" t="inlineStr">
        <is>
          <t>2268537720002656</t>
        </is>
      </c>
      <c r="AZ1045" t="inlineStr">
        <is>
          <t>BOOK</t>
        </is>
      </c>
      <c r="BC1045" t="inlineStr">
        <is>
          <t>32285000749779</t>
        </is>
      </c>
      <c r="BD1045" t="inlineStr">
        <is>
          <t>893529706</t>
        </is>
      </c>
    </row>
    <row r="1046">
      <c r="A1046" t="inlineStr">
        <is>
          <t>No</t>
        </is>
      </c>
      <c r="B1046" t="inlineStr">
        <is>
          <t>BT736.4 .P42 1986</t>
        </is>
      </c>
      <c r="C1046" t="inlineStr">
        <is>
          <t>0                      BT 0736400P  42          1986</t>
        </is>
      </c>
      <c r="D1046" t="inlineStr">
        <is>
          <t>Peace in a nuclear age : the bishops' pastoral letter in perspective / edited by Charles J. Reid, Jr.</t>
        </is>
      </c>
      <c r="F1046" t="inlineStr">
        <is>
          <t>No</t>
        </is>
      </c>
      <c r="G1046" t="inlineStr">
        <is>
          <t>1</t>
        </is>
      </c>
      <c r="H1046" t="inlineStr">
        <is>
          <t>No</t>
        </is>
      </c>
      <c r="I1046" t="inlineStr">
        <is>
          <t>No</t>
        </is>
      </c>
      <c r="J1046" t="inlineStr">
        <is>
          <t>0</t>
        </is>
      </c>
      <c r="L1046" t="inlineStr">
        <is>
          <t>Washington, D.C. : Catholic University of America Press, c1986.</t>
        </is>
      </c>
      <c r="M1046" t="inlineStr">
        <is>
          <t>1986</t>
        </is>
      </c>
      <c r="O1046" t="inlineStr">
        <is>
          <t>eng</t>
        </is>
      </c>
      <c r="P1046" t="inlineStr">
        <is>
          <t>dcu</t>
        </is>
      </c>
      <c r="R1046" t="inlineStr">
        <is>
          <t xml:space="preserve">BT </t>
        </is>
      </c>
      <c r="S1046" t="n">
        <v>3</v>
      </c>
      <c r="T1046" t="n">
        <v>3</v>
      </c>
      <c r="U1046" t="inlineStr">
        <is>
          <t>1994-04-10</t>
        </is>
      </c>
      <c r="V1046" t="inlineStr">
        <is>
          <t>1994-04-10</t>
        </is>
      </c>
      <c r="W1046" t="inlineStr">
        <is>
          <t>1991-10-04</t>
        </is>
      </c>
      <c r="X1046" t="inlineStr">
        <is>
          <t>1991-10-04</t>
        </is>
      </c>
      <c r="Y1046" t="n">
        <v>528</v>
      </c>
      <c r="Z1046" t="n">
        <v>472</v>
      </c>
      <c r="AA1046" t="n">
        <v>477</v>
      </c>
      <c r="AB1046" t="n">
        <v>6</v>
      </c>
      <c r="AC1046" t="n">
        <v>6</v>
      </c>
      <c r="AD1046" t="n">
        <v>38</v>
      </c>
      <c r="AE1046" t="n">
        <v>38</v>
      </c>
      <c r="AF1046" t="n">
        <v>10</v>
      </c>
      <c r="AG1046" t="n">
        <v>10</v>
      </c>
      <c r="AH1046" t="n">
        <v>10</v>
      </c>
      <c r="AI1046" t="n">
        <v>10</v>
      </c>
      <c r="AJ1046" t="n">
        <v>24</v>
      </c>
      <c r="AK1046" t="n">
        <v>24</v>
      </c>
      <c r="AL1046" t="n">
        <v>5</v>
      </c>
      <c r="AM1046" t="n">
        <v>5</v>
      </c>
      <c r="AN1046" t="n">
        <v>0</v>
      </c>
      <c r="AO1046" t="n">
        <v>0</v>
      </c>
      <c r="AP1046" t="inlineStr">
        <is>
          <t>No</t>
        </is>
      </c>
      <c r="AQ1046" t="inlineStr">
        <is>
          <t>Yes</t>
        </is>
      </c>
      <c r="AR1046">
        <f>HYPERLINK("http://catalog.hathitrust.org/Record/000672620","HathiTrust Record")</f>
        <v/>
      </c>
      <c r="AS1046">
        <f>HYPERLINK("https://creighton-primo.hosted.exlibrisgroup.com/primo-explore/search?tab=default_tab&amp;search_scope=EVERYTHING&amp;vid=01CRU&amp;lang=en_US&amp;offset=0&amp;query=any,contains,991000737529702656","Catalog Record")</f>
        <v/>
      </c>
      <c r="AT1046">
        <f>HYPERLINK("http://www.worldcat.org/oclc/12803662","WorldCat Record")</f>
        <v/>
      </c>
      <c r="AU1046" t="inlineStr">
        <is>
          <t>5368930:eng</t>
        </is>
      </c>
      <c r="AV1046" t="inlineStr">
        <is>
          <t>12803662</t>
        </is>
      </c>
      <c r="AW1046" t="inlineStr">
        <is>
          <t>991000737529702656</t>
        </is>
      </c>
      <c r="AX1046" t="inlineStr">
        <is>
          <t>991000737529702656</t>
        </is>
      </c>
      <c r="AY1046" t="inlineStr">
        <is>
          <t>2256958950002656</t>
        </is>
      </c>
      <c r="AZ1046" t="inlineStr">
        <is>
          <t>BOOK</t>
        </is>
      </c>
      <c r="BB1046" t="inlineStr">
        <is>
          <t>9780813206240</t>
        </is>
      </c>
      <c r="BC1046" t="inlineStr">
        <is>
          <t>32285000749787</t>
        </is>
      </c>
      <c r="BD1046" t="inlineStr">
        <is>
          <t>893438552</t>
        </is>
      </c>
    </row>
    <row r="1047">
      <c r="A1047" t="inlineStr">
        <is>
          <t>No</t>
        </is>
      </c>
      <c r="B1047" t="inlineStr">
        <is>
          <t>BT736.4 .P449 1986</t>
        </is>
      </c>
      <c r="C1047" t="inlineStr">
        <is>
          <t>0                      BT 0736400P  449         1986</t>
        </is>
      </c>
      <c r="D1047" t="inlineStr">
        <is>
          <t>Peace, politics, and the people of God / Paul Peachey, editor.</t>
        </is>
      </c>
      <c r="F1047" t="inlineStr">
        <is>
          <t>No</t>
        </is>
      </c>
      <c r="G1047" t="inlineStr">
        <is>
          <t>1</t>
        </is>
      </c>
      <c r="H1047" t="inlineStr">
        <is>
          <t>No</t>
        </is>
      </c>
      <c r="I1047" t="inlineStr">
        <is>
          <t>No</t>
        </is>
      </c>
      <c r="J1047" t="inlineStr">
        <is>
          <t>0</t>
        </is>
      </c>
      <c r="L1047" t="inlineStr">
        <is>
          <t>Philadelphia : Fortress Press, c1986.</t>
        </is>
      </c>
      <c r="M1047" t="inlineStr">
        <is>
          <t>1986</t>
        </is>
      </c>
      <c r="O1047" t="inlineStr">
        <is>
          <t>eng</t>
        </is>
      </c>
      <c r="P1047" t="inlineStr">
        <is>
          <t>pau</t>
        </is>
      </c>
      <c r="R1047" t="inlineStr">
        <is>
          <t xml:space="preserve">BT </t>
        </is>
      </c>
      <c r="S1047" t="n">
        <v>5</v>
      </c>
      <c r="T1047" t="n">
        <v>5</v>
      </c>
      <c r="U1047" t="inlineStr">
        <is>
          <t>2002-03-27</t>
        </is>
      </c>
      <c r="V1047" t="inlineStr">
        <is>
          <t>2002-03-27</t>
        </is>
      </c>
      <c r="W1047" t="inlineStr">
        <is>
          <t>1990-02-20</t>
        </is>
      </c>
      <c r="X1047" t="inlineStr">
        <is>
          <t>1990-02-20</t>
        </is>
      </c>
      <c r="Y1047" t="n">
        <v>373</v>
      </c>
      <c r="Z1047" t="n">
        <v>329</v>
      </c>
      <c r="AA1047" t="n">
        <v>330</v>
      </c>
      <c r="AB1047" t="n">
        <v>2</v>
      </c>
      <c r="AC1047" t="n">
        <v>2</v>
      </c>
      <c r="AD1047" t="n">
        <v>25</v>
      </c>
      <c r="AE1047" t="n">
        <v>25</v>
      </c>
      <c r="AF1047" t="n">
        <v>11</v>
      </c>
      <c r="AG1047" t="n">
        <v>11</v>
      </c>
      <c r="AH1047" t="n">
        <v>8</v>
      </c>
      <c r="AI1047" t="n">
        <v>8</v>
      </c>
      <c r="AJ1047" t="n">
        <v>14</v>
      </c>
      <c r="AK1047" t="n">
        <v>14</v>
      </c>
      <c r="AL1047" t="n">
        <v>1</v>
      </c>
      <c r="AM1047" t="n">
        <v>1</v>
      </c>
      <c r="AN1047" t="n">
        <v>0</v>
      </c>
      <c r="AO1047" t="n">
        <v>0</v>
      </c>
      <c r="AP1047" t="inlineStr">
        <is>
          <t>No</t>
        </is>
      </c>
      <c r="AQ1047" t="inlineStr">
        <is>
          <t>Yes</t>
        </is>
      </c>
      <c r="AR1047">
        <f>HYPERLINK("http://catalog.hathitrust.org/Record/000400983","HathiTrust Record")</f>
        <v/>
      </c>
      <c r="AS1047">
        <f>HYPERLINK("https://creighton-primo.hosted.exlibrisgroup.com/primo-explore/search?tab=default_tab&amp;search_scope=EVERYTHING&amp;vid=01CRU&amp;lang=en_US&amp;offset=0&amp;query=any,contains,991000762159702656","Catalog Record")</f>
        <v/>
      </c>
      <c r="AT1047">
        <f>HYPERLINK("http://www.worldcat.org/oclc/12974447","WorldCat Record")</f>
        <v/>
      </c>
      <c r="AU1047" t="inlineStr">
        <is>
          <t>5628881:eng</t>
        </is>
      </c>
      <c r="AV1047" t="inlineStr">
        <is>
          <t>12974447</t>
        </is>
      </c>
      <c r="AW1047" t="inlineStr">
        <is>
          <t>991000762159702656</t>
        </is>
      </c>
      <c r="AX1047" t="inlineStr">
        <is>
          <t>991000762159702656</t>
        </is>
      </c>
      <c r="AY1047" t="inlineStr">
        <is>
          <t>2260845640002656</t>
        </is>
      </c>
      <c r="AZ1047" t="inlineStr">
        <is>
          <t>BOOK</t>
        </is>
      </c>
      <c r="BB1047" t="inlineStr">
        <is>
          <t>9780800618988</t>
        </is>
      </c>
      <c r="BC1047" t="inlineStr">
        <is>
          <t>32285000055722</t>
        </is>
      </c>
      <c r="BD1047" t="inlineStr">
        <is>
          <t>893225284</t>
        </is>
      </c>
    </row>
    <row r="1048">
      <c r="A1048" t="inlineStr">
        <is>
          <t>No</t>
        </is>
      </c>
      <c r="B1048" t="inlineStr">
        <is>
          <t>BT736.4 .P465 1994</t>
        </is>
      </c>
      <c r="C1048" t="inlineStr">
        <is>
          <t>0                      BT 0736400P  465         1994</t>
        </is>
      </c>
      <c r="D1048" t="inlineStr">
        <is>
          <t>Peacemaking : moral and policy challenges for a new world / edited by Gerard F. Powers, Drew Christiansen, and Robert T. Hennemeyer.</t>
        </is>
      </c>
      <c r="F1048" t="inlineStr">
        <is>
          <t>No</t>
        </is>
      </c>
      <c r="G1048" t="inlineStr">
        <is>
          <t>1</t>
        </is>
      </c>
      <c r="H1048" t="inlineStr">
        <is>
          <t>No</t>
        </is>
      </c>
      <c r="I1048" t="inlineStr">
        <is>
          <t>No</t>
        </is>
      </c>
      <c r="J1048" t="inlineStr">
        <is>
          <t>0</t>
        </is>
      </c>
      <c r="L1048" t="inlineStr">
        <is>
          <t>Washington, D.C. : United States Catholic Conference, c1994.</t>
        </is>
      </c>
      <c r="M1048" t="inlineStr">
        <is>
          <t>1994</t>
        </is>
      </c>
      <c r="O1048" t="inlineStr">
        <is>
          <t>eng</t>
        </is>
      </c>
      <c r="P1048" t="inlineStr">
        <is>
          <t>dcu</t>
        </is>
      </c>
      <c r="Q1048" t="inlineStr">
        <is>
          <t>Publication / Office for Publishing and Promotion Services, United States Catholic Conference ; no. 682-4</t>
        </is>
      </c>
      <c r="R1048" t="inlineStr">
        <is>
          <t xml:space="preserve">BT </t>
        </is>
      </c>
      <c r="S1048" t="n">
        <v>7</v>
      </c>
      <c r="T1048" t="n">
        <v>7</v>
      </c>
      <c r="U1048" t="inlineStr">
        <is>
          <t>2008-02-27</t>
        </is>
      </c>
      <c r="V1048" t="inlineStr">
        <is>
          <t>2008-02-27</t>
        </is>
      </c>
      <c r="W1048" t="inlineStr">
        <is>
          <t>1995-02-01</t>
        </is>
      </c>
      <c r="X1048" t="inlineStr">
        <is>
          <t>1995-02-01</t>
        </is>
      </c>
      <c r="Y1048" t="n">
        <v>349</v>
      </c>
      <c r="Z1048" t="n">
        <v>305</v>
      </c>
      <c r="AA1048" t="n">
        <v>309</v>
      </c>
      <c r="AB1048" t="n">
        <v>4</v>
      </c>
      <c r="AC1048" t="n">
        <v>4</v>
      </c>
      <c r="AD1048" t="n">
        <v>31</v>
      </c>
      <c r="AE1048" t="n">
        <v>31</v>
      </c>
      <c r="AF1048" t="n">
        <v>10</v>
      </c>
      <c r="AG1048" t="n">
        <v>10</v>
      </c>
      <c r="AH1048" t="n">
        <v>9</v>
      </c>
      <c r="AI1048" t="n">
        <v>9</v>
      </c>
      <c r="AJ1048" t="n">
        <v>19</v>
      </c>
      <c r="AK1048" t="n">
        <v>19</v>
      </c>
      <c r="AL1048" t="n">
        <v>2</v>
      </c>
      <c r="AM1048" t="n">
        <v>2</v>
      </c>
      <c r="AN1048" t="n">
        <v>1</v>
      </c>
      <c r="AO1048" t="n">
        <v>1</v>
      </c>
      <c r="AP1048" t="inlineStr">
        <is>
          <t>No</t>
        </is>
      </c>
      <c r="AQ1048" t="inlineStr">
        <is>
          <t>No</t>
        </is>
      </c>
      <c r="AS1048">
        <f>HYPERLINK("https://creighton-primo.hosted.exlibrisgroup.com/primo-explore/search?tab=default_tab&amp;search_scope=EVERYTHING&amp;vid=01CRU&amp;lang=en_US&amp;offset=0&amp;query=any,contains,991002435449702656","Catalog Record")</f>
        <v/>
      </c>
      <c r="AT1048">
        <f>HYPERLINK("http://www.worldcat.org/oclc/31750433","WorldCat Record")</f>
        <v/>
      </c>
      <c r="AU1048" t="inlineStr">
        <is>
          <t>796260775:eng</t>
        </is>
      </c>
      <c r="AV1048" t="inlineStr">
        <is>
          <t>31750433</t>
        </is>
      </c>
      <c r="AW1048" t="inlineStr">
        <is>
          <t>991002435449702656</t>
        </is>
      </c>
      <c r="AX1048" t="inlineStr">
        <is>
          <t>991002435449702656</t>
        </is>
      </c>
      <c r="AY1048" t="inlineStr">
        <is>
          <t>2268905950002656</t>
        </is>
      </c>
      <c r="AZ1048" t="inlineStr">
        <is>
          <t>BOOK</t>
        </is>
      </c>
      <c r="BB1048" t="inlineStr">
        <is>
          <t>9781555866822</t>
        </is>
      </c>
      <c r="BC1048" t="inlineStr">
        <is>
          <t>32285001974996</t>
        </is>
      </c>
      <c r="BD1048" t="inlineStr">
        <is>
          <t>893597454</t>
        </is>
      </c>
    </row>
    <row r="1049">
      <c r="A1049" t="inlineStr">
        <is>
          <t>No</t>
        </is>
      </c>
      <c r="B1049" t="inlineStr">
        <is>
          <t>BT736.4 .V34 1983</t>
        </is>
      </c>
      <c r="C1049" t="inlineStr">
        <is>
          <t>0                      BT 0736400V  34          1983</t>
        </is>
      </c>
      <c r="D1049" t="inlineStr">
        <is>
          <t>Holy war and Pentecostal peace / Paul Valliere.</t>
        </is>
      </c>
      <c r="F1049" t="inlineStr">
        <is>
          <t>No</t>
        </is>
      </c>
      <c r="G1049" t="inlineStr">
        <is>
          <t>1</t>
        </is>
      </c>
      <c r="H1049" t="inlineStr">
        <is>
          <t>No</t>
        </is>
      </c>
      <c r="I1049" t="inlineStr">
        <is>
          <t>No</t>
        </is>
      </c>
      <c r="J1049" t="inlineStr">
        <is>
          <t>0</t>
        </is>
      </c>
      <c r="K1049" t="inlineStr">
        <is>
          <t>Valliere, Paul.</t>
        </is>
      </c>
      <c r="L1049" t="inlineStr">
        <is>
          <t>New York : Seabury Press, 1983.</t>
        </is>
      </c>
      <c r="M1049" t="inlineStr">
        <is>
          <t>1983</t>
        </is>
      </c>
      <c r="O1049" t="inlineStr">
        <is>
          <t>eng</t>
        </is>
      </c>
      <c r="P1049" t="inlineStr">
        <is>
          <t>nyu</t>
        </is>
      </c>
      <c r="R1049" t="inlineStr">
        <is>
          <t xml:space="preserve">BT </t>
        </is>
      </c>
      <c r="S1049" t="n">
        <v>3</v>
      </c>
      <c r="T1049" t="n">
        <v>3</v>
      </c>
      <c r="U1049" t="inlineStr">
        <is>
          <t>1994-04-05</t>
        </is>
      </c>
      <c r="V1049" t="inlineStr">
        <is>
          <t>1994-04-05</t>
        </is>
      </c>
      <c r="W1049" t="inlineStr">
        <is>
          <t>1991-10-04</t>
        </is>
      </c>
      <c r="X1049" t="inlineStr">
        <is>
          <t>1991-10-04</t>
        </is>
      </c>
      <c r="Y1049" t="n">
        <v>155</v>
      </c>
      <c r="Z1049" t="n">
        <v>134</v>
      </c>
      <c r="AA1049" t="n">
        <v>135</v>
      </c>
      <c r="AB1049" t="n">
        <v>1</v>
      </c>
      <c r="AC1049" t="n">
        <v>1</v>
      </c>
      <c r="AD1049" t="n">
        <v>9</v>
      </c>
      <c r="AE1049" t="n">
        <v>9</v>
      </c>
      <c r="AF1049" t="n">
        <v>2</v>
      </c>
      <c r="AG1049" t="n">
        <v>2</v>
      </c>
      <c r="AH1049" t="n">
        <v>4</v>
      </c>
      <c r="AI1049" t="n">
        <v>4</v>
      </c>
      <c r="AJ1049" t="n">
        <v>5</v>
      </c>
      <c r="AK1049" t="n">
        <v>5</v>
      </c>
      <c r="AL1049" t="n">
        <v>0</v>
      </c>
      <c r="AM1049" t="n">
        <v>0</v>
      </c>
      <c r="AN1049" t="n">
        <v>0</v>
      </c>
      <c r="AO1049" t="n">
        <v>0</v>
      </c>
      <c r="AP1049" t="inlineStr">
        <is>
          <t>No</t>
        </is>
      </c>
      <c r="AQ1049" t="inlineStr">
        <is>
          <t>Yes</t>
        </is>
      </c>
      <c r="AR1049">
        <f>HYPERLINK("http://catalog.hathitrust.org/Record/000115885","HathiTrust Record")</f>
        <v/>
      </c>
      <c r="AS1049">
        <f>HYPERLINK("https://creighton-primo.hosted.exlibrisgroup.com/primo-explore/search?tab=default_tab&amp;search_scope=EVERYTHING&amp;vid=01CRU&amp;lang=en_US&amp;offset=0&amp;query=any,contains,991000204439702656","Catalog Record")</f>
        <v/>
      </c>
      <c r="AT1049">
        <f>HYPERLINK("http://www.worldcat.org/oclc/9488409","WorldCat Record")</f>
        <v/>
      </c>
      <c r="AU1049" t="inlineStr">
        <is>
          <t>42855682:eng</t>
        </is>
      </c>
      <c r="AV1049" t="inlineStr">
        <is>
          <t>9488409</t>
        </is>
      </c>
      <c r="AW1049" t="inlineStr">
        <is>
          <t>991000204439702656</t>
        </is>
      </c>
      <c r="AX1049" t="inlineStr">
        <is>
          <t>991000204439702656</t>
        </is>
      </c>
      <c r="AY1049" t="inlineStr">
        <is>
          <t>2258936680002656</t>
        </is>
      </c>
      <c r="AZ1049" t="inlineStr">
        <is>
          <t>BOOK</t>
        </is>
      </c>
      <c r="BB1049" t="inlineStr">
        <is>
          <t>9780816424818</t>
        </is>
      </c>
      <c r="BC1049" t="inlineStr">
        <is>
          <t>32285000749803</t>
        </is>
      </c>
      <c r="BD1049" t="inlineStr">
        <is>
          <t>893327120</t>
        </is>
      </c>
    </row>
    <row r="1050">
      <c r="A1050" t="inlineStr">
        <is>
          <t>No</t>
        </is>
      </c>
      <c r="B1050" t="inlineStr">
        <is>
          <t>BT736.4 .W4413 1987</t>
        </is>
      </c>
      <c r="C1050" t="inlineStr">
        <is>
          <t>0                      BT 0736400W  4413        1987</t>
        </is>
      </c>
      <c r="D1050" t="inlineStr">
        <is>
          <t>Pax Romana : and the peace of Jesus Christ / Klaus Wengst.</t>
        </is>
      </c>
      <c r="F1050" t="inlineStr">
        <is>
          <t>No</t>
        </is>
      </c>
      <c r="G1050" t="inlineStr">
        <is>
          <t>1</t>
        </is>
      </c>
      <c r="H1050" t="inlineStr">
        <is>
          <t>No</t>
        </is>
      </c>
      <c r="I1050" t="inlineStr">
        <is>
          <t>No</t>
        </is>
      </c>
      <c r="J1050" t="inlineStr">
        <is>
          <t>0</t>
        </is>
      </c>
      <c r="K1050" t="inlineStr">
        <is>
          <t>Wengst, Klaus.</t>
        </is>
      </c>
      <c r="L1050" t="inlineStr">
        <is>
          <t>Philadelphia : Fortress Press, 1987.</t>
        </is>
      </c>
      <c r="M1050" t="inlineStr">
        <is>
          <t>1987</t>
        </is>
      </c>
      <c r="N1050" t="inlineStr">
        <is>
          <t>1st Fortress Press ed.</t>
        </is>
      </c>
      <c r="O1050" t="inlineStr">
        <is>
          <t>eng</t>
        </is>
      </c>
      <c r="P1050" t="inlineStr">
        <is>
          <t>pau</t>
        </is>
      </c>
      <c r="R1050" t="inlineStr">
        <is>
          <t xml:space="preserve">BT </t>
        </is>
      </c>
      <c r="S1050" t="n">
        <v>7</v>
      </c>
      <c r="T1050" t="n">
        <v>7</v>
      </c>
      <c r="U1050" t="inlineStr">
        <is>
          <t>1994-03-29</t>
        </is>
      </c>
      <c r="V1050" t="inlineStr">
        <is>
          <t>1994-03-29</t>
        </is>
      </c>
      <c r="W1050" t="inlineStr">
        <is>
          <t>1991-10-04</t>
        </is>
      </c>
      <c r="X1050" t="inlineStr">
        <is>
          <t>1991-10-04</t>
        </is>
      </c>
      <c r="Y1050" t="n">
        <v>287</v>
      </c>
      <c r="Z1050" t="n">
        <v>254</v>
      </c>
      <c r="AA1050" t="n">
        <v>300</v>
      </c>
      <c r="AB1050" t="n">
        <v>1</v>
      </c>
      <c r="AC1050" t="n">
        <v>1</v>
      </c>
      <c r="AD1050" t="n">
        <v>16</v>
      </c>
      <c r="AE1050" t="n">
        <v>17</v>
      </c>
      <c r="AF1050" t="n">
        <v>8</v>
      </c>
      <c r="AG1050" t="n">
        <v>8</v>
      </c>
      <c r="AH1050" t="n">
        <v>3</v>
      </c>
      <c r="AI1050" t="n">
        <v>3</v>
      </c>
      <c r="AJ1050" t="n">
        <v>10</v>
      </c>
      <c r="AK1050" t="n">
        <v>11</v>
      </c>
      <c r="AL1050" t="n">
        <v>0</v>
      </c>
      <c r="AM1050" t="n">
        <v>0</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HYPERLINK("https://creighton-primo.hosted.exlibrisgroup.com/primo-explore/search?tab=default_tab&amp;search_scope=EVERYTHING&amp;vid=01CRU&amp;lang=en_US&amp;offset=0&amp;query=any,contains,991001081739702656","Catalog Record")</f>
        <v/>
      </c>
      <c r="AT1050">
        <f>HYPERLINK("http://www.worldcat.org/oclc/16089067","WorldCat Record")</f>
        <v/>
      </c>
      <c r="AU1050" t="inlineStr">
        <is>
          <t>3901078938:eng</t>
        </is>
      </c>
      <c r="AV1050" t="inlineStr">
        <is>
          <t>16089067</t>
        </is>
      </c>
      <c r="AW1050" t="inlineStr">
        <is>
          <t>991001081739702656</t>
        </is>
      </c>
      <c r="AX1050" t="inlineStr">
        <is>
          <t>991001081739702656</t>
        </is>
      </c>
      <c r="AY1050" t="inlineStr">
        <is>
          <t>2255315680002656</t>
        </is>
      </c>
      <c r="AZ1050" t="inlineStr">
        <is>
          <t>BOOK</t>
        </is>
      </c>
      <c r="BB1050" t="inlineStr">
        <is>
          <t>9780800620677</t>
        </is>
      </c>
      <c r="BC1050" t="inlineStr">
        <is>
          <t>32285000749811</t>
        </is>
      </c>
      <c r="BD1050" t="inlineStr">
        <is>
          <t>893327862</t>
        </is>
      </c>
    </row>
    <row r="1051">
      <c r="A1051" t="inlineStr">
        <is>
          <t>No</t>
        </is>
      </c>
      <c r="B1051" t="inlineStr">
        <is>
          <t>BT736.6 .D66 1980</t>
        </is>
      </c>
      <c r="C1051" t="inlineStr">
        <is>
          <t>0                      BT 0736600D  66          1980</t>
        </is>
      </c>
      <c r="D1051" t="inlineStr">
        <is>
          <t>Lightning east to west / James W. Douglass.</t>
        </is>
      </c>
      <c r="F1051" t="inlineStr">
        <is>
          <t>No</t>
        </is>
      </c>
      <c r="G1051" t="inlineStr">
        <is>
          <t>1</t>
        </is>
      </c>
      <c r="H1051" t="inlineStr">
        <is>
          <t>No</t>
        </is>
      </c>
      <c r="I1051" t="inlineStr">
        <is>
          <t>No</t>
        </is>
      </c>
      <c r="J1051" t="inlineStr">
        <is>
          <t>0</t>
        </is>
      </c>
      <c r="K1051" t="inlineStr">
        <is>
          <t>Douglass, James W.</t>
        </is>
      </c>
      <c r="L1051" t="inlineStr">
        <is>
          <t>Portland, Ore. : Sunburst Press, 1980</t>
        </is>
      </c>
      <c r="M1051" t="inlineStr">
        <is>
          <t>1980</t>
        </is>
      </c>
      <c r="O1051" t="inlineStr">
        <is>
          <t>eng</t>
        </is>
      </c>
      <c r="P1051" t="inlineStr">
        <is>
          <t>oru</t>
        </is>
      </c>
      <c r="R1051" t="inlineStr">
        <is>
          <t xml:space="preserve">BT </t>
        </is>
      </c>
      <c r="S1051" t="n">
        <v>1</v>
      </c>
      <c r="T1051" t="n">
        <v>1</v>
      </c>
      <c r="U1051" t="inlineStr">
        <is>
          <t>1996-01-12</t>
        </is>
      </c>
      <c r="V1051" t="inlineStr">
        <is>
          <t>1996-01-12</t>
        </is>
      </c>
      <c r="W1051" t="inlineStr">
        <is>
          <t>1994-11-17</t>
        </is>
      </c>
      <c r="X1051" t="inlineStr">
        <is>
          <t>1994-11-17</t>
        </is>
      </c>
      <c r="Y1051" t="n">
        <v>31</v>
      </c>
      <c r="Z1051" t="n">
        <v>29</v>
      </c>
      <c r="AA1051" t="n">
        <v>212</v>
      </c>
      <c r="AB1051" t="n">
        <v>1</v>
      </c>
      <c r="AC1051" t="n">
        <v>1</v>
      </c>
      <c r="AD1051" t="n">
        <v>4</v>
      </c>
      <c r="AE1051" t="n">
        <v>14</v>
      </c>
      <c r="AF1051" t="n">
        <v>1</v>
      </c>
      <c r="AG1051" t="n">
        <v>3</v>
      </c>
      <c r="AH1051" t="n">
        <v>2</v>
      </c>
      <c r="AI1051" t="n">
        <v>6</v>
      </c>
      <c r="AJ1051" t="n">
        <v>3</v>
      </c>
      <c r="AK1051" t="n">
        <v>9</v>
      </c>
      <c r="AL1051" t="n">
        <v>0</v>
      </c>
      <c r="AM1051" t="n">
        <v>0</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HYPERLINK("https://creighton-primo.hosted.exlibrisgroup.com/primo-explore/search?tab=default_tab&amp;search_scope=EVERYTHING&amp;vid=01CRU&amp;lang=en_US&amp;offset=0&amp;query=any,contains,991005174639702656","Catalog Record")</f>
        <v/>
      </c>
      <c r="AT1051">
        <f>HYPERLINK("http://www.worldcat.org/oclc/7901057","WorldCat Record")</f>
        <v/>
      </c>
      <c r="AU1051" t="inlineStr">
        <is>
          <t>18508728:eng</t>
        </is>
      </c>
      <c r="AV1051" t="inlineStr">
        <is>
          <t>7901057</t>
        </is>
      </c>
      <c r="AW1051" t="inlineStr">
        <is>
          <t>991005174639702656</t>
        </is>
      </c>
      <c r="AX1051" t="inlineStr">
        <is>
          <t>991005174639702656</t>
        </is>
      </c>
      <c r="AY1051" t="inlineStr">
        <is>
          <t>2270844850002656</t>
        </is>
      </c>
      <c r="AZ1051" t="inlineStr">
        <is>
          <t>BOOK</t>
        </is>
      </c>
      <c r="BC1051" t="inlineStr">
        <is>
          <t>32285001971323</t>
        </is>
      </c>
      <c r="BD1051" t="inlineStr">
        <is>
          <t>893701135</t>
        </is>
      </c>
    </row>
    <row r="1052">
      <c r="A1052" t="inlineStr">
        <is>
          <t>No</t>
        </is>
      </c>
      <c r="B1052" t="inlineStr">
        <is>
          <t>BT736.6 .G84 1973</t>
        </is>
      </c>
      <c r="C1052" t="inlineStr">
        <is>
          <t>0                      BT 0736600G  84          1973</t>
        </is>
      </c>
      <c r="D1052" t="inlineStr">
        <is>
          <t>Peace and nonviolence : basic writings / edited by Edward Guinan.</t>
        </is>
      </c>
      <c r="F1052" t="inlineStr">
        <is>
          <t>No</t>
        </is>
      </c>
      <c r="G1052" t="inlineStr">
        <is>
          <t>1</t>
        </is>
      </c>
      <c r="H1052" t="inlineStr">
        <is>
          <t>No</t>
        </is>
      </c>
      <c r="I1052" t="inlineStr">
        <is>
          <t>No</t>
        </is>
      </c>
      <c r="J1052" t="inlineStr">
        <is>
          <t>0</t>
        </is>
      </c>
      <c r="K1052" t="inlineStr">
        <is>
          <t>Guinan, Edward, compiler.</t>
        </is>
      </c>
      <c r="L1052" t="inlineStr">
        <is>
          <t>New York : Paulist Press, [1973]</t>
        </is>
      </c>
      <c r="M1052" t="inlineStr">
        <is>
          <t>1973</t>
        </is>
      </c>
      <c r="O1052" t="inlineStr">
        <is>
          <t>eng</t>
        </is>
      </c>
      <c r="P1052" t="inlineStr">
        <is>
          <t>nyu</t>
        </is>
      </c>
      <c r="R1052" t="inlineStr">
        <is>
          <t xml:space="preserve">BT </t>
        </is>
      </c>
      <c r="S1052" t="n">
        <v>3</v>
      </c>
      <c r="T1052" t="n">
        <v>3</v>
      </c>
      <c r="U1052" t="inlineStr">
        <is>
          <t>1995-11-27</t>
        </is>
      </c>
      <c r="V1052" t="inlineStr">
        <is>
          <t>1995-11-27</t>
        </is>
      </c>
      <c r="W1052" t="inlineStr">
        <is>
          <t>1991-10-04</t>
        </is>
      </c>
      <c r="X1052" t="inlineStr">
        <is>
          <t>1991-10-04</t>
        </is>
      </c>
      <c r="Y1052" t="n">
        <v>333</v>
      </c>
      <c r="Z1052" t="n">
        <v>295</v>
      </c>
      <c r="AA1052" t="n">
        <v>300</v>
      </c>
      <c r="AB1052" t="n">
        <v>2</v>
      </c>
      <c r="AC1052" t="n">
        <v>2</v>
      </c>
      <c r="AD1052" t="n">
        <v>28</v>
      </c>
      <c r="AE1052" t="n">
        <v>28</v>
      </c>
      <c r="AF1052" t="n">
        <v>11</v>
      </c>
      <c r="AG1052" t="n">
        <v>11</v>
      </c>
      <c r="AH1052" t="n">
        <v>7</v>
      </c>
      <c r="AI1052" t="n">
        <v>7</v>
      </c>
      <c r="AJ1052" t="n">
        <v>19</v>
      </c>
      <c r="AK1052" t="n">
        <v>19</v>
      </c>
      <c r="AL1052" t="n">
        <v>1</v>
      </c>
      <c r="AM1052" t="n">
        <v>1</v>
      </c>
      <c r="AN1052" t="n">
        <v>0</v>
      </c>
      <c r="AO1052" t="n">
        <v>0</v>
      </c>
      <c r="AP1052" t="inlineStr">
        <is>
          <t>No</t>
        </is>
      </c>
      <c r="AQ1052" t="inlineStr">
        <is>
          <t>Yes</t>
        </is>
      </c>
      <c r="AR1052">
        <f>HYPERLINK("http://catalog.hathitrust.org/Record/007114271","HathiTrust Record")</f>
        <v/>
      </c>
      <c r="AS1052">
        <f>HYPERLINK("https://creighton-primo.hosted.exlibrisgroup.com/primo-explore/search?tab=default_tab&amp;search_scope=EVERYTHING&amp;vid=01CRU&amp;lang=en_US&amp;offset=0&amp;query=any,contains,991003102209702656","Catalog Record")</f>
        <v/>
      </c>
      <c r="AT1052">
        <f>HYPERLINK("http://www.worldcat.org/oclc/650760","WorldCat Record")</f>
        <v/>
      </c>
      <c r="AU1052" t="inlineStr">
        <is>
          <t>1597911:eng</t>
        </is>
      </c>
      <c r="AV1052" t="inlineStr">
        <is>
          <t>650760</t>
        </is>
      </c>
      <c r="AW1052" t="inlineStr">
        <is>
          <t>991003102209702656</t>
        </is>
      </c>
      <c r="AX1052" t="inlineStr">
        <is>
          <t>991003102209702656</t>
        </is>
      </c>
      <c r="AY1052" t="inlineStr">
        <is>
          <t>2266380250002656</t>
        </is>
      </c>
      <c r="AZ1052" t="inlineStr">
        <is>
          <t>BOOK</t>
        </is>
      </c>
      <c r="BB1052" t="inlineStr">
        <is>
          <t>9780809117703</t>
        </is>
      </c>
      <c r="BC1052" t="inlineStr">
        <is>
          <t>32285000749837</t>
        </is>
      </c>
      <c r="BD1052" t="inlineStr">
        <is>
          <t>893717327</t>
        </is>
      </c>
    </row>
    <row r="1053">
      <c r="A1053" t="inlineStr">
        <is>
          <t>No</t>
        </is>
      </c>
      <c r="B1053" t="inlineStr">
        <is>
          <t>BT736.6 .H37 1986</t>
        </is>
      </c>
      <c r="C1053" t="inlineStr">
        <is>
          <t>0                      BT 0736600H  37          1986</t>
        </is>
      </c>
      <c r="D1053" t="inlineStr">
        <is>
          <t>The healing power of peace and nonviolence / Bernard Häring.</t>
        </is>
      </c>
      <c r="F1053" t="inlineStr">
        <is>
          <t>No</t>
        </is>
      </c>
      <c r="G1053" t="inlineStr">
        <is>
          <t>1</t>
        </is>
      </c>
      <c r="H1053" t="inlineStr">
        <is>
          <t>No</t>
        </is>
      </c>
      <c r="I1053" t="inlineStr">
        <is>
          <t>No</t>
        </is>
      </c>
      <c r="J1053" t="inlineStr">
        <is>
          <t>0</t>
        </is>
      </c>
      <c r="K1053" t="inlineStr">
        <is>
          <t>Häring, Bernhard, 1912-1998.</t>
        </is>
      </c>
      <c r="L1053" t="inlineStr">
        <is>
          <t>New York : Paulist Press, c1986.</t>
        </is>
      </c>
      <c r="M1053" t="inlineStr">
        <is>
          <t>1986</t>
        </is>
      </c>
      <c r="O1053" t="inlineStr">
        <is>
          <t>eng</t>
        </is>
      </c>
      <c r="P1053" t="inlineStr">
        <is>
          <t>nyu</t>
        </is>
      </c>
      <c r="R1053" t="inlineStr">
        <is>
          <t xml:space="preserve">BT </t>
        </is>
      </c>
      <c r="S1053" t="n">
        <v>4</v>
      </c>
      <c r="T1053" t="n">
        <v>4</v>
      </c>
      <c r="U1053" t="inlineStr">
        <is>
          <t>1997-07-22</t>
        </is>
      </c>
      <c r="V1053" t="inlineStr">
        <is>
          <t>1997-07-22</t>
        </is>
      </c>
      <c r="W1053" t="inlineStr">
        <is>
          <t>1991-10-04</t>
        </is>
      </c>
      <c r="X1053" t="inlineStr">
        <is>
          <t>1991-10-04</t>
        </is>
      </c>
      <c r="Y1053" t="n">
        <v>195</v>
      </c>
      <c r="Z1053" t="n">
        <v>180</v>
      </c>
      <c r="AA1053" t="n">
        <v>211</v>
      </c>
      <c r="AB1053" t="n">
        <v>2</v>
      </c>
      <c r="AC1053" t="n">
        <v>2</v>
      </c>
      <c r="AD1053" t="n">
        <v>22</v>
      </c>
      <c r="AE1053" t="n">
        <v>24</v>
      </c>
      <c r="AF1053" t="n">
        <v>7</v>
      </c>
      <c r="AG1053" t="n">
        <v>8</v>
      </c>
      <c r="AH1053" t="n">
        <v>4</v>
      </c>
      <c r="AI1053" t="n">
        <v>4</v>
      </c>
      <c r="AJ1053" t="n">
        <v>15</v>
      </c>
      <c r="AK1053" t="n">
        <v>17</v>
      </c>
      <c r="AL1053" t="n">
        <v>1</v>
      </c>
      <c r="AM1053" t="n">
        <v>1</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HYPERLINK("https://creighton-primo.hosted.exlibrisgroup.com/primo-explore/search?tab=default_tab&amp;search_scope=EVERYTHING&amp;vid=01CRU&amp;lang=en_US&amp;offset=0&amp;query=any,contains,991000890879702656","Catalog Record")</f>
        <v/>
      </c>
      <c r="AT1053">
        <f>HYPERLINK("http://www.worldcat.org/oclc/13905274","WorldCat Record")</f>
        <v/>
      </c>
      <c r="AU1053" t="inlineStr">
        <is>
          <t>6916963:eng</t>
        </is>
      </c>
      <c r="AV1053" t="inlineStr">
        <is>
          <t>13905274</t>
        </is>
      </c>
      <c r="AW1053" t="inlineStr">
        <is>
          <t>991000890879702656</t>
        </is>
      </c>
      <c r="AX1053" t="inlineStr">
        <is>
          <t>991000890879702656</t>
        </is>
      </c>
      <c r="AY1053" t="inlineStr">
        <is>
          <t>2269161980002656</t>
        </is>
      </c>
      <c r="AZ1053" t="inlineStr">
        <is>
          <t>BOOK</t>
        </is>
      </c>
      <c r="BB1053" t="inlineStr">
        <is>
          <t>9780809128006</t>
        </is>
      </c>
      <c r="BC1053" t="inlineStr">
        <is>
          <t>32285000749944</t>
        </is>
      </c>
      <c r="BD1053" t="inlineStr">
        <is>
          <t>893608362</t>
        </is>
      </c>
    </row>
    <row r="1054">
      <c r="A1054" t="inlineStr">
        <is>
          <t>No</t>
        </is>
      </c>
      <c r="B1054" t="inlineStr">
        <is>
          <t>BT736.6 .P4713 1983</t>
        </is>
      </c>
      <c r="C1054" t="inlineStr">
        <is>
          <t>0                      BT 0736600P  4713        1983</t>
        </is>
      </c>
      <c r="D1054" t="inlineStr">
        <is>
          <t>Christ in a poncho : testimonials of the nonviolent struggles in Latin America / Adolfo Pérez Esquivel ; edited by Charles Antoine ; translated from the French by Robert R. Barr.</t>
        </is>
      </c>
      <c r="F1054" t="inlineStr">
        <is>
          <t>No</t>
        </is>
      </c>
      <c r="G1054" t="inlineStr">
        <is>
          <t>1</t>
        </is>
      </c>
      <c r="H1054" t="inlineStr">
        <is>
          <t>No</t>
        </is>
      </c>
      <c r="I1054" t="inlineStr">
        <is>
          <t>No</t>
        </is>
      </c>
      <c r="J1054" t="inlineStr">
        <is>
          <t>0</t>
        </is>
      </c>
      <c r="K1054" t="inlineStr">
        <is>
          <t>Pérez Esquivel, Adolfo.</t>
        </is>
      </c>
      <c r="L1054" t="inlineStr">
        <is>
          <t>Maryknoll, NY : Orbis Books, c1983, 1984 printing.</t>
        </is>
      </c>
      <c r="M1054" t="inlineStr">
        <is>
          <t>1983</t>
        </is>
      </c>
      <c r="O1054" t="inlineStr">
        <is>
          <t>eng</t>
        </is>
      </c>
      <c r="P1054" t="inlineStr">
        <is>
          <t>nyu</t>
        </is>
      </c>
      <c r="R1054" t="inlineStr">
        <is>
          <t xml:space="preserve">BT </t>
        </is>
      </c>
      <c r="S1054" t="n">
        <v>2</v>
      </c>
      <c r="T1054" t="n">
        <v>2</v>
      </c>
      <c r="U1054" t="inlineStr">
        <is>
          <t>1996-02-27</t>
        </is>
      </c>
      <c r="V1054" t="inlineStr">
        <is>
          <t>1996-02-27</t>
        </is>
      </c>
      <c r="W1054" t="inlineStr">
        <is>
          <t>1991-10-04</t>
        </is>
      </c>
      <c r="X1054" t="inlineStr">
        <is>
          <t>1991-10-04</t>
        </is>
      </c>
      <c r="Y1054" t="n">
        <v>424</v>
      </c>
      <c r="Z1054" t="n">
        <v>357</v>
      </c>
      <c r="AA1054" t="n">
        <v>364</v>
      </c>
      <c r="AB1054" t="n">
        <v>2</v>
      </c>
      <c r="AC1054" t="n">
        <v>2</v>
      </c>
      <c r="AD1054" t="n">
        <v>25</v>
      </c>
      <c r="AE1054" t="n">
        <v>25</v>
      </c>
      <c r="AF1054" t="n">
        <v>7</v>
      </c>
      <c r="AG1054" t="n">
        <v>7</v>
      </c>
      <c r="AH1054" t="n">
        <v>9</v>
      </c>
      <c r="AI1054" t="n">
        <v>9</v>
      </c>
      <c r="AJ1054" t="n">
        <v>15</v>
      </c>
      <c r="AK1054" t="n">
        <v>15</v>
      </c>
      <c r="AL1054" t="n">
        <v>1</v>
      </c>
      <c r="AM1054" t="n">
        <v>1</v>
      </c>
      <c r="AN1054" t="n">
        <v>0</v>
      </c>
      <c r="AO1054" t="n">
        <v>0</v>
      </c>
      <c r="AP1054" t="inlineStr">
        <is>
          <t>No</t>
        </is>
      </c>
      <c r="AQ1054" t="inlineStr">
        <is>
          <t>Yes</t>
        </is>
      </c>
      <c r="AR1054">
        <f>HYPERLINK("http://catalog.hathitrust.org/Record/007882532","HathiTrust Record")</f>
        <v/>
      </c>
      <c r="AS1054">
        <f>HYPERLINK("https://creighton-primo.hosted.exlibrisgroup.com/primo-explore/search?tab=default_tab&amp;search_scope=EVERYTHING&amp;vid=01CRU&amp;lang=en_US&amp;offset=0&amp;query=any,contains,991000078719702656","Catalog Record")</f>
        <v/>
      </c>
      <c r="AT1054">
        <f>HYPERLINK("http://www.worldcat.org/oclc/8826197","WorldCat Record")</f>
        <v/>
      </c>
      <c r="AU1054" t="inlineStr">
        <is>
          <t>3989359:eng</t>
        </is>
      </c>
      <c r="AV1054" t="inlineStr">
        <is>
          <t>8826197</t>
        </is>
      </c>
      <c r="AW1054" t="inlineStr">
        <is>
          <t>991000078719702656</t>
        </is>
      </c>
      <c r="AX1054" t="inlineStr">
        <is>
          <t>991000078719702656</t>
        </is>
      </c>
      <c r="AY1054" t="inlineStr">
        <is>
          <t>2265211380002656</t>
        </is>
      </c>
      <c r="AZ1054" t="inlineStr">
        <is>
          <t>BOOK</t>
        </is>
      </c>
      <c r="BB1054" t="inlineStr">
        <is>
          <t>9780883441046</t>
        </is>
      </c>
      <c r="BC1054" t="inlineStr">
        <is>
          <t>32285000749852</t>
        </is>
      </c>
      <c r="BD1054" t="inlineStr">
        <is>
          <t>893326989</t>
        </is>
      </c>
    </row>
    <row r="1055">
      <c r="A1055" t="inlineStr">
        <is>
          <t>No</t>
        </is>
      </c>
      <c r="B1055" t="inlineStr">
        <is>
          <t>BT736.6 .R413 1966</t>
        </is>
      </c>
      <c r="C1055" t="inlineStr">
        <is>
          <t>0                      BT 0736600R  413         1966</t>
        </is>
      </c>
      <c r="D1055" t="inlineStr">
        <is>
          <t>Non-violence and the Christian conscience / [by] P. Régamey. With a pref. by Thomas Merton and a foreword by Stanley Windass.</t>
        </is>
      </c>
      <c r="F1055" t="inlineStr">
        <is>
          <t>No</t>
        </is>
      </c>
      <c r="G1055" t="inlineStr">
        <is>
          <t>1</t>
        </is>
      </c>
      <c r="H1055" t="inlineStr">
        <is>
          <t>No</t>
        </is>
      </c>
      <c r="I1055" t="inlineStr">
        <is>
          <t>No</t>
        </is>
      </c>
      <c r="J1055" t="inlineStr">
        <is>
          <t>0</t>
        </is>
      </c>
      <c r="K1055" t="inlineStr">
        <is>
          <t>Régamey, P.-R. (Pie-Raymond), 1900-1996.</t>
        </is>
      </c>
      <c r="L1055" t="inlineStr">
        <is>
          <t>[New York] : Herder and Herder, [1966]</t>
        </is>
      </c>
      <c r="M1055" t="inlineStr">
        <is>
          <t>1966</t>
        </is>
      </c>
      <c r="O1055" t="inlineStr">
        <is>
          <t>eng</t>
        </is>
      </c>
      <c r="P1055" t="inlineStr">
        <is>
          <t>nyu</t>
        </is>
      </c>
      <c r="R1055" t="inlineStr">
        <is>
          <t xml:space="preserve">BT </t>
        </is>
      </c>
      <c r="S1055" t="n">
        <v>3</v>
      </c>
      <c r="T1055" t="n">
        <v>3</v>
      </c>
      <c r="U1055" t="inlineStr">
        <is>
          <t>1995-11-27</t>
        </is>
      </c>
      <c r="V1055" t="inlineStr">
        <is>
          <t>1995-11-27</t>
        </is>
      </c>
      <c r="W1055" t="inlineStr">
        <is>
          <t>1991-10-07</t>
        </is>
      </c>
      <c r="X1055" t="inlineStr">
        <is>
          <t>1991-10-07</t>
        </is>
      </c>
      <c r="Y1055" t="n">
        <v>322</v>
      </c>
      <c r="Z1055" t="n">
        <v>291</v>
      </c>
      <c r="AA1055" t="n">
        <v>350</v>
      </c>
      <c r="AB1055" t="n">
        <v>2</v>
      </c>
      <c r="AC1055" t="n">
        <v>2</v>
      </c>
      <c r="AD1055" t="n">
        <v>27</v>
      </c>
      <c r="AE1055" t="n">
        <v>31</v>
      </c>
      <c r="AF1055" t="n">
        <v>9</v>
      </c>
      <c r="AG1055" t="n">
        <v>12</v>
      </c>
      <c r="AH1055" t="n">
        <v>6</v>
      </c>
      <c r="AI1055" t="n">
        <v>7</v>
      </c>
      <c r="AJ1055" t="n">
        <v>18</v>
      </c>
      <c r="AK1055" t="n">
        <v>21</v>
      </c>
      <c r="AL1055" t="n">
        <v>1</v>
      </c>
      <c r="AM1055" t="n">
        <v>1</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HYPERLINK("https://creighton-primo.hosted.exlibrisgroup.com/primo-explore/search?tab=default_tab&amp;search_scope=EVERYTHING&amp;vid=01CRU&amp;lang=en_US&amp;offset=0&amp;query=any,contains,991002651239702656","Catalog Record")</f>
        <v/>
      </c>
      <c r="AT1055">
        <f>HYPERLINK("http://www.worldcat.org/oclc/387169","WorldCat Record")</f>
        <v/>
      </c>
      <c r="AU1055" t="inlineStr">
        <is>
          <t>375065351:eng</t>
        </is>
      </c>
      <c r="AV1055" t="inlineStr">
        <is>
          <t>387169</t>
        </is>
      </c>
      <c r="AW1055" t="inlineStr">
        <is>
          <t>991002651239702656</t>
        </is>
      </c>
      <c r="AX1055" t="inlineStr">
        <is>
          <t>991002651239702656</t>
        </is>
      </c>
      <c r="AY1055" t="inlineStr">
        <is>
          <t>2258229180002656</t>
        </is>
      </c>
      <c r="AZ1055" t="inlineStr">
        <is>
          <t>BOOK</t>
        </is>
      </c>
      <c r="BC1055" t="inlineStr">
        <is>
          <t>32285000749860</t>
        </is>
      </c>
      <c r="BD1055" t="inlineStr">
        <is>
          <t>893434115</t>
        </is>
      </c>
    </row>
    <row r="1056">
      <c r="A1056" t="inlineStr">
        <is>
          <t>No</t>
        </is>
      </c>
      <c r="B1056" t="inlineStr">
        <is>
          <t>BT736.6 .U55 1990</t>
        </is>
      </c>
      <c r="C1056" t="inlineStr">
        <is>
          <t>0                      BT 0736600U  55          1990</t>
        </is>
      </c>
      <c r="D1056" t="inlineStr">
        <is>
          <t>The Universe bends toward justice : a reader on Christian nonviolence in the U.S. / edited by Angie O'Gorman ; foreword by Colman McCarthy.</t>
        </is>
      </c>
      <c r="F1056" t="inlineStr">
        <is>
          <t>No</t>
        </is>
      </c>
      <c r="G1056" t="inlineStr">
        <is>
          <t>1</t>
        </is>
      </c>
      <c r="H1056" t="inlineStr">
        <is>
          <t>No</t>
        </is>
      </c>
      <c r="I1056" t="inlineStr">
        <is>
          <t>No</t>
        </is>
      </c>
      <c r="J1056" t="inlineStr">
        <is>
          <t>0</t>
        </is>
      </c>
      <c r="L1056" t="inlineStr">
        <is>
          <t>Philadelphia, PA : New Society Publishers, c1990.</t>
        </is>
      </c>
      <c r="M1056" t="inlineStr">
        <is>
          <t>1990</t>
        </is>
      </c>
      <c r="O1056" t="inlineStr">
        <is>
          <t>eng</t>
        </is>
      </c>
      <c r="P1056" t="inlineStr">
        <is>
          <t>pau</t>
        </is>
      </c>
      <c r="R1056" t="inlineStr">
        <is>
          <t xml:space="preserve">BT </t>
        </is>
      </c>
      <c r="S1056" t="n">
        <v>9</v>
      </c>
      <c r="T1056" t="n">
        <v>9</v>
      </c>
      <c r="U1056" t="inlineStr">
        <is>
          <t>2003-06-23</t>
        </is>
      </c>
      <c r="V1056" t="inlineStr">
        <is>
          <t>2003-06-23</t>
        </is>
      </c>
      <c r="W1056" t="inlineStr">
        <is>
          <t>1994-10-05</t>
        </is>
      </c>
      <c r="X1056" t="inlineStr">
        <is>
          <t>1994-10-05</t>
        </is>
      </c>
      <c r="Y1056" t="n">
        <v>387</v>
      </c>
      <c r="Z1056" t="n">
        <v>366</v>
      </c>
      <c r="AA1056" t="n">
        <v>372</v>
      </c>
      <c r="AB1056" t="n">
        <v>1</v>
      </c>
      <c r="AC1056" t="n">
        <v>1</v>
      </c>
      <c r="AD1056" t="n">
        <v>20</v>
      </c>
      <c r="AE1056" t="n">
        <v>20</v>
      </c>
      <c r="AF1056" t="n">
        <v>8</v>
      </c>
      <c r="AG1056" t="n">
        <v>8</v>
      </c>
      <c r="AH1056" t="n">
        <v>7</v>
      </c>
      <c r="AI1056" t="n">
        <v>7</v>
      </c>
      <c r="AJ1056" t="n">
        <v>12</v>
      </c>
      <c r="AK1056" t="n">
        <v>12</v>
      </c>
      <c r="AL1056" t="n">
        <v>0</v>
      </c>
      <c r="AM1056" t="n">
        <v>0</v>
      </c>
      <c r="AN1056" t="n">
        <v>0</v>
      </c>
      <c r="AO1056" t="n">
        <v>0</v>
      </c>
      <c r="AP1056" t="inlineStr">
        <is>
          <t>No</t>
        </is>
      </c>
      <c r="AQ1056" t="inlineStr">
        <is>
          <t>Yes</t>
        </is>
      </c>
      <c r="AR1056">
        <f>HYPERLINK("http://catalog.hathitrust.org/Record/001947339","HathiTrust Record")</f>
        <v/>
      </c>
      <c r="AS1056">
        <f>HYPERLINK("https://creighton-primo.hosted.exlibrisgroup.com/primo-explore/search?tab=default_tab&amp;search_scope=EVERYTHING&amp;vid=01CRU&amp;lang=en_US&amp;offset=0&amp;query=any,contains,991001670039702656","Catalog Record")</f>
        <v/>
      </c>
      <c r="AT1056">
        <f>HYPERLINK("http://www.worldcat.org/oclc/21269449","WorldCat Record")</f>
        <v/>
      </c>
      <c r="AU1056" t="inlineStr">
        <is>
          <t>23104555:eng</t>
        </is>
      </c>
      <c r="AV1056" t="inlineStr">
        <is>
          <t>21269449</t>
        </is>
      </c>
      <c r="AW1056" t="inlineStr">
        <is>
          <t>991001670039702656</t>
        </is>
      </c>
      <c r="AX1056" t="inlineStr">
        <is>
          <t>991001670039702656</t>
        </is>
      </c>
      <c r="AY1056" t="inlineStr">
        <is>
          <t>2263991750002656</t>
        </is>
      </c>
      <c r="AZ1056" t="inlineStr">
        <is>
          <t>BOOK</t>
        </is>
      </c>
      <c r="BB1056" t="inlineStr">
        <is>
          <t>9780865711778</t>
        </is>
      </c>
      <c r="BC1056" t="inlineStr">
        <is>
          <t>32285001948743</t>
        </is>
      </c>
      <c r="BD1056" t="inlineStr">
        <is>
          <t>893408274</t>
        </is>
      </c>
    </row>
    <row r="1057">
      <c r="A1057" t="inlineStr">
        <is>
          <t>No</t>
        </is>
      </c>
      <c r="B1057" t="inlineStr">
        <is>
          <t>BT736.6 .V36 1990</t>
        </is>
      </c>
      <c r="C1057" t="inlineStr">
        <is>
          <t>0                      BT 0736600V  36          1990</t>
        </is>
      </c>
      <c r="D1057" t="inlineStr">
        <is>
          <t>Active nonviolence : a way of personal peace / Gerard A. Vanderhaar ; foreword by Joan Chittister.</t>
        </is>
      </c>
      <c r="F1057" t="inlineStr">
        <is>
          <t>No</t>
        </is>
      </c>
      <c r="G1057" t="inlineStr">
        <is>
          <t>1</t>
        </is>
      </c>
      <c r="H1057" t="inlineStr">
        <is>
          <t>No</t>
        </is>
      </c>
      <c r="I1057" t="inlineStr">
        <is>
          <t>No</t>
        </is>
      </c>
      <c r="J1057" t="inlineStr">
        <is>
          <t>0</t>
        </is>
      </c>
      <c r="K1057" t="inlineStr">
        <is>
          <t>Vanderhaar, Gerard A.</t>
        </is>
      </c>
      <c r="L1057" t="inlineStr">
        <is>
          <t>Mystic, CT : Twenty-Third Publications, 1990.</t>
        </is>
      </c>
      <c r="M1057" t="inlineStr">
        <is>
          <t>1990</t>
        </is>
      </c>
      <c r="O1057" t="inlineStr">
        <is>
          <t>eng</t>
        </is>
      </c>
      <c r="P1057" t="inlineStr">
        <is>
          <t>ctu</t>
        </is>
      </c>
      <c r="R1057" t="inlineStr">
        <is>
          <t xml:space="preserve">BT </t>
        </is>
      </c>
      <c r="S1057" t="n">
        <v>5</v>
      </c>
      <c r="T1057" t="n">
        <v>5</v>
      </c>
      <c r="U1057" t="inlineStr">
        <is>
          <t>2008-12-05</t>
        </is>
      </c>
      <c r="V1057" t="inlineStr">
        <is>
          <t>2008-12-05</t>
        </is>
      </c>
      <c r="W1057" t="inlineStr">
        <is>
          <t>1990-03-19</t>
        </is>
      </c>
      <c r="X1057" t="inlineStr">
        <is>
          <t>1990-03-19</t>
        </is>
      </c>
      <c r="Y1057" t="n">
        <v>128</v>
      </c>
      <c r="Z1057" t="n">
        <v>110</v>
      </c>
      <c r="AA1057" t="n">
        <v>118</v>
      </c>
      <c r="AB1057" t="n">
        <v>1</v>
      </c>
      <c r="AC1057" t="n">
        <v>2</v>
      </c>
      <c r="AD1057" t="n">
        <v>9</v>
      </c>
      <c r="AE1057" t="n">
        <v>11</v>
      </c>
      <c r="AF1057" t="n">
        <v>2</v>
      </c>
      <c r="AG1057" t="n">
        <v>3</v>
      </c>
      <c r="AH1057" t="n">
        <v>2</v>
      </c>
      <c r="AI1057" t="n">
        <v>3</v>
      </c>
      <c r="AJ1057" t="n">
        <v>7</v>
      </c>
      <c r="AK1057" t="n">
        <v>7</v>
      </c>
      <c r="AL1057" t="n">
        <v>0</v>
      </c>
      <c r="AM1057" t="n">
        <v>1</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HYPERLINK("https://creighton-primo.hosted.exlibrisgroup.com/primo-explore/search?tab=default_tab&amp;search_scope=EVERYTHING&amp;vid=01CRU&amp;lang=en_US&amp;offset=0&amp;query=any,contains,991001646849702656","Catalog Record")</f>
        <v/>
      </c>
      <c r="AT1057">
        <f>HYPERLINK("http://www.worldcat.org/oclc/21051075","WorldCat Record")</f>
        <v/>
      </c>
      <c r="AU1057" t="inlineStr">
        <is>
          <t>1402952451:eng</t>
        </is>
      </c>
      <c r="AV1057" t="inlineStr">
        <is>
          <t>21051075</t>
        </is>
      </c>
      <c r="AW1057" t="inlineStr">
        <is>
          <t>991001646849702656</t>
        </is>
      </c>
      <c r="AX1057" t="inlineStr">
        <is>
          <t>991001646849702656</t>
        </is>
      </c>
      <c r="AY1057" t="inlineStr">
        <is>
          <t>2264472730002656</t>
        </is>
      </c>
      <c r="AZ1057" t="inlineStr">
        <is>
          <t>BOOK</t>
        </is>
      </c>
      <c r="BB1057" t="inlineStr">
        <is>
          <t>9780896223929</t>
        </is>
      </c>
      <c r="BC1057" t="inlineStr">
        <is>
          <t>32285000064278</t>
        </is>
      </c>
      <c r="BD1057" t="inlineStr">
        <is>
          <t>893690728</t>
        </is>
      </c>
    </row>
    <row r="1058">
      <c r="A1058" t="inlineStr">
        <is>
          <t>No</t>
        </is>
      </c>
      <c r="B1058" t="inlineStr">
        <is>
          <t>BT736.6 .V38 1998</t>
        </is>
      </c>
      <c r="C1058" t="inlineStr">
        <is>
          <t>0                      BT 0736600V  38          1998</t>
        </is>
      </c>
      <c r="D1058" t="inlineStr">
        <is>
          <t>Beyond violence : in the spirit of the non-violent Christ / Gerard A. Vanderhaar.</t>
        </is>
      </c>
      <c r="F1058" t="inlineStr">
        <is>
          <t>No</t>
        </is>
      </c>
      <c r="G1058" t="inlineStr">
        <is>
          <t>1</t>
        </is>
      </c>
      <c r="H1058" t="inlineStr">
        <is>
          <t>No</t>
        </is>
      </c>
      <c r="I1058" t="inlineStr">
        <is>
          <t>No</t>
        </is>
      </c>
      <c r="J1058" t="inlineStr">
        <is>
          <t>0</t>
        </is>
      </c>
      <c r="K1058" t="inlineStr">
        <is>
          <t>Vanderhaar, Gerard A.</t>
        </is>
      </c>
      <c r="L1058" t="inlineStr">
        <is>
          <t>Mystic, CT : Twenty-Third Publications, c1998.</t>
        </is>
      </c>
      <c r="M1058" t="inlineStr">
        <is>
          <t>1998</t>
        </is>
      </c>
      <c r="O1058" t="inlineStr">
        <is>
          <t>eng</t>
        </is>
      </c>
      <c r="P1058" t="inlineStr">
        <is>
          <t>ctu</t>
        </is>
      </c>
      <c r="R1058" t="inlineStr">
        <is>
          <t xml:space="preserve">BT </t>
        </is>
      </c>
      <c r="S1058" t="n">
        <v>7</v>
      </c>
      <c r="T1058" t="n">
        <v>7</v>
      </c>
      <c r="U1058" t="inlineStr">
        <is>
          <t>2009-03-17</t>
        </is>
      </c>
      <c r="V1058" t="inlineStr">
        <is>
          <t>2009-03-17</t>
        </is>
      </c>
      <c r="W1058" t="inlineStr">
        <is>
          <t>1999-02-11</t>
        </is>
      </c>
      <c r="X1058" t="inlineStr">
        <is>
          <t>1999-02-11</t>
        </is>
      </c>
      <c r="Y1058" t="n">
        <v>117</v>
      </c>
      <c r="Z1058" t="n">
        <v>103</v>
      </c>
      <c r="AA1058" t="n">
        <v>103</v>
      </c>
      <c r="AB1058" t="n">
        <v>1</v>
      </c>
      <c r="AC1058" t="n">
        <v>1</v>
      </c>
      <c r="AD1058" t="n">
        <v>10</v>
      </c>
      <c r="AE1058" t="n">
        <v>10</v>
      </c>
      <c r="AF1058" t="n">
        <v>5</v>
      </c>
      <c r="AG1058" t="n">
        <v>5</v>
      </c>
      <c r="AH1058" t="n">
        <v>2</v>
      </c>
      <c r="AI1058" t="n">
        <v>2</v>
      </c>
      <c r="AJ1058" t="n">
        <v>7</v>
      </c>
      <c r="AK1058" t="n">
        <v>7</v>
      </c>
      <c r="AL1058" t="n">
        <v>0</v>
      </c>
      <c r="AM1058" t="n">
        <v>0</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HYPERLINK("https://creighton-primo.hosted.exlibrisgroup.com/primo-explore/search?tab=default_tab&amp;search_scope=EVERYTHING&amp;vid=01CRU&amp;lang=en_US&amp;offset=0&amp;query=any,contains,991002921379702656","Catalog Record")</f>
        <v/>
      </c>
      <c r="AT1058">
        <f>HYPERLINK("http://www.worldcat.org/oclc/38764356","WorldCat Record")</f>
        <v/>
      </c>
      <c r="AU1058" t="inlineStr">
        <is>
          <t>651052:eng</t>
        </is>
      </c>
      <c r="AV1058" t="inlineStr">
        <is>
          <t>38764356</t>
        </is>
      </c>
      <c r="AW1058" t="inlineStr">
        <is>
          <t>991002921379702656</t>
        </is>
      </c>
      <c r="AX1058" t="inlineStr">
        <is>
          <t>991002921379702656</t>
        </is>
      </c>
      <c r="AY1058" t="inlineStr">
        <is>
          <t>2269997640002656</t>
        </is>
      </c>
      <c r="AZ1058" t="inlineStr">
        <is>
          <t>BOOK</t>
        </is>
      </c>
      <c r="BB1058" t="inlineStr">
        <is>
          <t>9780896227392</t>
        </is>
      </c>
      <c r="BC1058" t="inlineStr">
        <is>
          <t>32285003519351</t>
        </is>
      </c>
      <c r="BD1058" t="inlineStr">
        <is>
          <t>893348099</t>
        </is>
      </c>
    </row>
    <row r="1059">
      <c r="A1059" t="inlineStr">
        <is>
          <t>No</t>
        </is>
      </c>
      <c r="B1059" t="inlineStr">
        <is>
          <t>BT738 .A3 1986</t>
        </is>
      </c>
      <c r="C1059" t="inlineStr">
        <is>
          <t>0                      BT 0738000A  3           1986</t>
        </is>
      </c>
      <c r="D1059" t="inlineStr">
        <is>
          <t>Voluntary associations : socio-cultural analyses and theological interpretation / James Luther Adams ; edited by J. Ronald Engel.</t>
        </is>
      </c>
      <c r="F1059" t="inlineStr">
        <is>
          <t>No</t>
        </is>
      </c>
      <c r="G1059" t="inlineStr">
        <is>
          <t>1</t>
        </is>
      </c>
      <c r="H1059" t="inlineStr">
        <is>
          <t>No</t>
        </is>
      </c>
      <c r="I1059" t="inlineStr">
        <is>
          <t>No</t>
        </is>
      </c>
      <c r="J1059" t="inlineStr">
        <is>
          <t>0</t>
        </is>
      </c>
      <c r="K1059" t="inlineStr">
        <is>
          <t>Adams, James Luther, 1901-1994.</t>
        </is>
      </c>
      <c r="L1059" t="inlineStr">
        <is>
          <t>Chicago : Exploration Press, 1986.</t>
        </is>
      </c>
      <c r="M1059" t="inlineStr">
        <is>
          <t>1986</t>
        </is>
      </c>
      <c r="O1059" t="inlineStr">
        <is>
          <t>eng</t>
        </is>
      </c>
      <c r="P1059" t="inlineStr">
        <is>
          <t>ilu</t>
        </is>
      </c>
      <c r="R1059" t="inlineStr">
        <is>
          <t xml:space="preserve">BT </t>
        </is>
      </c>
      <c r="S1059" t="n">
        <v>2</v>
      </c>
      <c r="T1059" t="n">
        <v>2</v>
      </c>
      <c r="U1059" t="inlineStr">
        <is>
          <t>1995-01-31</t>
        </is>
      </c>
      <c r="V1059" t="inlineStr">
        <is>
          <t>1995-01-31</t>
        </is>
      </c>
      <c r="W1059" t="inlineStr">
        <is>
          <t>1991-10-07</t>
        </is>
      </c>
      <c r="X1059" t="inlineStr">
        <is>
          <t>1991-10-07</t>
        </is>
      </c>
      <c r="Y1059" t="n">
        <v>142</v>
      </c>
      <c r="Z1059" t="n">
        <v>130</v>
      </c>
      <c r="AA1059" t="n">
        <v>132</v>
      </c>
      <c r="AB1059" t="n">
        <v>2</v>
      </c>
      <c r="AC1059" t="n">
        <v>2</v>
      </c>
      <c r="AD1059" t="n">
        <v>10</v>
      </c>
      <c r="AE1059" t="n">
        <v>10</v>
      </c>
      <c r="AF1059" t="n">
        <v>3</v>
      </c>
      <c r="AG1059" t="n">
        <v>3</v>
      </c>
      <c r="AH1059" t="n">
        <v>2</v>
      </c>
      <c r="AI1059" t="n">
        <v>2</v>
      </c>
      <c r="AJ1059" t="n">
        <v>7</v>
      </c>
      <c r="AK1059" t="n">
        <v>7</v>
      </c>
      <c r="AL1059" t="n">
        <v>1</v>
      </c>
      <c r="AM1059" t="n">
        <v>1</v>
      </c>
      <c r="AN1059" t="n">
        <v>0</v>
      </c>
      <c r="AO1059" t="n">
        <v>0</v>
      </c>
      <c r="AP1059" t="inlineStr">
        <is>
          <t>No</t>
        </is>
      </c>
      <c r="AQ1059" t="inlineStr">
        <is>
          <t>Yes</t>
        </is>
      </c>
      <c r="AR1059">
        <f>HYPERLINK("http://catalog.hathitrust.org/Record/010621246","HathiTrust Record")</f>
        <v/>
      </c>
      <c r="AS1059">
        <f>HYPERLINK("https://creighton-primo.hosted.exlibrisgroup.com/primo-explore/search?tab=default_tab&amp;search_scope=EVERYTHING&amp;vid=01CRU&amp;lang=en_US&amp;offset=0&amp;query=any,contains,991000894749702656","Catalog Record")</f>
        <v/>
      </c>
      <c r="AT1059">
        <f>HYPERLINK("http://www.worldcat.org/oclc/13959766","WorldCat Record")</f>
        <v/>
      </c>
      <c r="AU1059" t="inlineStr">
        <is>
          <t>1024545824:eng</t>
        </is>
      </c>
      <c r="AV1059" t="inlineStr">
        <is>
          <t>13959766</t>
        </is>
      </c>
      <c r="AW1059" t="inlineStr">
        <is>
          <t>991000894749702656</t>
        </is>
      </c>
      <c r="AX1059" t="inlineStr">
        <is>
          <t>991000894749702656</t>
        </is>
      </c>
      <c r="AY1059" t="inlineStr">
        <is>
          <t>2256011570002656</t>
        </is>
      </c>
      <c r="AZ1059" t="inlineStr">
        <is>
          <t>BOOK</t>
        </is>
      </c>
      <c r="BB1059" t="inlineStr">
        <is>
          <t>9780913552353</t>
        </is>
      </c>
      <c r="BC1059" t="inlineStr">
        <is>
          <t>32285000749878</t>
        </is>
      </c>
      <c r="BD1059" t="inlineStr">
        <is>
          <t>893878437</t>
        </is>
      </c>
    </row>
    <row r="1060">
      <c r="A1060" t="inlineStr">
        <is>
          <t>No</t>
        </is>
      </c>
      <c r="B1060" t="inlineStr">
        <is>
          <t>BT738 .B32</t>
        </is>
      </c>
      <c r="C1060" t="inlineStr">
        <is>
          <t>0                      BT 0738000B  32</t>
        </is>
      </c>
      <c r="D1060" t="inlineStr">
        <is>
          <t>Religion and alienation : a theological reading of sociology / Gregory Baum.</t>
        </is>
      </c>
      <c r="F1060" t="inlineStr">
        <is>
          <t>No</t>
        </is>
      </c>
      <c r="G1060" t="inlineStr">
        <is>
          <t>1</t>
        </is>
      </c>
      <c r="H1060" t="inlineStr">
        <is>
          <t>No</t>
        </is>
      </c>
      <c r="I1060" t="inlineStr">
        <is>
          <t>No</t>
        </is>
      </c>
      <c r="J1060" t="inlineStr">
        <is>
          <t>0</t>
        </is>
      </c>
      <c r="K1060" t="inlineStr">
        <is>
          <t>Baum, Gregory, 1923-2017.</t>
        </is>
      </c>
      <c r="L1060" t="inlineStr">
        <is>
          <t>New York : Paulist Press, c1975.</t>
        </is>
      </c>
      <c r="M1060" t="inlineStr">
        <is>
          <t>1975</t>
        </is>
      </c>
      <c r="O1060" t="inlineStr">
        <is>
          <t>eng</t>
        </is>
      </c>
      <c r="P1060" t="inlineStr">
        <is>
          <t>nyu</t>
        </is>
      </c>
      <c r="R1060" t="inlineStr">
        <is>
          <t xml:space="preserve">BT </t>
        </is>
      </c>
      <c r="S1060" t="n">
        <v>4</v>
      </c>
      <c r="T1060" t="n">
        <v>4</v>
      </c>
      <c r="U1060" t="inlineStr">
        <is>
          <t>2009-03-03</t>
        </is>
      </c>
      <c r="V1060" t="inlineStr">
        <is>
          <t>2009-03-03</t>
        </is>
      </c>
      <c r="W1060" t="inlineStr">
        <is>
          <t>1991-10-07</t>
        </is>
      </c>
      <c r="X1060" t="inlineStr">
        <is>
          <t>1991-10-07</t>
        </is>
      </c>
      <c r="Y1060" t="n">
        <v>756</v>
      </c>
      <c r="Z1060" t="n">
        <v>605</v>
      </c>
      <c r="AA1060" t="n">
        <v>645</v>
      </c>
      <c r="AB1060" t="n">
        <v>7</v>
      </c>
      <c r="AC1060" t="n">
        <v>7</v>
      </c>
      <c r="AD1060" t="n">
        <v>40</v>
      </c>
      <c r="AE1060" t="n">
        <v>44</v>
      </c>
      <c r="AF1060" t="n">
        <v>15</v>
      </c>
      <c r="AG1060" t="n">
        <v>18</v>
      </c>
      <c r="AH1060" t="n">
        <v>9</v>
      </c>
      <c r="AI1060" t="n">
        <v>9</v>
      </c>
      <c r="AJ1060" t="n">
        <v>23</v>
      </c>
      <c r="AK1060" t="n">
        <v>25</v>
      </c>
      <c r="AL1060" t="n">
        <v>5</v>
      </c>
      <c r="AM1060" t="n">
        <v>5</v>
      </c>
      <c r="AN1060" t="n">
        <v>0</v>
      </c>
      <c r="AO1060" t="n">
        <v>0</v>
      </c>
      <c r="AP1060" t="inlineStr">
        <is>
          <t>No</t>
        </is>
      </c>
      <c r="AQ1060" t="inlineStr">
        <is>
          <t>Yes</t>
        </is>
      </c>
      <c r="AR1060">
        <f>HYPERLINK("http://catalog.hathitrust.org/Record/000693914","HathiTrust Record")</f>
        <v/>
      </c>
      <c r="AS1060">
        <f>HYPERLINK("https://creighton-primo.hosted.exlibrisgroup.com/primo-explore/search?tab=default_tab&amp;search_scope=EVERYTHING&amp;vid=01CRU&amp;lang=en_US&amp;offset=0&amp;query=any,contains,991003970339702656","Catalog Record")</f>
        <v/>
      </c>
      <c r="AT1060">
        <f>HYPERLINK("http://www.worldcat.org/oclc/1992013","WorldCat Record")</f>
        <v/>
      </c>
      <c r="AU1060" t="inlineStr">
        <is>
          <t>230013747:eng</t>
        </is>
      </c>
      <c r="AV1060" t="inlineStr">
        <is>
          <t>1992013</t>
        </is>
      </c>
      <c r="AW1060" t="inlineStr">
        <is>
          <t>991003970339702656</t>
        </is>
      </c>
      <c r="AX1060" t="inlineStr">
        <is>
          <t>991003970339702656</t>
        </is>
      </c>
      <c r="AY1060" t="inlineStr">
        <is>
          <t>2262121450002656</t>
        </is>
      </c>
      <c r="AZ1060" t="inlineStr">
        <is>
          <t>BOOK</t>
        </is>
      </c>
      <c r="BB1060" t="inlineStr">
        <is>
          <t>9780809102051</t>
        </is>
      </c>
      <c r="BC1060" t="inlineStr">
        <is>
          <t>32285000749886</t>
        </is>
      </c>
      <c r="BD1060" t="inlineStr">
        <is>
          <t>893228739</t>
        </is>
      </c>
    </row>
    <row r="1061">
      <c r="A1061" t="inlineStr">
        <is>
          <t>No</t>
        </is>
      </c>
      <c r="B1061" t="inlineStr">
        <is>
          <t>BT738 .B322</t>
        </is>
      </c>
      <c r="C1061" t="inlineStr">
        <is>
          <t>0                      BT 0738000B  322</t>
        </is>
      </c>
      <c r="D1061" t="inlineStr">
        <is>
          <t>The social imperative / by Gregory Baum.</t>
        </is>
      </c>
      <c r="F1061" t="inlineStr">
        <is>
          <t>No</t>
        </is>
      </c>
      <c r="G1061" t="inlineStr">
        <is>
          <t>1</t>
        </is>
      </c>
      <c r="H1061" t="inlineStr">
        <is>
          <t>No</t>
        </is>
      </c>
      <c r="I1061" t="inlineStr">
        <is>
          <t>No</t>
        </is>
      </c>
      <c r="J1061" t="inlineStr">
        <is>
          <t>0</t>
        </is>
      </c>
      <c r="K1061" t="inlineStr">
        <is>
          <t>Baum, Gregory, 1923-2017.</t>
        </is>
      </c>
      <c r="L1061" t="inlineStr">
        <is>
          <t>New York : Paulist Press, c1979.</t>
        </is>
      </c>
      <c r="M1061" t="inlineStr">
        <is>
          <t>1979</t>
        </is>
      </c>
      <c r="O1061" t="inlineStr">
        <is>
          <t>eng</t>
        </is>
      </c>
      <c r="P1061" t="inlineStr">
        <is>
          <t>nyu</t>
        </is>
      </c>
      <c r="Q1061" t="inlineStr">
        <is>
          <t>An Exploration book</t>
        </is>
      </c>
      <c r="R1061" t="inlineStr">
        <is>
          <t xml:space="preserve">BT </t>
        </is>
      </c>
      <c r="S1061" t="n">
        <v>5</v>
      </c>
      <c r="T1061" t="n">
        <v>5</v>
      </c>
      <c r="U1061" t="inlineStr">
        <is>
          <t>1999-07-22</t>
        </is>
      </c>
      <c r="V1061" t="inlineStr">
        <is>
          <t>1999-07-22</t>
        </is>
      </c>
      <c r="W1061" t="inlineStr">
        <is>
          <t>1991-10-07</t>
        </is>
      </c>
      <c r="X1061" t="inlineStr">
        <is>
          <t>1991-10-07</t>
        </is>
      </c>
      <c r="Y1061" t="n">
        <v>336</v>
      </c>
      <c r="Z1061" t="n">
        <v>262</v>
      </c>
      <c r="AA1061" t="n">
        <v>264</v>
      </c>
      <c r="AB1061" t="n">
        <v>3</v>
      </c>
      <c r="AC1061" t="n">
        <v>3</v>
      </c>
      <c r="AD1061" t="n">
        <v>31</v>
      </c>
      <c r="AE1061" t="n">
        <v>31</v>
      </c>
      <c r="AF1061" t="n">
        <v>11</v>
      </c>
      <c r="AG1061" t="n">
        <v>11</v>
      </c>
      <c r="AH1061" t="n">
        <v>8</v>
      </c>
      <c r="AI1061" t="n">
        <v>8</v>
      </c>
      <c r="AJ1061" t="n">
        <v>21</v>
      </c>
      <c r="AK1061" t="n">
        <v>21</v>
      </c>
      <c r="AL1061" t="n">
        <v>2</v>
      </c>
      <c r="AM1061" t="n">
        <v>2</v>
      </c>
      <c r="AN1061" t="n">
        <v>0</v>
      </c>
      <c r="AO1061" t="n">
        <v>0</v>
      </c>
      <c r="AP1061" t="inlineStr">
        <is>
          <t>No</t>
        </is>
      </c>
      <c r="AQ1061" t="inlineStr">
        <is>
          <t>Yes</t>
        </is>
      </c>
      <c r="AR1061">
        <f>HYPERLINK("http://catalog.hathitrust.org/Record/009754747","HathiTrust Record")</f>
        <v/>
      </c>
      <c r="AS1061">
        <f>HYPERLINK("https://creighton-primo.hosted.exlibrisgroup.com/primo-explore/search?tab=default_tab&amp;search_scope=EVERYTHING&amp;vid=01CRU&amp;lang=en_US&amp;offset=0&amp;query=any,contains,991004779879702656","Catalog Record")</f>
        <v/>
      </c>
      <c r="AT1061">
        <f>HYPERLINK("http://www.worldcat.org/oclc/5103064","WorldCat Record")</f>
        <v/>
      </c>
      <c r="AU1061" t="inlineStr">
        <is>
          <t>15268543:eng</t>
        </is>
      </c>
      <c r="AV1061" t="inlineStr">
        <is>
          <t>5103064</t>
        </is>
      </c>
      <c r="AW1061" t="inlineStr">
        <is>
          <t>991004779879702656</t>
        </is>
      </c>
      <c r="AX1061" t="inlineStr">
        <is>
          <t>991004779879702656</t>
        </is>
      </c>
      <c r="AY1061" t="inlineStr">
        <is>
          <t>2270673830002656</t>
        </is>
      </c>
      <c r="AZ1061" t="inlineStr">
        <is>
          <t>BOOK</t>
        </is>
      </c>
      <c r="BB1061" t="inlineStr">
        <is>
          <t>9780809121878</t>
        </is>
      </c>
      <c r="BC1061" t="inlineStr">
        <is>
          <t>32285000749894</t>
        </is>
      </c>
      <c r="BD1061" t="inlineStr">
        <is>
          <t>893344249</t>
        </is>
      </c>
    </row>
    <row r="1062">
      <c r="A1062" t="inlineStr">
        <is>
          <t>No</t>
        </is>
      </c>
      <c r="B1062" t="inlineStr">
        <is>
          <t>BT738 .B4</t>
        </is>
      </c>
      <c r="C1062" t="inlineStr">
        <is>
          <t>0                      BT 0738000B  4</t>
        </is>
      </c>
      <c r="D1062" t="inlineStr">
        <is>
          <t>Christian social ethics in a changing world; an ecumenical theological inquiry / edited by John C. Bennett.</t>
        </is>
      </c>
      <c r="F1062" t="inlineStr">
        <is>
          <t>No</t>
        </is>
      </c>
      <c r="G1062" t="inlineStr">
        <is>
          <t>1</t>
        </is>
      </c>
      <c r="H1062" t="inlineStr">
        <is>
          <t>No</t>
        </is>
      </c>
      <c r="I1062" t="inlineStr">
        <is>
          <t>No</t>
        </is>
      </c>
      <c r="J1062" t="inlineStr">
        <is>
          <t>0</t>
        </is>
      </c>
      <c r="K1062" t="inlineStr">
        <is>
          <t>Bennett, John C. (John Coleman), 1902-1995, editor.</t>
        </is>
      </c>
      <c r="L1062" t="inlineStr">
        <is>
          <t>New York, Association Press [1966]</t>
        </is>
      </c>
      <c r="M1062" t="inlineStr">
        <is>
          <t>1966</t>
        </is>
      </c>
      <c r="O1062" t="inlineStr">
        <is>
          <t>eng</t>
        </is>
      </c>
      <c r="P1062" t="inlineStr">
        <is>
          <t>nyu</t>
        </is>
      </c>
      <c r="R1062" t="inlineStr">
        <is>
          <t xml:space="preserve">BT </t>
        </is>
      </c>
      <c r="S1062" t="n">
        <v>5</v>
      </c>
      <c r="T1062" t="n">
        <v>5</v>
      </c>
      <c r="U1062" t="inlineStr">
        <is>
          <t>1998-11-03</t>
        </is>
      </c>
      <c r="V1062" t="inlineStr">
        <is>
          <t>1998-11-03</t>
        </is>
      </c>
      <c r="W1062" t="inlineStr">
        <is>
          <t>1991-10-07</t>
        </is>
      </c>
      <c r="X1062" t="inlineStr">
        <is>
          <t>1991-10-07</t>
        </is>
      </c>
      <c r="Y1062" t="n">
        <v>635</v>
      </c>
      <c r="Z1062" t="n">
        <v>532</v>
      </c>
      <c r="AA1062" t="n">
        <v>542</v>
      </c>
      <c r="AB1062" t="n">
        <v>5</v>
      </c>
      <c r="AC1062" t="n">
        <v>5</v>
      </c>
      <c r="AD1062" t="n">
        <v>33</v>
      </c>
      <c r="AE1062" t="n">
        <v>33</v>
      </c>
      <c r="AF1062" t="n">
        <v>13</v>
      </c>
      <c r="AG1062" t="n">
        <v>13</v>
      </c>
      <c r="AH1062" t="n">
        <v>6</v>
      </c>
      <c r="AI1062" t="n">
        <v>6</v>
      </c>
      <c r="AJ1062" t="n">
        <v>16</v>
      </c>
      <c r="AK1062" t="n">
        <v>16</v>
      </c>
      <c r="AL1062" t="n">
        <v>3</v>
      </c>
      <c r="AM1062" t="n">
        <v>3</v>
      </c>
      <c r="AN1062" t="n">
        <v>1</v>
      </c>
      <c r="AO1062" t="n">
        <v>1</v>
      </c>
      <c r="AP1062" t="inlineStr">
        <is>
          <t>No</t>
        </is>
      </c>
      <c r="AQ1062" t="inlineStr">
        <is>
          <t>No</t>
        </is>
      </c>
      <c r="AS1062">
        <f>HYPERLINK("https://creighton-primo.hosted.exlibrisgroup.com/primo-explore/search?tab=default_tab&amp;search_scope=EVERYTHING&amp;vid=01CRU&amp;lang=en_US&amp;offset=0&amp;query=any,contains,991002647459702656","Catalog Record")</f>
        <v/>
      </c>
      <c r="AT1062">
        <f>HYPERLINK("http://www.worldcat.org/oclc/386144","WorldCat Record")</f>
        <v/>
      </c>
      <c r="AU1062" t="inlineStr">
        <is>
          <t>905881747:eng</t>
        </is>
      </c>
      <c r="AV1062" t="inlineStr">
        <is>
          <t>386144</t>
        </is>
      </c>
      <c r="AW1062" t="inlineStr">
        <is>
          <t>991002647459702656</t>
        </is>
      </c>
      <c r="AX1062" t="inlineStr">
        <is>
          <t>991002647459702656</t>
        </is>
      </c>
      <c r="AY1062" t="inlineStr">
        <is>
          <t>2257581780002656</t>
        </is>
      </c>
      <c r="AZ1062" t="inlineStr">
        <is>
          <t>BOOK</t>
        </is>
      </c>
      <c r="BC1062" t="inlineStr">
        <is>
          <t>32285000749902</t>
        </is>
      </c>
      <c r="BD1062" t="inlineStr">
        <is>
          <t>893610095</t>
        </is>
      </c>
    </row>
    <row r="1063">
      <c r="A1063" t="inlineStr">
        <is>
          <t>No</t>
        </is>
      </c>
      <c r="B1063" t="inlineStr">
        <is>
          <t>BT738 .B57</t>
        </is>
      </c>
      <c r="C1063" t="inlineStr">
        <is>
          <t>0                      BT 0738000B  57</t>
        </is>
      </c>
      <c r="D1063" t="inlineStr">
        <is>
          <t>The rhetoric of Christian socialism / [by] Paul H. Boase.</t>
        </is>
      </c>
      <c r="F1063" t="inlineStr">
        <is>
          <t>No</t>
        </is>
      </c>
      <c r="G1063" t="inlineStr">
        <is>
          <t>1</t>
        </is>
      </c>
      <c r="H1063" t="inlineStr">
        <is>
          <t>No</t>
        </is>
      </c>
      <c r="I1063" t="inlineStr">
        <is>
          <t>No</t>
        </is>
      </c>
      <c r="J1063" t="inlineStr">
        <is>
          <t>0</t>
        </is>
      </c>
      <c r="K1063" t="inlineStr">
        <is>
          <t>Boase, Paul H. compiler.</t>
        </is>
      </c>
      <c r="L1063" t="inlineStr">
        <is>
          <t>New York, Random House [1969]</t>
        </is>
      </c>
      <c r="M1063" t="inlineStr">
        <is>
          <t>1969</t>
        </is>
      </c>
      <c r="O1063" t="inlineStr">
        <is>
          <t>eng</t>
        </is>
      </c>
      <c r="P1063" t="inlineStr">
        <is>
          <t>nyu</t>
        </is>
      </c>
      <c r="Q1063" t="inlineStr">
        <is>
          <t>A Random house study in speech, SSP9</t>
        </is>
      </c>
      <c r="R1063" t="inlineStr">
        <is>
          <t xml:space="preserve">BT </t>
        </is>
      </c>
      <c r="S1063" t="n">
        <v>2</v>
      </c>
      <c r="T1063" t="n">
        <v>2</v>
      </c>
      <c r="U1063" t="inlineStr">
        <is>
          <t>2006-12-06</t>
        </is>
      </c>
      <c r="V1063" t="inlineStr">
        <is>
          <t>2006-12-06</t>
        </is>
      </c>
      <c r="W1063" t="inlineStr">
        <is>
          <t>1991-10-07</t>
        </is>
      </c>
      <c r="X1063" t="inlineStr">
        <is>
          <t>1991-10-07</t>
        </is>
      </c>
      <c r="Y1063" t="n">
        <v>326</v>
      </c>
      <c r="Z1063" t="n">
        <v>306</v>
      </c>
      <c r="AA1063" t="n">
        <v>313</v>
      </c>
      <c r="AB1063" t="n">
        <v>4</v>
      </c>
      <c r="AC1063" t="n">
        <v>4</v>
      </c>
      <c r="AD1063" t="n">
        <v>18</v>
      </c>
      <c r="AE1063" t="n">
        <v>18</v>
      </c>
      <c r="AF1063" t="n">
        <v>4</v>
      </c>
      <c r="AG1063" t="n">
        <v>4</v>
      </c>
      <c r="AH1063" t="n">
        <v>5</v>
      </c>
      <c r="AI1063" t="n">
        <v>5</v>
      </c>
      <c r="AJ1063" t="n">
        <v>9</v>
      </c>
      <c r="AK1063" t="n">
        <v>9</v>
      </c>
      <c r="AL1063" t="n">
        <v>3</v>
      </c>
      <c r="AM1063" t="n">
        <v>3</v>
      </c>
      <c r="AN1063" t="n">
        <v>0</v>
      </c>
      <c r="AO1063" t="n">
        <v>0</v>
      </c>
      <c r="AP1063" t="inlineStr">
        <is>
          <t>No</t>
        </is>
      </c>
      <c r="AQ1063" t="inlineStr">
        <is>
          <t>Yes</t>
        </is>
      </c>
      <c r="AR1063">
        <f>HYPERLINK("http://catalog.hathitrust.org/Record/001939992","HathiTrust Record")</f>
        <v/>
      </c>
      <c r="AS1063">
        <f>HYPERLINK("https://creighton-primo.hosted.exlibrisgroup.com/primo-explore/search?tab=default_tab&amp;search_scope=EVERYTHING&amp;vid=01CRU&amp;lang=en_US&amp;offset=0&amp;query=any,contains,991000003619702656","Catalog Record")</f>
        <v/>
      </c>
      <c r="AT1063">
        <f>HYPERLINK("http://www.worldcat.org/oclc/12187","WorldCat Record")</f>
        <v/>
      </c>
      <c r="AU1063" t="inlineStr">
        <is>
          <t>1135144:eng</t>
        </is>
      </c>
      <c r="AV1063" t="inlineStr">
        <is>
          <t>12187</t>
        </is>
      </c>
      <c r="AW1063" t="inlineStr">
        <is>
          <t>991000003619702656</t>
        </is>
      </c>
      <c r="AX1063" t="inlineStr">
        <is>
          <t>991000003619702656</t>
        </is>
      </c>
      <c r="AY1063" t="inlineStr">
        <is>
          <t>2264782560002656</t>
        </is>
      </c>
      <c r="AZ1063" t="inlineStr">
        <is>
          <t>BOOK</t>
        </is>
      </c>
      <c r="BC1063" t="inlineStr">
        <is>
          <t>32285000749928</t>
        </is>
      </c>
      <c r="BD1063" t="inlineStr">
        <is>
          <t>893777584</t>
        </is>
      </c>
    </row>
    <row r="1064">
      <c r="A1064" t="inlineStr">
        <is>
          <t>No</t>
        </is>
      </c>
      <c r="B1064" t="inlineStr">
        <is>
          <t>BT738 .C475</t>
        </is>
      </c>
      <c r="C1064" t="inlineStr">
        <is>
          <t>0                      BT 0738000C  475</t>
        </is>
      </c>
      <c r="D1064" t="inlineStr">
        <is>
          <t>Christian perspectives on sociology / Stephen A. Grunlan &amp; Milton K. Reimer, editors.</t>
        </is>
      </c>
      <c r="F1064" t="inlineStr">
        <is>
          <t>No</t>
        </is>
      </c>
      <c r="G1064" t="inlineStr">
        <is>
          <t>1</t>
        </is>
      </c>
      <c r="H1064" t="inlineStr">
        <is>
          <t>No</t>
        </is>
      </c>
      <c r="I1064" t="inlineStr">
        <is>
          <t>No</t>
        </is>
      </c>
      <c r="J1064" t="inlineStr">
        <is>
          <t>0</t>
        </is>
      </c>
      <c r="L1064" t="inlineStr">
        <is>
          <t>Grand Rapids, Mich. : Zondervan, 1982.</t>
        </is>
      </c>
      <c r="M1064" t="inlineStr">
        <is>
          <t>1982</t>
        </is>
      </c>
      <c r="O1064" t="inlineStr">
        <is>
          <t>eng</t>
        </is>
      </c>
      <c r="P1064" t="inlineStr">
        <is>
          <t>miu</t>
        </is>
      </c>
      <c r="R1064" t="inlineStr">
        <is>
          <t xml:space="preserve">BT </t>
        </is>
      </c>
      <c r="S1064" t="n">
        <v>3</v>
      </c>
      <c r="T1064" t="n">
        <v>3</v>
      </c>
      <c r="U1064" t="inlineStr">
        <is>
          <t>1995-12-02</t>
        </is>
      </c>
      <c r="V1064" t="inlineStr">
        <is>
          <t>1995-12-02</t>
        </is>
      </c>
      <c r="W1064" t="inlineStr">
        <is>
          <t>1991-10-07</t>
        </is>
      </c>
      <c r="X1064" t="inlineStr">
        <is>
          <t>1991-10-07</t>
        </is>
      </c>
      <c r="Y1064" t="n">
        <v>200</v>
      </c>
      <c r="Z1064" t="n">
        <v>164</v>
      </c>
      <c r="AA1064" t="n">
        <v>176</v>
      </c>
      <c r="AB1064" t="n">
        <v>3</v>
      </c>
      <c r="AC1064" t="n">
        <v>3</v>
      </c>
      <c r="AD1064" t="n">
        <v>5</v>
      </c>
      <c r="AE1064" t="n">
        <v>5</v>
      </c>
      <c r="AF1064" t="n">
        <v>1</v>
      </c>
      <c r="AG1064" t="n">
        <v>1</v>
      </c>
      <c r="AH1064" t="n">
        <v>2</v>
      </c>
      <c r="AI1064" t="n">
        <v>2</v>
      </c>
      <c r="AJ1064" t="n">
        <v>2</v>
      </c>
      <c r="AK1064" t="n">
        <v>2</v>
      </c>
      <c r="AL1064" t="n">
        <v>1</v>
      </c>
      <c r="AM1064" t="n">
        <v>1</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HYPERLINK("https://creighton-primo.hosted.exlibrisgroup.com/primo-explore/search?tab=default_tab&amp;search_scope=EVERYTHING&amp;vid=01CRU&amp;lang=en_US&amp;offset=0&amp;query=any,contains,991005205449702656","Catalog Record")</f>
        <v/>
      </c>
      <c r="AT1064">
        <f>HYPERLINK("http://www.worldcat.org/oclc/8114193","WorldCat Record")</f>
        <v/>
      </c>
      <c r="AU1064" t="inlineStr">
        <is>
          <t>470425808:eng</t>
        </is>
      </c>
      <c r="AV1064" t="inlineStr">
        <is>
          <t>8114193</t>
        </is>
      </c>
      <c r="AW1064" t="inlineStr">
        <is>
          <t>991005205449702656</t>
        </is>
      </c>
      <c r="AX1064" t="inlineStr">
        <is>
          <t>991005205449702656</t>
        </is>
      </c>
      <c r="AY1064" t="inlineStr">
        <is>
          <t>2255293480002656</t>
        </is>
      </c>
      <c r="AZ1064" t="inlineStr">
        <is>
          <t>BOOK</t>
        </is>
      </c>
      <c r="BB1064" t="inlineStr">
        <is>
          <t>9780310363316</t>
        </is>
      </c>
      <c r="BC1064" t="inlineStr">
        <is>
          <t>32285000749936</t>
        </is>
      </c>
      <c r="BD1064" t="inlineStr">
        <is>
          <t>893242368</t>
        </is>
      </c>
    </row>
    <row r="1065">
      <c r="A1065" t="inlineStr">
        <is>
          <t>No</t>
        </is>
      </c>
      <c r="B1065" t="inlineStr">
        <is>
          <t>BT738 .E39 1976</t>
        </is>
      </c>
      <c r="C1065" t="inlineStr">
        <is>
          <t>0                      BT 0738000E  39          1976</t>
        </is>
      </c>
      <c r="D1065" t="inlineStr">
        <is>
          <t>Conscientization and deschooling : Freire's and Illich's proposals for reshaping society / by John L. Elias.</t>
        </is>
      </c>
      <c r="F1065" t="inlineStr">
        <is>
          <t>No</t>
        </is>
      </c>
      <c r="G1065" t="inlineStr">
        <is>
          <t>1</t>
        </is>
      </c>
      <c r="H1065" t="inlineStr">
        <is>
          <t>No</t>
        </is>
      </c>
      <c r="I1065" t="inlineStr">
        <is>
          <t>No</t>
        </is>
      </c>
      <c r="J1065" t="inlineStr">
        <is>
          <t>0</t>
        </is>
      </c>
      <c r="K1065" t="inlineStr">
        <is>
          <t>Elias, John L., 1933-</t>
        </is>
      </c>
      <c r="L1065" t="inlineStr">
        <is>
          <t>Philadelphia : Westminster Press, c1976.</t>
        </is>
      </c>
      <c r="M1065" t="inlineStr">
        <is>
          <t>1976</t>
        </is>
      </c>
      <c r="O1065" t="inlineStr">
        <is>
          <t>eng</t>
        </is>
      </c>
      <c r="P1065" t="inlineStr">
        <is>
          <t>pau</t>
        </is>
      </c>
      <c r="R1065" t="inlineStr">
        <is>
          <t xml:space="preserve">BT </t>
        </is>
      </c>
      <c r="S1065" t="n">
        <v>6</v>
      </c>
      <c r="T1065" t="n">
        <v>6</v>
      </c>
      <c r="U1065" t="inlineStr">
        <is>
          <t>2009-06-16</t>
        </is>
      </c>
      <c r="V1065" t="inlineStr">
        <is>
          <t>2009-06-16</t>
        </is>
      </c>
      <c r="W1065" t="inlineStr">
        <is>
          <t>1991-10-07</t>
        </is>
      </c>
      <c r="X1065" t="inlineStr">
        <is>
          <t>1991-10-07</t>
        </is>
      </c>
      <c r="Y1065" t="n">
        <v>537</v>
      </c>
      <c r="Z1065" t="n">
        <v>464</v>
      </c>
      <c r="AA1065" t="n">
        <v>469</v>
      </c>
      <c r="AB1065" t="n">
        <v>3</v>
      </c>
      <c r="AC1065" t="n">
        <v>3</v>
      </c>
      <c r="AD1065" t="n">
        <v>30</v>
      </c>
      <c r="AE1065" t="n">
        <v>30</v>
      </c>
      <c r="AF1065" t="n">
        <v>12</v>
      </c>
      <c r="AG1065" t="n">
        <v>12</v>
      </c>
      <c r="AH1065" t="n">
        <v>7</v>
      </c>
      <c r="AI1065" t="n">
        <v>7</v>
      </c>
      <c r="AJ1065" t="n">
        <v>19</v>
      </c>
      <c r="AK1065" t="n">
        <v>19</v>
      </c>
      <c r="AL1065" t="n">
        <v>2</v>
      </c>
      <c r="AM1065" t="n">
        <v>2</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HYPERLINK("https://creighton-primo.hosted.exlibrisgroup.com/primo-explore/search?tab=default_tab&amp;search_scope=EVERYTHING&amp;vid=01CRU&amp;lang=en_US&amp;offset=0&amp;query=any,contains,991004084989702656","Catalog Record")</f>
        <v/>
      </c>
      <c r="AT1065">
        <f>HYPERLINK("http://www.worldcat.org/oclc/2331849","WorldCat Record")</f>
        <v/>
      </c>
      <c r="AU1065" t="inlineStr">
        <is>
          <t>4833128:eng</t>
        </is>
      </c>
      <c r="AV1065" t="inlineStr">
        <is>
          <t>2331849</t>
        </is>
      </c>
      <c r="AW1065" t="inlineStr">
        <is>
          <t>991004084989702656</t>
        </is>
      </c>
      <c r="AX1065" t="inlineStr">
        <is>
          <t>991004084989702656</t>
        </is>
      </c>
      <c r="AY1065" t="inlineStr">
        <is>
          <t>2264141100002656</t>
        </is>
      </c>
      <c r="AZ1065" t="inlineStr">
        <is>
          <t>BOOK</t>
        </is>
      </c>
      <c r="BB1065" t="inlineStr">
        <is>
          <t>9780664207878</t>
        </is>
      </c>
      <c r="BC1065" t="inlineStr">
        <is>
          <t>32285000749951</t>
        </is>
      </c>
      <c r="BD1065" t="inlineStr">
        <is>
          <t>893699824</t>
        </is>
      </c>
    </row>
    <row r="1066">
      <c r="A1066" t="inlineStr">
        <is>
          <t>No</t>
        </is>
      </c>
      <c r="B1066" t="inlineStr">
        <is>
          <t>BT738 .F657 1992</t>
        </is>
      </c>
      <c r="C1066" t="inlineStr">
        <is>
          <t>0                      BT 0738000F  657         1992</t>
        </is>
      </c>
      <c r="D1066" t="inlineStr">
        <is>
          <t>Sociology through the eyes of faith / David A. Fraser and Tony Campolo.</t>
        </is>
      </c>
      <c r="F1066" t="inlineStr">
        <is>
          <t>No</t>
        </is>
      </c>
      <c r="G1066" t="inlineStr">
        <is>
          <t>1</t>
        </is>
      </c>
      <c r="H1066" t="inlineStr">
        <is>
          <t>No</t>
        </is>
      </c>
      <c r="I1066" t="inlineStr">
        <is>
          <t>No</t>
        </is>
      </c>
      <c r="J1066" t="inlineStr">
        <is>
          <t>0</t>
        </is>
      </c>
      <c r="K1066" t="inlineStr">
        <is>
          <t>Fraser, David A., 1943-</t>
        </is>
      </c>
      <c r="L1066" t="inlineStr">
        <is>
          <t>San Francisco : HarperSanFrancisco, c1992.</t>
        </is>
      </c>
      <c r="M1066" t="inlineStr">
        <is>
          <t>1992</t>
        </is>
      </c>
      <c r="N1066" t="inlineStr">
        <is>
          <t>1st ed.</t>
        </is>
      </c>
      <c r="O1066" t="inlineStr">
        <is>
          <t>eng</t>
        </is>
      </c>
      <c r="P1066" t="inlineStr">
        <is>
          <t>cau</t>
        </is>
      </c>
      <c r="R1066" t="inlineStr">
        <is>
          <t xml:space="preserve">BT </t>
        </is>
      </c>
      <c r="S1066" t="n">
        <v>8</v>
      </c>
      <c r="T1066" t="n">
        <v>8</v>
      </c>
      <c r="U1066" t="inlineStr">
        <is>
          <t>2000-01-18</t>
        </is>
      </c>
      <c r="V1066" t="inlineStr">
        <is>
          <t>2000-01-18</t>
        </is>
      </c>
      <c r="W1066" t="inlineStr">
        <is>
          <t>1992-12-08</t>
        </is>
      </c>
      <c r="X1066" t="inlineStr">
        <is>
          <t>1992-12-08</t>
        </is>
      </c>
      <c r="Y1066" t="n">
        <v>334</v>
      </c>
      <c r="Z1066" t="n">
        <v>301</v>
      </c>
      <c r="AA1066" t="n">
        <v>310</v>
      </c>
      <c r="AB1066" t="n">
        <v>5</v>
      </c>
      <c r="AC1066" t="n">
        <v>5</v>
      </c>
      <c r="AD1066" t="n">
        <v>13</v>
      </c>
      <c r="AE1066" t="n">
        <v>13</v>
      </c>
      <c r="AF1066" t="n">
        <v>5</v>
      </c>
      <c r="AG1066" t="n">
        <v>5</v>
      </c>
      <c r="AH1066" t="n">
        <v>1</v>
      </c>
      <c r="AI1066" t="n">
        <v>1</v>
      </c>
      <c r="AJ1066" t="n">
        <v>5</v>
      </c>
      <c r="AK1066" t="n">
        <v>5</v>
      </c>
      <c r="AL1066" t="n">
        <v>3</v>
      </c>
      <c r="AM1066" t="n">
        <v>3</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HYPERLINK("https://creighton-primo.hosted.exlibrisgroup.com/primo-explore/search?tab=default_tab&amp;search_scope=EVERYTHING&amp;vid=01CRU&amp;lang=en_US&amp;offset=0&amp;query=any,contains,991001939749702656","Catalog Record")</f>
        <v/>
      </c>
      <c r="AT1066">
        <f>HYPERLINK("http://www.worldcat.org/oclc/24503506","WorldCat Record")</f>
        <v/>
      </c>
      <c r="AU1066" t="inlineStr">
        <is>
          <t>28580903:eng</t>
        </is>
      </c>
      <c r="AV1066" t="inlineStr">
        <is>
          <t>24503506</t>
        </is>
      </c>
      <c r="AW1066" t="inlineStr">
        <is>
          <t>991001939749702656</t>
        </is>
      </c>
      <c r="AX1066" t="inlineStr">
        <is>
          <t>991001939749702656</t>
        </is>
      </c>
      <c r="AY1066" t="inlineStr">
        <is>
          <t>2261573910002656</t>
        </is>
      </c>
      <c r="AZ1066" t="inlineStr">
        <is>
          <t>BOOK</t>
        </is>
      </c>
      <c r="BB1066" t="inlineStr">
        <is>
          <t>9780060613150</t>
        </is>
      </c>
      <c r="BC1066" t="inlineStr">
        <is>
          <t>32285001401610</t>
        </is>
      </c>
      <c r="BD1066" t="inlineStr">
        <is>
          <t>893529359</t>
        </is>
      </c>
    </row>
    <row r="1067">
      <c r="A1067" t="inlineStr">
        <is>
          <t>No</t>
        </is>
      </c>
      <c r="B1067" t="inlineStr">
        <is>
          <t>BT738 .G46</t>
        </is>
      </c>
      <c r="C1067" t="inlineStr">
        <is>
          <t>0                      BT 0738000G  46</t>
        </is>
      </c>
      <c r="D1067" t="inlineStr">
        <is>
          <t>The social context of theology : a methodological enquiry / by Robin Gill.</t>
        </is>
      </c>
      <c r="F1067" t="inlineStr">
        <is>
          <t>No</t>
        </is>
      </c>
      <c r="G1067" t="inlineStr">
        <is>
          <t>1</t>
        </is>
      </c>
      <c r="H1067" t="inlineStr">
        <is>
          <t>No</t>
        </is>
      </c>
      <c r="I1067" t="inlineStr">
        <is>
          <t>No</t>
        </is>
      </c>
      <c r="J1067" t="inlineStr">
        <is>
          <t>0</t>
        </is>
      </c>
      <c r="K1067" t="inlineStr">
        <is>
          <t>Gill, Robin.</t>
        </is>
      </c>
      <c r="L1067" t="inlineStr">
        <is>
          <t>London : Mowbrays, 1975.</t>
        </is>
      </c>
      <c r="M1067" t="inlineStr">
        <is>
          <t>1975</t>
        </is>
      </c>
      <c r="O1067" t="inlineStr">
        <is>
          <t>eng</t>
        </is>
      </c>
      <c r="P1067" t="inlineStr">
        <is>
          <t>enk</t>
        </is>
      </c>
      <c r="R1067" t="inlineStr">
        <is>
          <t xml:space="preserve">BT </t>
        </is>
      </c>
      <c r="S1067" t="n">
        <v>5</v>
      </c>
      <c r="T1067" t="n">
        <v>5</v>
      </c>
      <c r="U1067" t="inlineStr">
        <is>
          <t>2002-10-18</t>
        </is>
      </c>
      <c r="V1067" t="inlineStr">
        <is>
          <t>2002-10-18</t>
        </is>
      </c>
      <c r="W1067" t="inlineStr">
        <is>
          <t>1991-10-07</t>
        </is>
      </c>
      <c r="X1067" t="inlineStr">
        <is>
          <t>1991-10-07</t>
        </is>
      </c>
      <c r="Y1067" t="n">
        <v>258</v>
      </c>
      <c r="Z1067" t="n">
        <v>141</v>
      </c>
      <c r="AA1067" t="n">
        <v>147</v>
      </c>
      <c r="AB1067" t="n">
        <v>3</v>
      </c>
      <c r="AC1067" t="n">
        <v>3</v>
      </c>
      <c r="AD1067" t="n">
        <v>9</v>
      </c>
      <c r="AE1067" t="n">
        <v>9</v>
      </c>
      <c r="AF1067" t="n">
        <v>2</v>
      </c>
      <c r="AG1067" t="n">
        <v>2</v>
      </c>
      <c r="AH1067" t="n">
        <v>2</v>
      </c>
      <c r="AI1067" t="n">
        <v>2</v>
      </c>
      <c r="AJ1067" t="n">
        <v>5</v>
      </c>
      <c r="AK1067" t="n">
        <v>5</v>
      </c>
      <c r="AL1067" t="n">
        <v>2</v>
      </c>
      <c r="AM1067" t="n">
        <v>2</v>
      </c>
      <c r="AN1067" t="n">
        <v>0</v>
      </c>
      <c r="AO1067" t="n">
        <v>0</v>
      </c>
      <c r="AP1067" t="inlineStr">
        <is>
          <t>No</t>
        </is>
      </c>
      <c r="AQ1067" t="inlineStr">
        <is>
          <t>Yes</t>
        </is>
      </c>
      <c r="AR1067">
        <f>HYPERLINK("http://catalog.hathitrust.org/Record/000701091","HathiTrust Record")</f>
        <v/>
      </c>
      <c r="AS1067">
        <f>HYPERLINK("https://creighton-primo.hosted.exlibrisgroup.com/primo-explore/search?tab=default_tab&amp;search_scope=EVERYTHING&amp;vid=01CRU&amp;lang=en_US&amp;offset=0&amp;query=any,contains,991004000859702656","Catalog Record")</f>
        <v/>
      </c>
      <c r="AT1067">
        <f>HYPERLINK("http://www.worldcat.org/oclc/2072977","WorldCat Record")</f>
        <v/>
      </c>
      <c r="AU1067" t="inlineStr">
        <is>
          <t>891648202:eng</t>
        </is>
      </c>
      <c r="AV1067" t="inlineStr">
        <is>
          <t>2072977</t>
        </is>
      </c>
      <c r="AW1067" t="inlineStr">
        <is>
          <t>991004000859702656</t>
        </is>
      </c>
      <c r="AX1067" t="inlineStr">
        <is>
          <t>991004000859702656</t>
        </is>
      </c>
      <c r="AY1067" t="inlineStr">
        <is>
          <t>2254933220002656</t>
        </is>
      </c>
      <c r="AZ1067" t="inlineStr">
        <is>
          <t>BOOK</t>
        </is>
      </c>
      <c r="BB1067" t="inlineStr">
        <is>
          <t>9780264660196</t>
        </is>
      </c>
      <c r="BC1067" t="inlineStr">
        <is>
          <t>32285000749977</t>
        </is>
      </c>
      <c r="BD1067" t="inlineStr">
        <is>
          <t>893423260</t>
        </is>
      </c>
    </row>
    <row r="1068">
      <c r="A1068" t="inlineStr">
        <is>
          <t>No</t>
        </is>
      </c>
      <c r="B1068" t="inlineStr">
        <is>
          <t>BT738 .G64 1988</t>
        </is>
      </c>
      <c r="C1068" t="inlineStr">
        <is>
          <t>0                      BT 0738000G  64          1988</t>
        </is>
      </c>
      <c r="D1068" t="inlineStr">
        <is>
          <t>The age of social responsibility : the social gospel in the progressive era, 1900-1920 / Donald K. Gorrell.</t>
        </is>
      </c>
      <c r="F1068" t="inlineStr">
        <is>
          <t>No</t>
        </is>
      </c>
      <c r="G1068" t="inlineStr">
        <is>
          <t>1</t>
        </is>
      </c>
      <c r="H1068" t="inlineStr">
        <is>
          <t>No</t>
        </is>
      </c>
      <c r="I1068" t="inlineStr">
        <is>
          <t>No</t>
        </is>
      </c>
      <c r="J1068" t="inlineStr">
        <is>
          <t>0</t>
        </is>
      </c>
      <c r="K1068" t="inlineStr">
        <is>
          <t>Gorrell, Donald K.</t>
        </is>
      </c>
      <c r="L1068" t="inlineStr">
        <is>
          <t>Macon, Ga. : Mercer University Press, c1988.</t>
        </is>
      </c>
      <c r="M1068" t="inlineStr">
        <is>
          <t>1988</t>
        </is>
      </c>
      <c r="O1068" t="inlineStr">
        <is>
          <t>eng</t>
        </is>
      </c>
      <c r="P1068" t="inlineStr">
        <is>
          <t>gau</t>
        </is>
      </c>
      <c r="R1068" t="inlineStr">
        <is>
          <t xml:space="preserve">BT </t>
        </is>
      </c>
      <c r="S1068" t="n">
        <v>4</v>
      </c>
      <c r="T1068" t="n">
        <v>4</v>
      </c>
      <c r="U1068" t="inlineStr">
        <is>
          <t>1998-02-04</t>
        </is>
      </c>
      <c r="V1068" t="inlineStr">
        <is>
          <t>1998-02-04</t>
        </is>
      </c>
      <c r="W1068" t="inlineStr">
        <is>
          <t>1992-03-01</t>
        </is>
      </c>
      <c r="X1068" t="inlineStr">
        <is>
          <t>1992-03-01</t>
        </is>
      </c>
      <c r="Y1068" t="n">
        <v>491</v>
      </c>
      <c r="Z1068" t="n">
        <v>433</v>
      </c>
      <c r="AA1068" t="n">
        <v>435</v>
      </c>
      <c r="AB1068" t="n">
        <v>8</v>
      </c>
      <c r="AC1068" t="n">
        <v>8</v>
      </c>
      <c r="AD1068" t="n">
        <v>31</v>
      </c>
      <c r="AE1068" t="n">
        <v>31</v>
      </c>
      <c r="AF1068" t="n">
        <v>7</v>
      </c>
      <c r="AG1068" t="n">
        <v>7</v>
      </c>
      <c r="AH1068" t="n">
        <v>7</v>
      </c>
      <c r="AI1068" t="n">
        <v>7</v>
      </c>
      <c r="AJ1068" t="n">
        <v>15</v>
      </c>
      <c r="AK1068" t="n">
        <v>15</v>
      </c>
      <c r="AL1068" t="n">
        <v>7</v>
      </c>
      <c r="AM1068" t="n">
        <v>7</v>
      </c>
      <c r="AN1068" t="n">
        <v>1</v>
      </c>
      <c r="AO1068" t="n">
        <v>1</v>
      </c>
      <c r="AP1068" t="inlineStr">
        <is>
          <t>No</t>
        </is>
      </c>
      <c r="AQ1068" t="inlineStr">
        <is>
          <t>Yes</t>
        </is>
      </c>
      <c r="AR1068">
        <f>HYPERLINK("http://catalog.hathitrust.org/Record/001295617","HathiTrust Record")</f>
        <v/>
      </c>
      <c r="AS1068">
        <f>HYPERLINK("https://creighton-primo.hosted.exlibrisgroup.com/primo-explore/search?tab=default_tab&amp;search_scope=EVERYTHING&amp;vid=01CRU&amp;lang=en_US&amp;offset=0&amp;query=any,contains,991001377139702656","Catalog Record")</f>
        <v/>
      </c>
      <c r="AT1068">
        <f>HYPERLINK("http://www.worldcat.org/oclc/18625594","WorldCat Record")</f>
        <v/>
      </c>
      <c r="AU1068" t="inlineStr">
        <is>
          <t>17733536:eng</t>
        </is>
      </c>
      <c r="AV1068" t="inlineStr">
        <is>
          <t>18625594</t>
        </is>
      </c>
      <c r="AW1068" t="inlineStr">
        <is>
          <t>991001377139702656</t>
        </is>
      </c>
      <c r="AX1068" t="inlineStr">
        <is>
          <t>991001377139702656</t>
        </is>
      </c>
      <c r="AY1068" t="inlineStr">
        <is>
          <t>2262912850002656</t>
        </is>
      </c>
      <c r="AZ1068" t="inlineStr">
        <is>
          <t>BOOK</t>
        </is>
      </c>
      <c r="BB1068" t="inlineStr">
        <is>
          <t>9780865543164</t>
        </is>
      </c>
      <c r="BC1068" t="inlineStr">
        <is>
          <t>32285000937234</t>
        </is>
      </c>
      <c r="BD1068" t="inlineStr">
        <is>
          <t>893684276</t>
        </is>
      </c>
    </row>
    <row r="1069">
      <c r="A1069" t="inlineStr">
        <is>
          <t>No</t>
        </is>
      </c>
      <c r="B1069" t="inlineStr">
        <is>
          <t>BT738 .H29</t>
        </is>
      </c>
      <c r="C1069" t="inlineStr">
        <is>
          <t>0                      BT 0738000H  29</t>
        </is>
      </c>
      <c r="D1069" t="inlineStr">
        <is>
          <t>The Social Gospel in America, 1870-1920 / edited by Robert T. Handy.</t>
        </is>
      </c>
      <c r="F1069" t="inlineStr">
        <is>
          <t>No</t>
        </is>
      </c>
      <c r="G1069" t="inlineStr">
        <is>
          <t>1</t>
        </is>
      </c>
      <c r="H1069" t="inlineStr">
        <is>
          <t>No</t>
        </is>
      </c>
      <c r="I1069" t="inlineStr">
        <is>
          <t>No</t>
        </is>
      </c>
      <c r="J1069" t="inlineStr">
        <is>
          <t>0</t>
        </is>
      </c>
      <c r="K1069" t="inlineStr">
        <is>
          <t>Handy, Robert T. editor.</t>
        </is>
      </c>
      <c r="L1069" t="inlineStr">
        <is>
          <t>New York : Oxford University Press, 1966.</t>
        </is>
      </c>
      <c r="M1069" t="inlineStr">
        <is>
          <t>1966</t>
        </is>
      </c>
      <c r="O1069" t="inlineStr">
        <is>
          <t>eng</t>
        </is>
      </c>
      <c r="P1069" t="inlineStr">
        <is>
          <t>nyu</t>
        </is>
      </c>
      <c r="Q1069" t="inlineStr">
        <is>
          <t>A Library of Protestant thought</t>
        </is>
      </c>
      <c r="R1069" t="inlineStr">
        <is>
          <t xml:space="preserve">BT </t>
        </is>
      </c>
      <c r="S1069" t="n">
        <v>5</v>
      </c>
      <c r="T1069" t="n">
        <v>5</v>
      </c>
      <c r="U1069" t="inlineStr">
        <is>
          <t>2007-11-12</t>
        </is>
      </c>
      <c r="V1069" t="inlineStr">
        <is>
          <t>2007-11-12</t>
        </is>
      </c>
      <c r="W1069" t="inlineStr">
        <is>
          <t>1991-10-07</t>
        </is>
      </c>
      <c r="X1069" t="inlineStr">
        <is>
          <t>1991-10-07</t>
        </is>
      </c>
      <c r="Y1069" t="n">
        <v>1056</v>
      </c>
      <c r="Z1069" t="n">
        <v>979</v>
      </c>
      <c r="AA1069" t="n">
        <v>992</v>
      </c>
      <c r="AB1069" t="n">
        <v>8</v>
      </c>
      <c r="AC1069" t="n">
        <v>8</v>
      </c>
      <c r="AD1069" t="n">
        <v>47</v>
      </c>
      <c r="AE1069" t="n">
        <v>47</v>
      </c>
      <c r="AF1069" t="n">
        <v>19</v>
      </c>
      <c r="AG1069" t="n">
        <v>19</v>
      </c>
      <c r="AH1069" t="n">
        <v>9</v>
      </c>
      <c r="AI1069" t="n">
        <v>9</v>
      </c>
      <c r="AJ1069" t="n">
        <v>24</v>
      </c>
      <c r="AK1069" t="n">
        <v>24</v>
      </c>
      <c r="AL1069" t="n">
        <v>7</v>
      </c>
      <c r="AM1069" t="n">
        <v>7</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HYPERLINK("https://creighton-primo.hosted.exlibrisgroup.com/primo-explore/search?tab=default_tab&amp;search_scope=EVERYTHING&amp;vid=01CRU&amp;lang=en_US&amp;offset=0&amp;query=any,contains,991002645639702656","Catalog Record")</f>
        <v/>
      </c>
      <c r="AT1069">
        <f>HYPERLINK("http://www.worldcat.org/oclc/385750","WorldCat Record")</f>
        <v/>
      </c>
      <c r="AU1069" t="inlineStr">
        <is>
          <t>918619080:eng</t>
        </is>
      </c>
      <c r="AV1069" t="inlineStr">
        <is>
          <t>385750</t>
        </is>
      </c>
      <c r="AW1069" t="inlineStr">
        <is>
          <t>991002645639702656</t>
        </is>
      </c>
      <c r="AX1069" t="inlineStr">
        <is>
          <t>991002645639702656</t>
        </is>
      </c>
      <c r="AY1069" t="inlineStr">
        <is>
          <t>2259158220002656</t>
        </is>
      </c>
      <c r="AZ1069" t="inlineStr">
        <is>
          <t>BOOK</t>
        </is>
      </c>
      <c r="BC1069" t="inlineStr">
        <is>
          <t>32285000750009</t>
        </is>
      </c>
      <c r="BD1069" t="inlineStr">
        <is>
          <t>893591599</t>
        </is>
      </c>
    </row>
    <row r="1070">
      <c r="A1070" t="inlineStr">
        <is>
          <t>No</t>
        </is>
      </c>
      <c r="B1070" t="inlineStr">
        <is>
          <t>BT738 .L267 1984</t>
        </is>
      </c>
      <c r="C1070" t="inlineStr">
        <is>
          <t>0                      BT 0738000L  267         1984</t>
        </is>
      </c>
      <c r="D1070" t="inlineStr">
        <is>
          <t>Foundations for a social theology : praxis, process and salvation / Dermot A. Lane.</t>
        </is>
      </c>
      <c r="F1070" t="inlineStr">
        <is>
          <t>No</t>
        </is>
      </c>
      <c r="G1070" t="inlineStr">
        <is>
          <t>1</t>
        </is>
      </c>
      <c r="H1070" t="inlineStr">
        <is>
          <t>No</t>
        </is>
      </c>
      <c r="I1070" t="inlineStr">
        <is>
          <t>No</t>
        </is>
      </c>
      <c r="J1070" t="inlineStr">
        <is>
          <t>0</t>
        </is>
      </c>
      <c r="K1070" t="inlineStr">
        <is>
          <t>Lane, Dermot A., 1941-</t>
        </is>
      </c>
      <c r="L1070" t="inlineStr">
        <is>
          <t>New York : Paulist Press, c1984.</t>
        </is>
      </c>
      <c r="M1070" t="inlineStr">
        <is>
          <t>1984</t>
        </is>
      </c>
      <c r="O1070" t="inlineStr">
        <is>
          <t>eng</t>
        </is>
      </c>
      <c r="P1070" t="inlineStr">
        <is>
          <t>nyu</t>
        </is>
      </c>
      <c r="R1070" t="inlineStr">
        <is>
          <t xml:space="preserve">BT </t>
        </is>
      </c>
      <c r="S1070" t="n">
        <v>3</v>
      </c>
      <c r="T1070" t="n">
        <v>3</v>
      </c>
      <c r="U1070" t="inlineStr">
        <is>
          <t>2003-12-07</t>
        </is>
      </c>
      <c r="V1070" t="inlineStr">
        <is>
          <t>2003-12-07</t>
        </is>
      </c>
      <c r="W1070" t="inlineStr">
        <is>
          <t>1995-02-22</t>
        </is>
      </c>
      <c r="X1070" t="inlineStr">
        <is>
          <t>1995-02-22</t>
        </is>
      </c>
      <c r="Y1070" t="n">
        <v>297</v>
      </c>
      <c r="Z1070" t="n">
        <v>254</v>
      </c>
      <c r="AA1070" t="n">
        <v>268</v>
      </c>
      <c r="AB1070" t="n">
        <v>1</v>
      </c>
      <c r="AC1070" t="n">
        <v>1</v>
      </c>
      <c r="AD1070" t="n">
        <v>32</v>
      </c>
      <c r="AE1070" t="n">
        <v>32</v>
      </c>
      <c r="AF1070" t="n">
        <v>10</v>
      </c>
      <c r="AG1070" t="n">
        <v>10</v>
      </c>
      <c r="AH1070" t="n">
        <v>8</v>
      </c>
      <c r="AI1070" t="n">
        <v>8</v>
      </c>
      <c r="AJ1070" t="n">
        <v>26</v>
      </c>
      <c r="AK1070" t="n">
        <v>26</v>
      </c>
      <c r="AL1070" t="n">
        <v>0</v>
      </c>
      <c r="AM1070" t="n">
        <v>0</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HYPERLINK("https://creighton-primo.hosted.exlibrisgroup.com/primo-explore/search?tab=default_tab&amp;search_scope=EVERYTHING&amp;vid=01CRU&amp;lang=en_US&amp;offset=0&amp;query=any,contains,991000466839702656","Catalog Record")</f>
        <v/>
      </c>
      <c r="AT1070">
        <f>HYPERLINK("http://www.worldcat.org/oclc/10973378","WorldCat Record")</f>
        <v/>
      </c>
      <c r="AU1070" t="inlineStr">
        <is>
          <t>3182100:eng</t>
        </is>
      </c>
      <c r="AV1070" t="inlineStr">
        <is>
          <t>10973378</t>
        </is>
      </c>
      <c r="AW1070" t="inlineStr">
        <is>
          <t>991000466839702656</t>
        </is>
      </c>
      <c r="AX1070" t="inlineStr">
        <is>
          <t>991000466839702656</t>
        </is>
      </c>
      <c r="AY1070" t="inlineStr">
        <is>
          <t>2254816400002656</t>
        </is>
      </c>
      <c r="AZ1070" t="inlineStr">
        <is>
          <t>BOOK</t>
        </is>
      </c>
      <c r="BB1070" t="inlineStr">
        <is>
          <t>9780809126224</t>
        </is>
      </c>
      <c r="BC1070" t="inlineStr">
        <is>
          <t>32285001779304</t>
        </is>
      </c>
      <c r="BD1070" t="inlineStr">
        <is>
          <t>893620501</t>
        </is>
      </c>
    </row>
    <row r="1071">
      <c r="A1071" t="inlineStr">
        <is>
          <t>No</t>
        </is>
      </c>
      <c r="B1071" t="inlineStr">
        <is>
          <t>BT738 .P477 1996</t>
        </is>
      </c>
      <c r="C1071" t="inlineStr">
        <is>
          <t>0                      BT 0738000P  477         1996</t>
        </is>
      </c>
      <c r="D1071" t="inlineStr">
        <is>
          <t>A kingdom on earth : Anglo-American social Christianity, 1880-1940 / Paul T. Phillips.</t>
        </is>
      </c>
      <c r="F1071" t="inlineStr">
        <is>
          <t>No</t>
        </is>
      </c>
      <c r="G1071" t="inlineStr">
        <is>
          <t>1</t>
        </is>
      </c>
      <c r="H1071" t="inlineStr">
        <is>
          <t>No</t>
        </is>
      </c>
      <c r="I1071" t="inlineStr">
        <is>
          <t>No</t>
        </is>
      </c>
      <c r="J1071" t="inlineStr">
        <is>
          <t>0</t>
        </is>
      </c>
      <c r="K1071" t="inlineStr">
        <is>
          <t>Phillips, Paul T., 1942-</t>
        </is>
      </c>
      <c r="L1071" t="inlineStr">
        <is>
          <t>University Park, Pa. : Pennsylvania State University Press, c1996.</t>
        </is>
      </c>
      <c r="M1071" t="inlineStr">
        <is>
          <t>1996</t>
        </is>
      </c>
      <c r="O1071" t="inlineStr">
        <is>
          <t>eng</t>
        </is>
      </c>
      <c r="P1071" t="inlineStr">
        <is>
          <t>pau</t>
        </is>
      </c>
      <c r="R1071" t="inlineStr">
        <is>
          <t xml:space="preserve">BT </t>
        </is>
      </c>
      <c r="S1071" t="n">
        <v>4</v>
      </c>
      <c r="T1071" t="n">
        <v>4</v>
      </c>
      <c r="U1071" t="inlineStr">
        <is>
          <t>2007-11-12</t>
        </is>
      </c>
      <c r="V1071" t="inlineStr">
        <is>
          <t>2007-11-12</t>
        </is>
      </c>
      <c r="W1071" t="inlineStr">
        <is>
          <t>1996-06-07</t>
        </is>
      </c>
      <c r="X1071" t="inlineStr">
        <is>
          <t>1996-06-07</t>
        </is>
      </c>
      <c r="Y1071" t="n">
        <v>404</v>
      </c>
      <c r="Z1071" t="n">
        <v>332</v>
      </c>
      <c r="AA1071" t="n">
        <v>339</v>
      </c>
      <c r="AB1071" t="n">
        <v>3</v>
      </c>
      <c r="AC1071" t="n">
        <v>3</v>
      </c>
      <c r="AD1071" t="n">
        <v>26</v>
      </c>
      <c r="AE1071" t="n">
        <v>26</v>
      </c>
      <c r="AF1071" t="n">
        <v>9</v>
      </c>
      <c r="AG1071" t="n">
        <v>9</v>
      </c>
      <c r="AH1071" t="n">
        <v>6</v>
      </c>
      <c r="AI1071" t="n">
        <v>6</v>
      </c>
      <c r="AJ1071" t="n">
        <v>14</v>
      </c>
      <c r="AK1071" t="n">
        <v>14</v>
      </c>
      <c r="AL1071" t="n">
        <v>2</v>
      </c>
      <c r="AM1071" t="n">
        <v>2</v>
      </c>
      <c r="AN1071" t="n">
        <v>1</v>
      </c>
      <c r="AO1071" t="n">
        <v>1</v>
      </c>
      <c r="AP1071" t="inlineStr">
        <is>
          <t>No</t>
        </is>
      </c>
      <c r="AQ1071" t="inlineStr">
        <is>
          <t>Yes</t>
        </is>
      </c>
      <c r="AR1071">
        <f>HYPERLINK("http://catalog.hathitrust.org/Record/003043125","HathiTrust Record")</f>
        <v/>
      </c>
      <c r="AS1071">
        <f>HYPERLINK("https://creighton-primo.hosted.exlibrisgroup.com/primo-explore/search?tab=default_tab&amp;search_scope=EVERYTHING&amp;vid=01CRU&amp;lang=en_US&amp;offset=0&amp;query=any,contains,991002484349702656","Catalog Record")</f>
        <v/>
      </c>
      <c r="AT1071">
        <f>HYPERLINK("http://www.worldcat.org/oclc/32346882","WorldCat Record")</f>
        <v/>
      </c>
      <c r="AU1071" t="inlineStr">
        <is>
          <t>312550285:eng</t>
        </is>
      </c>
      <c r="AV1071" t="inlineStr">
        <is>
          <t>32346882</t>
        </is>
      </c>
      <c r="AW1071" t="inlineStr">
        <is>
          <t>991002484349702656</t>
        </is>
      </c>
      <c r="AX1071" t="inlineStr">
        <is>
          <t>991002484349702656</t>
        </is>
      </c>
      <c r="AY1071" t="inlineStr">
        <is>
          <t>2260524220002656</t>
        </is>
      </c>
      <c r="AZ1071" t="inlineStr">
        <is>
          <t>BOOK</t>
        </is>
      </c>
      <c r="BB1071" t="inlineStr">
        <is>
          <t>9780271014975</t>
        </is>
      </c>
      <c r="BC1071" t="inlineStr">
        <is>
          <t>32285002190014</t>
        </is>
      </c>
      <c r="BD1071" t="inlineStr">
        <is>
          <t>893517340</t>
        </is>
      </c>
    </row>
    <row r="1072">
      <c r="A1072" t="inlineStr">
        <is>
          <t>No</t>
        </is>
      </c>
      <c r="B1072" t="inlineStr">
        <is>
          <t>BT738 .R6</t>
        </is>
      </c>
      <c r="C1072" t="inlineStr">
        <is>
          <t>0                      BT 0738000R  6</t>
        </is>
      </c>
      <c r="D1072" t="inlineStr">
        <is>
          <t>Voluntary associations : a study of groups in free societies; essays in honor of James Luther Adams / Edited by D. B. Robertson.</t>
        </is>
      </c>
      <c r="F1072" t="inlineStr">
        <is>
          <t>No</t>
        </is>
      </c>
      <c r="G1072" t="inlineStr">
        <is>
          <t>1</t>
        </is>
      </c>
      <c r="H1072" t="inlineStr">
        <is>
          <t>No</t>
        </is>
      </c>
      <c r="I1072" t="inlineStr">
        <is>
          <t>No</t>
        </is>
      </c>
      <c r="J1072" t="inlineStr">
        <is>
          <t>0</t>
        </is>
      </c>
      <c r="K1072" t="inlineStr">
        <is>
          <t>Robertson, D. B. editor.</t>
        </is>
      </c>
      <c r="L1072" t="inlineStr">
        <is>
          <t>Richmond : John Knox Press, [1966]</t>
        </is>
      </c>
      <c r="M1072" t="inlineStr">
        <is>
          <t>1966</t>
        </is>
      </c>
      <c r="O1072" t="inlineStr">
        <is>
          <t>eng</t>
        </is>
      </c>
      <c r="P1072" t="inlineStr">
        <is>
          <t>vau</t>
        </is>
      </c>
      <c r="R1072" t="inlineStr">
        <is>
          <t xml:space="preserve">BT </t>
        </is>
      </c>
      <c r="S1072" t="n">
        <v>3</v>
      </c>
      <c r="T1072" t="n">
        <v>3</v>
      </c>
      <c r="U1072" t="inlineStr">
        <is>
          <t>1995-01-31</t>
        </is>
      </c>
      <c r="V1072" t="inlineStr">
        <is>
          <t>1995-01-31</t>
        </is>
      </c>
      <c r="W1072" t="inlineStr">
        <is>
          <t>1991-10-07</t>
        </is>
      </c>
      <c r="X1072" t="inlineStr">
        <is>
          <t>1991-10-07</t>
        </is>
      </c>
      <c r="Y1072" t="n">
        <v>570</v>
      </c>
      <c r="Z1072" t="n">
        <v>512</v>
      </c>
      <c r="AA1072" t="n">
        <v>518</v>
      </c>
      <c r="AB1072" t="n">
        <v>6</v>
      </c>
      <c r="AC1072" t="n">
        <v>6</v>
      </c>
      <c r="AD1072" t="n">
        <v>22</v>
      </c>
      <c r="AE1072" t="n">
        <v>22</v>
      </c>
      <c r="AF1072" t="n">
        <v>8</v>
      </c>
      <c r="AG1072" t="n">
        <v>8</v>
      </c>
      <c r="AH1072" t="n">
        <v>4</v>
      </c>
      <c r="AI1072" t="n">
        <v>4</v>
      </c>
      <c r="AJ1072" t="n">
        <v>10</v>
      </c>
      <c r="AK1072" t="n">
        <v>10</v>
      </c>
      <c r="AL1072" t="n">
        <v>5</v>
      </c>
      <c r="AM1072" t="n">
        <v>5</v>
      </c>
      <c r="AN1072" t="n">
        <v>0</v>
      </c>
      <c r="AO1072" t="n">
        <v>0</v>
      </c>
      <c r="AP1072" t="inlineStr">
        <is>
          <t>No</t>
        </is>
      </c>
      <c r="AQ1072" t="inlineStr">
        <is>
          <t>Yes</t>
        </is>
      </c>
      <c r="AR1072">
        <f>HYPERLINK("http://catalog.hathitrust.org/Record/001412539","HathiTrust Record")</f>
        <v/>
      </c>
      <c r="AS1072">
        <f>HYPERLINK("https://creighton-primo.hosted.exlibrisgroup.com/primo-explore/search?tab=default_tab&amp;search_scope=EVERYTHING&amp;vid=01CRU&amp;lang=en_US&amp;offset=0&amp;query=any,contains,991002642439702656","Catalog Record")</f>
        <v/>
      </c>
      <c r="AT1072">
        <f>HYPERLINK("http://www.worldcat.org/oclc/384815","WorldCat Record")</f>
        <v/>
      </c>
      <c r="AU1072" t="inlineStr">
        <is>
          <t>198868783:eng</t>
        </is>
      </c>
      <c r="AV1072" t="inlineStr">
        <is>
          <t>384815</t>
        </is>
      </c>
      <c r="AW1072" t="inlineStr">
        <is>
          <t>991002642439702656</t>
        </is>
      </c>
      <c r="AX1072" t="inlineStr">
        <is>
          <t>991002642439702656</t>
        </is>
      </c>
      <c r="AY1072" t="inlineStr">
        <is>
          <t>2258520950002656</t>
        </is>
      </c>
      <c r="AZ1072" t="inlineStr">
        <is>
          <t>BOOK</t>
        </is>
      </c>
      <c r="BC1072" t="inlineStr">
        <is>
          <t>32285000805100</t>
        </is>
      </c>
      <c r="BD1072" t="inlineStr">
        <is>
          <t>893262391</t>
        </is>
      </c>
    </row>
    <row r="1073">
      <c r="A1073" t="inlineStr">
        <is>
          <t>No</t>
        </is>
      </c>
      <c r="B1073" t="inlineStr">
        <is>
          <t>BT738 .S369</t>
        </is>
      </c>
      <c r="C1073" t="inlineStr">
        <is>
          <t>0                      BT 0738000S  369</t>
        </is>
      </c>
      <c r="D1073" t="inlineStr">
        <is>
          <t>Sect ideologies and social status / Gary Schwartz.</t>
        </is>
      </c>
      <c r="F1073" t="inlineStr">
        <is>
          <t>No</t>
        </is>
      </c>
      <c r="G1073" t="inlineStr">
        <is>
          <t>1</t>
        </is>
      </c>
      <c r="H1073" t="inlineStr">
        <is>
          <t>No</t>
        </is>
      </c>
      <c r="I1073" t="inlineStr">
        <is>
          <t>No</t>
        </is>
      </c>
      <c r="J1073" t="inlineStr">
        <is>
          <t>0</t>
        </is>
      </c>
      <c r="K1073" t="inlineStr">
        <is>
          <t>Schwartz, Gary.</t>
        </is>
      </c>
      <c r="L1073" t="inlineStr">
        <is>
          <t>Chicago : University of Chicago Press, [1970]</t>
        </is>
      </c>
      <c r="M1073" t="inlineStr">
        <is>
          <t>1970</t>
        </is>
      </c>
      <c r="O1073" t="inlineStr">
        <is>
          <t>eng</t>
        </is>
      </c>
      <c r="P1073" t="inlineStr">
        <is>
          <t>ilu</t>
        </is>
      </c>
      <c r="R1073" t="inlineStr">
        <is>
          <t xml:space="preserve">BT </t>
        </is>
      </c>
      <c r="S1073" t="n">
        <v>9</v>
      </c>
      <c r="T1073" t="n">
        <v>9</v>
      </c>
      <c r="U1073" t="inlineStr">
        <is>
          <t>2000-11-20</t>
        </is>
      </c>
      <c r="V1073" t="inlineStr">
        <is>
          <t>2000-11-20</t>
        </is>
      </c>
      <c r="W1073" t="inlineStr">
        <is>
          <t>1991-10-07</t>
        </is>
      </c>
      <c r="X1073" t="inlineStr">
        <is>
          <t>1991-10-07</t>
        </is>
      </c>
      <c r="Y1073" t="n">
        <v>685</v>
      </c>
      <c r="Z1073" t="n">
        <v>559</v>
      </c>
      <c r="AA1073" t="n">
        <v>564</v>
      </c>
      <c r="AB1073" t="n">
        <v>3</v>
      </c>
      <c r="AC1073" t="n">
        <v>3</v>
      </c>
      <c r="AD1073" t="n">
        <v>23</v>
      </c>
      <c r="AE1073" t="n">
        <v>23</v>
      </c>
      <c r="AF1073" t="n">
        <v>11</v>
      </c>
      <c r="AG1073" t="n">
        <v>11</v>
      </c>
      <c r="AH1073" t="n">
        <v>4</v>
      </c>
      <c r="AI1073" t="n">
        <v>4</v>
      </c>
      <c r="AJ1073" t="n">
        <v>13</v>
      </c>
      <c r="AK1073" t="n">
        <v>13</v>
      </c>
      <c r="AL1073" t="n">
        <v>2</v>
      </c>
      <c r="AM1073" t="n">
        <v>2</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HYPERLINK("https://creighton-primo.hosted.exlibrisgroup.com/primo-explore/search?tab=default_tab&amp;search_scope=EVERYTHING&amp;vid=01CRU&amp;lang=en_US&amp;offset=0&amp;query=any,contains,991000658959702656","Catalog Record")</f>
        <v/>
      </c>
      <c r="AT1073">
        <f>HYPERLINK("http://www.worldcat.org/oclc/116870","WorldCat Record")</f>
        <v/>
      </c>
      <c r="AU1073" t="inlineStr">
        <is>
          <t>1234932:eng</t>
        </is>
      </c>
      <c r="AV1073" t="inlineStr">
        <is>
          <t>116870</t>
        </is>
      </c>
      <c r="AW1073" t="inlineStr">
        <is>
          <t>991000658959702656</t>
        </is>
      </c>
      <c r="AX1073" t="inlineStr">
        <is>
          <t>991000658959702656</t>
        </is>
      </c>
      <c r="AY1073" t="inlineStr">
        <is>
          <t>2258439260002656</t>
        </is>
      </c>
      <c r="AZ1073" t="inlineStr">
        <is>
          <t>BOOK</t>
        </is>
      </c>
      <c r="BB1073" t="inlineStr">
        <is>
          <t>9780226742168</t>
        </is>
      </c>
      <c r="BC1073" t="inlineStr">
        <is>
          <t>32285000805126</t>
        </is>
      </c>
      <c r="BD1073" t="inlineStr">
        <is>
          <t>893865563</t>
        </is>
      </c>
    </row>
    <row r="1074">
      <c r="A1074" t="inlineStr">
        <is>
          <t>No</t>
        </is>
      </c>
      <c r="B1074" t="inlineStr">
        <is>
          <t>BT738 .S617 1994</t>
        </is>
      </c>
      <c r="C1074" t="inlineStr">
        <is>
          <t>0                      BT 0738000S  617         1994</t>
        </is>
      </c>
      <c r="D1074" t="inlineStr">
        <is>
          <t>Christian social ethics : a reader / edited by John Atherton.</t>
        </is>
      </c>
      <c r="F1074" t="inlineStr">
        <is>
          <t>No</t>
        </is>
      </c>
      <c r="G1074" t="inlineStr">
        <is>
          <t>1</t>
        </is>
      </c>
      <c r="H1074" t="inlineStr">
        <is>
          <t>No</t>
        </is>
      </c>
      <c r="I1074" t="inlineStr">
        <is>
          <t>No</t>
        </is>
      </c>
      <c r="J1074" t="inlineStr">
        <is>
          <t>0</t>
        </is>
      </c>
      <c r="K1074" t="inlineStr">
        <is>
          <t>Social Christianity.</t>
        </is>
      </c>
      <c r="L1074" t="inlineStr">
        <is>
          <t>Cleveland, Ohio : Pilgrim Press, 1994.</t>
        </is>
      </c>
      <c r="M1074" t="inlineStr">
        <is>
          <t>1994</t>
        </is>
      </c>
      <c r="O1074" t="inlineStr">
        <is>
          <t>eng</t>
        </is>
      </c>
      <c r="P1074" t="inlineStr">
        <is>
          <t>ohu</t>
        </is>
      </c>
      <c r="R1074" t="inlineStr">
        <is>
          <t xml:space="preserve">BT </t>
        </is>
      </c>
      <c r="S1074" t="n">
        <v>5</v>
      </c>
      <c r="T1074" t="n">
        <v>5</v>
      </c>
      <c r="U1074" t="inlineStr">
        <is>
          <t>1995-12-02</t>
        </is>
      </c>
      <c r="V1074" t="inlineStr">
        <is>
          <t>1995-12-02</t>
        </is>
      </c>
      <c r="W1074" t="inlineStr">
        <is>
          <t>1994-09-16</t>
        </is>
      </c>
      <c r="X1074" t="inlineStr">
        <is>
          <t>1994-09-16</t>
        </is>
      </c>
      <c r="Y1074" t="n">
        <v>201</v>
      </c>
      <c r="Z1074" t="n">
        <v>174</v>
      </c>
      <c r="AA1074" t="n">
        <v>178</v>
      </c>
      <c r="AB1074" t="n">
        <v>1</v>
      </c>
      <c r="AC1074" t="n">
        <v>1</v>
      </c>
      <c r="AD1074" t="n">
        <v>14</v>
      </c>
      <c r="AE1074" t="n">
        <v>14</v>
      </c>
      <c r="AF1074" t="n">
        <v>6</v>
      </c>
      <c r="AG1074" t="n">
        <v>6</v>
      </c>
      <c r="AH1074" t="n">
        <v>3</v>
      </c>
      <c r="AI1074" t="n">
        <v>3</v>
      </c>
      <c r="AJ1074" t="n">
        <v>11</v>
      </c>
      <c r="AK1074" t="n">
        <v>11</v>
      </c>
      <c r="AL1074" t="n">
        <v>0</v>
      </c>
      <c r="AM1074" t="n">
        <v>0</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HYPERLINK("https://creighton-primo.hosted.exlibrisgroup.com/primo-explore/search?tab=default_tab&amp;search_scope=EVERYTHING&amp;vid=01CRU&amp;lang=en_US&amp;offset=0&amp;query=any,contains,991002313199702656","Catalog Record")</f>
        <v/>
      </c>
      <c r="AT1074">
        <f>HYPERLINK("http://www.worldcat.org/oclc/30029783","WorldCat Record")</f>
        <v/>
      </c>
      <c r="AU1074" t="inlineStr">
        <is>
          <t>4846623607:eng</t>
        </is>
      </c>
      <c r="AV1074" t="inlineStr">
        <is>
          <t>30029783</t>
        </is>
      </c>
      <c r="AW1074" t="inlineStr">
        <is>
          <t>991002313199702656</t>
        </is>
      </c>
      <c r="AX1074" t="inlineStr">
        <is>
          <t>991002313199702656</t>
        </is>
      </c>
      <c r="AY1074" t="inlineStr">
        <is>
          <t>2259886220002656</t>
        </is>
      </c>
      <c r="AZ1074" t="inlineStr">
        <is>
          <t>BOOK</t>
        </is>
      </c>
      <c r="BB1074" t="inlineStr">
        <is>
          <t>9780829809992</t>
        </is>
      </c>
      <c r="BC1074" t="inlineStr">
        <is>
          <t>32285001945855</t>
        </is>
      </c>
      <c r="BD1074" t="inlineStr">
        <is>
          <t>893898616</t>
        </is>
      </c>
    </row>
    <row r="1075">
      <c r="A1075" t="inlineStr">
        <is>
          <t>No</t>
        </is>
      </c>
      <c r="B1075" t="inlineStr">
        <is>
          <t>BT738 .S65</t>
        </is>
      </c>
      <c r="C1075" t="inlineStr">
        <is>
          <t>0                      BT 0738000S  65</t>
        </is>
      </c>
      <c r="D1075" t="inlineStr">
        <is>
          <t>Spiritual well-being : sociological perspectives / edited by David O. Moberg.</t>
        </is>
      </c>
      <c r="F1075" t="inlineStr">
        <is>
          <t>No</t>
        </is>
      </c>
      <c r="G1075" t="inlineStr">
        <is>
          <t>1</t>
        </is>
      </c>
      <c r="H1075" t="inlineStr">
        <is>
          <t>No</t>
        </is>
      </c>
      <c r="I1075" t="inlineStr">
        <is>
          <t>No</t>
        </is>
      </c>
      <c r="J1075" t="inlineStr">
        <is>
          <t>0</t>
        </is>
      </c>
      <c r="L1075" t="inlineStr">
        <is>
          <t>Washington : University Press of America, c1979.</t>
        </is>
      </c>
      <c r="M1075" t="inlineStr">
        <is>
          <t>1979</t>
        </is>
      </c>
      <c r="O1075" t="inlineStr">
        <is>
          <t>eng</t>
        </is>
      </c>
      <c r="P1075" t="inlineStr">
        <is>
          <t>dcu</t>
        </is>
      </c>
      <c r="R1075" t="inlineStr">
        <is>
          <t xml:space="preserve">BT </t>
        </is>
      </c>
      <c r="S1075" t="n">
        <v>4</v>
      </c>
      <c r="T1075" t="n">
        <v>4</v>
      </c>
      <c r="U1075" t="inlineStr">
        <is>
          <t>1999-09-23</t>
        </is>
      </c>
      <c r="V1075" t="inlineStr">
        <is>
          <t>1999-09-23</t>
        </is>
      </c>
      <c r="W1075" t="inlineStr">
        <is>
          <t>1991-10-07</t>
        </is>
      </c>
      <c r="X1075" t="inlineStr">
        <is>
          <t>1991-10-07</t>
        </is>
      </c>
      <c r="Y1075" t="n">
        <v>231</v>
      </c>
      <c r="Z1075" t="n">
        <v>207</v>
      </c>
      <c r="AA1075" t="n">
        <v>208</v>
      </c>
      <c r="AB1075" t="n">
        <v>2</v>
      </c>
      <c r="AC1075" t="n">
        <v>2</v>
      </c>
      <c r="AD1075" t="n">
        <v>11</v>
      </c>
      <c r="AE1075" t="n">
        <v>11</v>
      </c>
      <c r="AF1075" t="n">
        <v>3</v>
      </c>
      <c r="AG1075" t="n">
        <v>3</v>
      </c>
      <c r="AH1075" t="n">
        <v>3</v>
      </c>
      <c r="AI1075" t="n">
        <v>3</v>
      </c>
      <c r="AJ1075" t="n">
        <v>8</v>
      </c>
      <c r="AK1075" t="n">
        <v>8</v>
      </c>
      <c r="AL1075" t="n">
        <v>1</v>
      </c>
      <c r="AM1075" t="n">
        <v>1</v>
      </c>
      <c r="AN1075" t="n">
        <v>0</v>
      </c>
      <c r="AO1075" t="n">
        <v>0</v>
      </c>
      <c r="AP1075" t="inlineStr">
        <is>
          <t>No</t>
        </is>
      </c>
      <c r="AQ1075" t="inlineStr">
        <is>
          <t>Yes</t>
        </is>
      </c>
      <c r="AR1075">
        <f>HYPERLINK("http://catalog.hathitrust.org/Record/006018542","HathiTrust Record")</f>
        <v/>
      </c>
      <c r="AS1075">
        <f>HYPERLINK("https://creighton-primo.hosted.exlibrisgroup.com/primo-explore/search?tab=default_tab&amp;search_scope=EVERYTHING&amp;vid=01CRU&amp;lang=en_US&amp;offset=0&amp;query=any,contains,991004842989702656","Catalog Record")</f>
        <v/>
      </c>
      <c r="AT1075">
        <f>HYPERLINK("http://www.worldcat.org/oclc/5521900","WorldCat Record")</f>
        <v/>
      </c>
      <c r="AU1075" t="inlineStr">
        <is>
          <t>889560658:eng</t>
        </is>
      </c>
      <c r="AV1075" t="inlineStr">
        <is>
          <t>5521900</t>
        </is>
      </c>
      <c r="AW1075" t="inlineStr">
        <is>
          <t>991004842989702656</t>
        </is>
      </c>
      <c r="AX1075" t="inlineStr">
        <is>
          <t>991004842989702656</t>
        </is>
      </c>
      <c r="AY1075" t="inlineStr">
        <is>
          <t>2259296980002656</t>
        </is>
      </c>
      <c r="AZ1075" t="inlineStr">
        <is>
          <t>BOOK</t>
        </is>
      </c>
      <c r="BB1075" t="inlineStr">
        <is>
          <t>9780819107657</t>
        </is>
      </c>
      <c r="BC1075" t="inlineStr">
        <is>
          <t>32285000805142</t>
        </is>
      </c>
      <c r="BD1075" t="inlineStr">
        <is>
          <t>893612837</t>
        </is>
      </c>
    </row>
    <row r="1076">
      <c r="A1076" t="inlineStr">
        <is>
          <t>No</t>
        </is>
      </c>
      <c r="B1076" t="inlineStr">
        <is>
          <t>BT738 .T36 1977</t>
        </is>
      </c>
      <c r="C1076" t="inlineStr">
        <is>
          <t>0                      BT 0738000T  36          1977</t>
        </is>
      </c>
      <c r="D1076" t="inlineStr">
        <is>
          <t>Christianity and social order / William Temple ; introduction by Ronald H. Preston.</t>
        </is>
      </c>
      <c r="F1076" t="inlineStr">
        <is>
          <t>No</t>
        </is>
      </c>
      <c r="G1076" t="inlineStr">
        <is>
          <t>1</t>
        </is>
      </c>
      <c r="H1076" t="inlineStr">
        <is>
          <t>No</t>
        </is>
      </c>
      <c r="I1076" t="inlineStr">
        <is>
          <t>No</t>
        </is>
      </c>
      <c r="J1076" t="inlineStr">
        <is>
          <t>0</t>
        </is>
      </c>
      <c r="K1076" t="inlineStr">
        <is>
          <t>Temple, William, 1881-1944.</t>
        </is>
      </c>
      <c r="L1076" t="inlineStr">
        <is>
          <t>New York : Seabury Press, 1977, c1976.</t>
        </is>
      </c>
      <c r="M1076" t="inlineStr">
        <is>
          <t>1977</t>
        </is>
      </c>
      <c r="O1076" t="inlineStr">
        <is>
          <t>eng</t>
        </is>
      </c>
      <c r="P1076" t="inlineStr">
        <is>
          <t>nyu</t>
        </is>
      </c>
      <c r="R1076" t="inlineStr">
        <is>
          <t xml:space="preserve">BT </t>
        </is>
      </c>
      <c r="S1076" t="n">
        <v>1</v>
      </c>
      <c r="T1076" t="n">
        <v>1</v>
      </c>
      <c r="U1076" t="inlineStr">
        <is>
          <t>1992-03-07</t>
        </is>
      </c>
      <c r="V1076" t="inlineStr">
        <is>
          <t>1992-03-07</t>
        </is>
      </c>
      <c r="W1076" t="inlineStr">
        <is>
          <t>1991-10-07</t>
        </is>
      </c>
      <c r="X1076" t="inlineStr">
        <is>
          <t>1991-10-07</t>
        </is>
      </c>
      <c r="Y1076" t="n">
        <v>188</v>
      </c>
      <c r="Z1076" t="n">
        <v>179</v>
      </c>
      <c r="AA1076" t="n">
        <v>515</v>
      </c>
      <c r="AB1076" t="n">
        <v>2</v>
      </c>
      <c r="AC1076" t="n">
        <v>7</v>
      </c>
      <c r="AD1076" t="n">
        <v>16</v>
      </c>
      <c r="AE1076" t="n">
        <v>35</v>
      </c>
      <c r="AF1076" t="n">
        <v>7</v>
      </c>
      <c r="AG1076" t="n">
        <v>13</v>
      </c>
      <c r="AH1076" t="n">
        <v>4</v>
      </c>
      <c r="AI1076" t="n">
        <v>8</v>
      </c>
      <c r="AJ1076" t="n">
        <v>9</v>
      </c>
      <c r="AK1076" t="n">
        <v>17</v>
      </c>
      <c r="AL1076" t="n">
        <v>1</v>
      </c>
      <c r="AM1076" t="n">
        <v>5</v>
      </c>
      <c r="AN1076" t="n">
        <v>0</v>
      </c>
      <c r="AO1076" t="n">
        <v>1</v>
      </c>
      <c r="AP1076" t="inlineStr">
        <is>
          <t>No</t>
        </is>
      </c>
      <c r="AQ1076" t="inlineStr">
        <is>
          <t>No</t>
        </is>
      </c>
      <c r="AS1076">
        <f>HYPERLINK("https://creighton-primo.hosted.exlibrisgroup.com/primo-explore/search?tab=default_tab&amp;search_scope=EVERYTHING&amp;vid=01CRU&amp;lang=en_US&amp;offset=0&amp;query=any,contains,991004244439702656","Catalog Record")</f>
        <v/>
      </c>
      <c r="AT1076">
        <f>HYPERLINK("http://www.worldcat.org/oclc/2797881","WorldCat Record")</f>
        <v/>
      </c>
      <c r="AU1076" t="inlineStr">
        <is>
          <t>2127521:eng</t>
        </is>
      </c>
      <c r="AV1076" t="inlineStr">
        <is>
          <t>2797881</t>
        </is>
      </c>
      <c r="AW1076" t="inlineStr">
        <is>
          <t>991004244439702656</t>
        </is>
      </c>
      <c r="AX1076" t="inlineStr">
        <is>
          <t>991004244439702656</t>
        </is>
      </c>
      <c r="AY1076" t="inlineStr">
        <is>
          <t>2265620550002656</t>
        </is>
      </c>
      <c r="AZ1076" t="inlineStr">
        <is>
          <t>BOOK</t>
        </is>
      </c>
      <c r="BB1076" t="inlineStr">
        <is>
          <t>9780816403486</t>
        </is>
      </c>
      <c r="BC1076" t="inlineStr">
        <is>
          <t>32285000805167</t>
        </is>
      </c>
      <c r="BD1076" t="inlineStr">
        <is>
          <t>893349782</t>
        </is>
      </c>
    </row>
    <row r="1077">
      <c r="A1077" t="inlineStr">
        <is>
          <t>No</t>
        </is>
      </c>
      <c r="B1077" t="inlineStr">
        <is>
          <t>BT738 .T54 1971</t>
        </is>
      </c>
      <c r="C1077" t="inlineStr">
        <is>
          <t>0                      BT 0738000T  54          1971</t>
        </is>
      </c>
      <c r="D1077" t="inlineStr">
        <is>
          <t>Political expectation / Paul Tillich.</t>
        </is>
      </c>
      <c r="F1077" t="inlineStr">
        <is>
          <t>No</t>
        </is>
      </c>
      <c r="G1077" t="inlineStr">
        <is>
          <t>1</t>
        </is>
      </c>
      <c r="H1077" t="inlineStr">
        <is>
          <t>No</t>
        </is>
      </c>
      <c r="I1077" t="inlineStr">
        <is>
          <t>No</t>
        </is>
      </c>
      <c r="J1077" t="inlineStr">
        <is>
          <t>0</t>
        </is>
      </c>
      <c r="K1077" t="inlineStr">
        <is>
          <t>Tillich, Paul, 1886-1965.</t>
        </is>
      </c>
      <c r="L1077" t="inlineStr">
        <is>
          <t>New York : Harper &amp; Row, [1971]</t>
        </is>
      </c>
      <c r="M1077" t="inlineStr">
        <is>
          <t>1971</t>
        </is>
      </c>
      <c r="N1077" t="inlineStr">
        <is>
          <t>[1st ed.]</t>
        </is>
      </c>
      <c r="O1077" t="inlineStr">
        <is>
          <t>eng</t>
        </is>
      </c>
      <c r="P1077" t="inlineStr">
        <is>
          <t>nyu</t>
        </is>
      </c>
      <c r="R1077" t="inlineStr">
        <is>
          <t xml:space="preserve">BT </t>
        </is>
      </c>
      <c r="S1077" t="n">
        <v>1</v>
      </c>
      <c r="T1077" t="n">
        <v>1</v>
      </c>
      <c r="U1077" t="inlineStr">
        <is>
          <t>1993-10-19</t>
        </is>
      </c>
      <c r="V1077" t="inlineStr">
        <is>
          <t>1993-10-19</t>
        </is>
      </c>
      <c r="W1077" t="inlineStr">
        <is>
          <t>1990-06-06</t>
        </is>
      </c>
      <c r="X1077" t="inlineStr">
        <is>
          <t>1990-06-06</t>
        </is>
      </c>
      <c r="Y1077" t="n">
        <v>978</v>
      </c>
      <c r="Z1077" t="n">
        <v>902</v>
      </c>
      <c r="AA1077" t="n">
        <v>997</v>
      </c>
      <c r="AB1077" t="n">
        <v>9</v>
      </c>
      <c r="AC1077" t="n">
        <v>9</v>
      </c>
      <c r="AD1077" t="n">
        <v>43</v>
      </c>
      <c r="AE1077" t="n">
        <v>46</v>
      </c>
      <c r="AF1077" t="n">
        <v>17</v>
      </c>
      <c r="AG1077" t="n">
        <v>19</v>
      </c>
      <c r="AH1077" t="n">
        <v>10</v>
      </c>
      <c r="AI1077" t="n">
        <v>10</v>
      </c>
      <c r="AJ1077" t="n">
        <v>18</v>
      </c>
      <c r="AK1077" t="n">
        <v>20</v>
      </c>
      <c r="AL1077" t="n">
        <v>8</v>
      </c>
      <c r="AM1077" t="n">
        <v>8</v>
      </c>
      <c r="AN1077" t="n">
        <v>0</v>
      </c>
      <c r="AO1077" t="n">
        <v>0</v>
      </c>
      <c r="AP1077" t="inlineStr">
        <is>
          <t>No</t>
        </is>
      </c>
      <c r="AQ1077" t="inlineStr">
        <is>
          <t>Yes</t>
        </is>
      </c>
      <c r="AR1077">
        <f>HYPERLINK("http://catalog.hathitrust.org/Record/001412551","HathiTrust Record")</f>
        <v/>
      </c>
      <c r="AS1077">
        <f>HYPERLINK("https://creighton-primo.hosted.exlibrisgroup.com/primo-explore/search?tab=default_tab&amp;search_scope=EVERYTHING&amp;vid=01CRU&amp;lang=en_US&amp;offset=0&amp;query=any,contains,991000797019702656","Catalog Record")</f>
        <v/>
      </c>
      <c r="AT1077">
        <f>HYPERLINK("http://www.worldcat.org/oclc/137521","WorldCat Record")</f>
        <v/>
      </c>
      <c r="AU1077" t="inlineStr">
        <is>
          <t>1290540:eng</t>
        </is>
      </c>
      <c r="AV1077" t="inlineStr">
        <is>
          <t>137521</t>
        </is>
      </c>
      <c r="AW1077" t="inlineStr">
        <is>
          <t>991000797019702656</t>
        </is>
      </c>
      <c r="AX1077" t="inlineStr">
        <is>
          <t>991000797019702656</t>
        </is>
      </c>
      <c r="AY1077" t="inlineStr">
        <is>
          <t>2262206310002656</t>
        </is>
      </c>
      <c r="AZ1077" t="inlineStr">
        <is>
          <t>BOOK</t>
        </is>
      </c>
      <c r="BC1077" t="inlineStr">
        <is>
          <t>32285000022656</t>
        </is>
      </c>
      <c r="BD1077" t="inlineStr">
        <is>
          <t>893771964</t>
        </is>
      </c>
    </row>
    <row r="1078">
      <c r="A1078" t="inlineStr">
        <is>
          <t>No</t>
        </is>
      </c>
      <c r="B1078" t="inlineStr">
        <is>
          <t>BT738 .W342 1991</t>
        </is>
      </c>
      <c r="C1078" t="inlineStr">
        <is>
          <t>0                      BT 0738000W  342         1991</t>
        </is>
      </c>
      <c r="D1078" t="inlineStr">
        <is>
          <t>Revolution, economics, and religion : Christian political economy, 1798-1833 / A.M.C. Waterman.</t>
        </is>
      </c>
      <c r="F1078" t="inlineStr">
        <is>
          <t>No</t>
        </is>
      </c>
      <c r="G1078" t="inlineStr">
        <is>
          <t>1</t>
        </is>
      </c>
      <c r="H1078" t="inlineStr">
        <is>
          <t>No</t>
        </is>
      </c>
      <c r="I1078" t="inlineStr">
        <is>
          <t>No</t>
        </is>
      </c>
      <c r="J1078" t="inlineStr">
        <is>
          <t>0</t>
        </is>
      </c>
      <c r="K1078" t="inlineStr">
        <is>
          <t>Waterman, Anthony Michael C.</t>
        </is>
      </c>
      <c r="L1078" t="inlineStr">
        <is>
          <t>Cambridge [England] ; New York : Cambridge University Press, 1991.</t>
        </is>
      </c>
      <c r="M1078" t="inlineStr">
        <is>
          <t>1991</t>
        </is>
      </c>
      <c r="O1078" t="inlineStr">
        <is>
          <t>eng</t>
        </is>
      </c>
      <c r="P1078" t="inlineStr">
        <is>
          <t>enk</t>
        </is>
      </c>
      <c r="R1078" t="inlineStr">
        <is>
          <t xml:space="preserve">BT </t>
        </is>
      </c>
      <c r="S1078" t="n">
        <v>8</v>
      </c>
      <c r="T1078" t="n">
        <v>8</v>
      </c>
      <c r="U1078" t="inlineStr">
        <is>
          <t>1999-11-21</t>
        </is>
      </c>
      <c r="V1078" t="inlineStr">
        <is>
          <t>1999-11-21</t>
        </is>
      </c>
      <c r="W1078" t="inlineStr">
        <is>
          <t>1992-05-14</t>
        </is>
      </c>
      <c r="X1078" t="inlineStr">
        <is>
          <t>1992-05-14</t>
        </is>
      </c>
      <c r="Y1078" t="n">
        <v>317</v>
      </c>
      <c r="Z1078" t="n">
        <v>231</v>
      </c>
      <c r="AA1078" t="n">
        <v>250</v>
      </c>
      <c r="AB1078" t="n">
        <v>3</v>
      </c>
      <c r="AC1078" t="n">
        <v>3</v>
      </c>
      <c r="AD1078" t="n">
        <v>15</v>
      </c>
      <c r="AE1078" t="n">
        <v>15</v>
      </c>
      <c r="AF1078" t="n">
        <v>3</v>
      </c>
      <c r="AG1078" t="n">
        <v>3</v>
      </c>
      <c r="AH1078" t="n">
        <v>5</v>
      </c>
      <c r="AI1078" t="n">
        <v>5</v>
      </c>
      <c r="AJ1078" t="n">
        <v>9</v>
      </c>
      <c r="AK1078" t="n">
        <v>9</v>
      </c>
      <c r="AL1078" t="n">
        <v>2</v>
      </c>
      <c r="AM1078" t="n">
        <v>2</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HYPERLINK("https://creighton-primo.hosted.exlibrisgroup.com/primo-explore/search?tab=default_tab&amp;search_scope=EVERYTHING&amp;vid=01CRU&amp;lang=en_US&amp;offset=0&amp;query=any,contains,991001770039702656","Catalog Record")</f>
        <v/>
      </c>
      <c r="AT1078">
        <f>HYPERLINK("http://www.worldcat.org/oclc/22347341","WorldCat Record")</f>
        <v/>
      </c>
      <c r="AU1078" t="inlineStr">
        <is>
          <t>836731987:eng</t>
        </is>
      </c>
      <c r="AV1078" t="inlineStr">
        <is>
          <t>22347341</t>
        </is>
      </c>
      <c r="AW1078" t="inlineStr">
        <is>
          <t>991001770039702656</t>
        </is>
      </c>
      <c r="AX1078" t="inlineStr">
        <is>
          <t>991001770039702656</t>
        </is>
      </c>
      <c r="AY1078" t="inlineStr">
        <is>
          <t>2261540980002656</t>
        </is>
      </c>
      <c r="AZ1078" t="inlineStr">
        <is>
          <t>BOOK</t>
        </is>
      </c>
      <c r="BB1078" t="inlineStr">
        <is>
          <t>9780521394475</t>
        </is>
      </c>
      <c r="BC1078" t="inlineStr">
        <is>
          <t>32285001115566</t>
        </is>
      </c>
      <c r="BD1078" t="inlineStr">
        <is>
          <t>893690898</t>
        </is>
      </c>
    </row>
    <row r="1079">
      <c r="A1079" t="inlineStr">
        <is>
          <t>No</t>
        </is>
      </c>
      <c r="B1079" t="inlineStr">
        <is>
          <t>BT738 .W45</t>
        </is>
      </c>
      <c r="C1079" t="inlineStr">
        <is>
          <t>0                      BT 0738000W  45</t>
        </is>
      </c>
      <c r="D1079" t="inlineStr">
        <is>
          <t>The social gospel : religion and reform in changing America / Ronald C. White, Jr. and C. Howard Hopkins ; with an essay by John C. Bennett.</t>
        </is>
      </c>
      <c r="F1079" t="inlineStr">
        <is>
          <t>No</t>
        </is>
      </c>
      <c r="G1079" t="inlineStr">
        <is>
          <t>1</t>
        </is>
      </c>
      <c r="H1079" t="inlineStr">
        <is>
          <t>No</t>
        </is>
      </c>
      <c r="I1079" t="inlineStr">
        <is>
          <t>No</t>
        </is>
      </c>
      <c r="J1079" t="inlineStr">
        <is>
          <t>0</t>
        </is>
      </c>
      <c r="K1079" t="inlineStr">
        <is>
          <t>White, Ronald C. (Ronald Cedric), 1939-</t>
        </is>
      </c>
      <c r="L1079" t="inlineStr">
        <is>
          <t>Philadelphia : Temple University Press, 1976.</t>
        </is>
      </c>
      <c r="M1079" t="inlineStr">
        <is>
          <t>1976</t>
        </is>
      </c>
      <c r="O1079" t="inlineStr">
        <is>
          <t>eng</t>
        </is>
      </c>
      <c r="P1079" t="inlineStr">
        <is>
          <t>pau</t>
        </is>
      </c>
      <c r="R1079" t="inlineStr">
        <is>
          <t xml:space="preserve">BT </t>
        </is>
      </c>
      <c r="S1079" t="n">
        <v>3</v>
      </c>
      <c r="T1079" t="n">
        <v>3</v>
      </c>
      <c r="U1079" t="inlineStr">
        <is>
          <t>2004-07-07</t>
        </is>
      </c>
      <c r="V1079" t="inlineStr">
        <is>
          <t>2004-07-07</t>
        </is>
      </c>
      <c r="W1079" t="inlineStr">
        <is>
          <t>1991-10-07</t>
        </is>
      </c>
      <c r="X1079" t="inlineStr">
        <is>
          <t>1991-10-07</t>
        </is>
      </c>
      <c r="Y1079" t="n">
        <v>937</v>
      </c>
      <c r="Z1079" t="n">
        <v>843</v>
      </c>
      <c r="AA1079" t="n">
        <v>843</v>
      </c>
      <c r="AB1079" t="n">
        <v>7</v>
      </c>
      <c r="AC1079" t="n">
        <v>7</v>
      </c>
      <c r="AD1079" t="n">
        <v>45</v>
      </c>
      <c r="AE1079" t="n">
        <v>45</v>
      </c>
      <c r="AF1079" t="n">
        <v>19</v>
      </c>
      <c r="AG1079" t="n">
        <v>19</v>
      </c>
      <c r="AH1079" t="n">
        <v>10</v>
      </c>
      <c r="AI1079" t="n">
        <v>10</v>
      </c>
      <c r="AJ1079" t="n">
        <v>22</v>
      </c>
      <c r="AK1079" t="n">
        <v>22</v>
      </c>
      <c r="AL1079" t="n">
        <v>6</v>
      </c>
      <c r="AM1079" t="n">
        <v>6</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HYPERLINK("https://creighton-primo.hosted.exlibrisgroup.com/primo-explore/search?tab=default_tab&amp;search_scope=EVERYTHING&amp;vid=01CRU&amp;lang=en_US&amp;offset=0&amp;query=any,contains,991004070219702656","Catalog Record")</f>
        <v/>
      </c>
      <c r="AT1079">
        <f>HYPERLINK("http://www.worldcat.org/oclc/2298406","WorldCat Record")</f>
        <v/>
      </c>
      <c r="AU1079" t="inlineStr">
        <is>
          <t>1008536804:eng</t>
        </is>
      </c>
      <c r="AV1079" t="inlineStr">
        <is>
          <t>2298406</t>
        </is>
      </c>
      <c r="AW1079" t="inlineStr">
        <is>
          <t>991004070219702656</t>
        </is>
      </c>
      <c r="AX1079" t="inlineStr">
        <is>
          <t>991004070219702656</t>
        </is>
      </c>
      <c r="AY1079" t="inlineStr">
        <is>
          <t>2265956210002656</t>
        </is>
      </c>
      <c r="AZ1079" t="inlineStr">
        <is>
          <t>BOOK</t>
        </is>
      </c>
      <c r="BB1079" t="inlineStr">
        <is>
          <t>9780877220831</t>
        </is>
      </c>
      <c r="BC1079" t="inlineStr">
        <is>
          <t>32285000805183</t>
        </is>
      </c>
      <c r="BD1079" t="inlineStr">
        <is>
          <t>893611886</t>
        </is>
      </c>
    </row>
    <row r="1080">
      <c r="A1080" t="inlineStr">
        <is>
          <t>No</t>
        </is>
      </c>
      <c r="B1080" t="inlineStr">
        <is>
          <t>BT738 .W46 1982</t>
        </is>
      </c>
      <c r="C1080" t="inlineStr">
        <is>
          <t>0                      BT 0738000W  46          1982</t>
        </is>
      </c>
      <c r="D1080" t="inlineStr">
        <is>
          <t>Community of faith : models and strategies for building Christian communities / Evelyn Eaton Whitehead and James D. Whitehead.</t>
        </is>
      </c>
      <c r="F1080" t="inlineStr">
        <is>
          <t>No</t>
        </is>
      </c>
      <c r="G1080" t="inlineStr">
        <is>
          <t>1</t>
        </is>
      </c>
      <c r="H1080" t="inlineStr">
        <is>
          <t>No</t>
        </is>
      </c>
      <c r="I1080" t="inlineStr">
        <is>
          <t>No</t>
        </is>
      </c>
      <c r="J1080" t="inlineStr">
        <is>
          <t>0</t>
        </is>
      </c>
      <c r="K1080" t="inlineStr">
        <is>
          <t>Whitehead, Evelyn Eaton.</t>
        </is>
      </c>
      <c r="L1080" t="inlineStr">
        <is>
          <t>New York : Seabury Press, 1982.</t>
        </is>
      </c>
      <c r="M1080" t="inlineStr">
        <is>
          <t>1982</t>
        </is>
      </c>
      <c r="O1080" t="inlineStr">
        <is>
          <t>eng</t>
        </is>
      </c>
      <c r="P1080" t="inlineStr">
        <is>
          <t>nyu</t>
        </is>
      </c>
      <c r="R1080" t="inlineStr">
        <is>
          <t xml:space="preserve">BT </t>
        </is>
      </c>
      <c r="S1080" t="n">
        <v>3</v>
      </c>
      <c r="T1080" t="n">
        <v>3</v>
      </c>
      <c r="U1080" t="inlineStr">
        <is>
          <t>1996-07-11</t>
        </is>
      </c>
      <c r="V1080" t="inlineStr">
        <is>
          <t>1996-07-11</t>
        </is>
      </c>
      <c r="W1080" t="inlineStr">
        <is>
          <t>1991-10-07</t>
        </is>
      </c>
      <c r="X1080" t="inlineStr">
        <is>
          <t>1991-10-07</t>
        </is>
      </c>
      <c r="Y1080" t="n">
        <v>271</v>
      </c>
      <c r="Z1080" t="n">
        <v>235</v>
      </c>
      <c r="AA1080" t="n">
        <v>241</v>
      </c>
      <c r="AB1080" t="n">
        <v>2</v>
      </c>
      <c r="AC1080" t="n">
        <v>2</v>
      </c>
      <c r="AD1080" t="n">
        <v>25</v>
      </c>
      <c r="AE1080" t="n">
        <v>26</v>
      </c>
      <c r="AF1080" t="n">
        <v>9</v>
      </c>
      <c r="AG1080" t="n">
        <v>9</v>
      </c>
      <c r="AH1080" t="n">
        <v>5</v>
      </c>
      <c r="AI1080" t="n">
        <v>6</v>
      </c>
      <c r="AJ1080" t="n">
        <v>17</v>
      </c>
      <c r="AK1080" t="n">
        <v>18</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HYPERLINK("https://creighton-primo.hosted.exlibrisgroup.com/primo-explore/search?tab=default_tab&amp;search_scope=EVERYTHING&amp;vid=01CRU&amp;lang=en_US&amp;offset=0&amp;query=any,contains,991005183999702656","Catalog Record")</f>
        <v/>
      </c>
      <c r="AT1080">
        <f>HYPERLINK("http://www.worldcat.org/oclc/7948635","WorldCat Record")</f>
        <v/>
      </c>
      <c r="AU1080" t="inlineStr">
        <is>
          <t>3901243110:eng</t>
        </is>
      </c>
      <c r="AV1080" t="inlineStr">
        <is>
          <t>7948635</t>
        </is>
      </c>
      <c r="AW1080" t="inlineStr">
        <is>
          <t>991005183999702656</t>
        </is>
      </c>
      <c r="AX1080" t="inlineStr">
        <is>
          <t>991005183999702656</t>
        </is>
      </c>
      <c r="AY1080" t="inlineStr">
        <is>
          <t>2267089220002656</t>
        </is>
      </c>
      <c r="AZ1080" t="inlineStr">
        <is>
          <t>BOOK</t>
        </is>
      </c>
      <c r="BB1080" t="inlineStr">
        <is>
          <t>9780816423705</t>
        </is>
      </c>
      <c r="BC1080" t="inlineStr">
        <is>
          <t>32285000805191</t>
        </is>
      </c>
      <c r="BD1080" t="inlineStr">
        <is>
          <t>893443545</t>
        </is>
      </c>
    </row>
    <row r="1081">
      <c r="A1081" t="inlineStr">
        <is>
          <t>No</t>
        </is>
      </c>
      <c r="B1081" t="inlineStr">
        <is>
          <t>BT738 .W47</t>
        </is>
      </c>
      <c r="C1081" t="inlineStr">
        <is>
          <t>0                      BT 0738000W  47</t>
        </is>
      </c>
      <c r="D1081" t="inlineStr">
        <is>
          <t>Culture and liturgy / Brian Wicker.</t>
        </is>
      </c>
      <c r="F1081" t="inlineStr">
        <is>
          <t>No</t>
        </is>
      </c>
      <c r="G1081" t="inlineStr">
        <is>
          <t>1</t>
        </is>
      </c>
      <c r="H1081" t="inlineStr">
        <is>
          <t>No</t>
        </is>
      </c>
      <c r="I1081" t="inlineStr">
        <is>
          <t>No</t>
        </is>
      </c>
      <c r="J1081" t="inlineStr">
        <is>
          <t>0</t>
        </is>
      </c>
      <c r="K1081" t="inlineStr">
        <is>
          <t>Wicker, Brian, 1929-</t>
        </is>
      </c>
      <c r="L1081" t="inlineStr">
        <is>
          <t>New York : Sheed and Ward, 1963.</t>
        </is>
      </c>
      <c r="M1081" t="inlineStr">
        <is>
          <t>1963</t>
        </is>
      </c>
      <c r="O1081" t="inlineStr">
        <is>
          <t>eng</t>
        </is>
      </c>
      <c r="P1081" t="inlineStr">
        <is>
          <t>nyu</t>
        </is>
      </c>
      <c r="R1081" t="inlineStr">
        <is>
          <t xml:space="preserve">BT </t>
        </is>
      </c>
      <c r="S1081" t="n">
        <v>4</v>
      </c>
      <c r="T1081" t="n">
        <v>4</v>
      </c>
      <c r="U1081" t="inlineStr">
        <is>
          <t>1998-03-26</t>
        </is>
      </c>
      <c r="V1081" t="inlineStr">
        <is>
          <t>1998-03-26</t>
        </is>
      </c>
      <c r="W1081" t="inlineStr">
        <is>
          <t>1991-10-07</t>
        </is>
      </c>
      <c r="X1081" t="inlineStr">
        <is>
          <t>1991-10-07</t>
        </is>
      </c>
      <c r="Y1081" t="n">
        <v>173</v>
      </c>
      <c r="Z1081" t="n">
        <v>161</v>
      </c>
      <c r="AA1081" t="n">
        <v>210</v>
      </c>
      <c r="AB1081" t="n">
        <v>2</v>
      </c>
      <c r="AC1081" t="n">
        <v>2</v>
      </c>
      <c r="AD1081" t="n">
        <v>22</v>
      </c>
      <c r="AE1081" t="n">
        <v>27</v>
      </c>
      <c r="AF1081" t="n">
        <v>6</v>
      </c>
      <c r="AG1081" t="n">
        <v>8</v>
      </c>
      <c r="AH1081" t="n">
        <v>7</v>
      </c>
      <c r="AI1081" t="n">
        <v>8</v>
      </c>
      <c r="AJ1081" t="n">
        <v>17</v>
      </c>
      <c r="AK1081" t="n">
        <v>21</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HYPERLINK("https://creighton-primo.hosted.exlibrisgroup.com/primo-explore/search?tab=default_tab&amp;search_scope=EVERYTHING&amp;vid=01CRU&amp;lang=en_US&amp;offset=0&amp;query=any,contains,991003117699702656","Catalog Record")</f>
        <v/>
      </c>
      <c r="AT1081">
        <f>HYPERLINK("http://www.worldcat.org/oclc/663892","WorldCat Record")</f>
        <v/>
      </c>
      <c r="AU1081" t="inlineStr">
        <is>
          <t>1666057:eng</t>
        </is>
      </c>
      <c r="AV1081" t="inlineStr">
        <is>
          <t>663892</t>
        </is>
      </c>
      <c r="AW1081" t="inlineStr">
        <is>
          <t>991003117699702656</t>
        </is>
      </c>
      <c r="AX1081" t="inlineStr">
        <is>
          <t>991003117699702656</t>
        </is>
      </c>
      <c r="AY1081" t="inlineStr">
        <is>
          <t>2269979320002656</t>
        </is>
      </c>
      <c r="AZ1081" t="inlineStr">
        <is>
          <t>BOOK</t>
        </is>
      </c>
      <c r="BC1081" t="inlineStr">
        <is>
          <t>32285000805209</t>
        </is>
      </c>
      <c r="BD1081" t="inlineStr">
        <is>
          <t>893617022</t>
        </is>
      </c>
    </row>
    <row r="1082">
      <c r="A1082" t="inlineStr">
        <is>
          <t>No</t>
        </is>
      </c>
      <c r="B1082" t="inlineStr">
        <is>
          <t>BT738 .W49</t>
        </is>
      </c>
      <c r="C1082" t="inlineStr">
        <is>
          <t>0                      BT 0738000W  49</t>
        </is>
      </c>
      <c r="D1082" t="inlineStr">
        <is>
          <t>Kerygma, eschatology, and social ethics / by Amos N. Wilder.</t>
        </is>
      </c>
      <c r="F1082" t="inlineStr">
        <is>
          <t>No</t>
        </is>
      </c>
      <c r="G1082" t="inlineStr">
        <is>
          <t>1</t>
        </is>
      </c>
      <c r="H1082" t="inlineStr">
        <is>
          <t>No</t>
        </is>
      </c>
      <c r="I1082" t="inlineStr">
        <is>
          <t>No</t>
        </is>
      </c>
      <c r="J1082" t="inlineStr">
        <is>
          <t>0</t>
        </is>
      </c>
      <c r="K1082" t="inlineStr">
        <is>
          <t>Wilder, Amos N. (Amos Niven), 1895-1993.</t>
        </is>
      </c>
      <c r="L1082" t="inlineStr">
        <is>
          <t>Philadelphia : Fortress Press, [1966, c1965]</t>
        </is>
      </c>
      <c r="M1082" t="inlineStr">
        <is>
          <t>1966</t>
        </is>
      </c>
      <c r="O1082" t="inlineStr">
        <is>
          <t>eng</t>
        </is>
      </c>
      <c r="P1082" t="inlineStr">
        <is>
          <t>pau</t>
        </is>
      </c>
      <c r="Q1082" t="inlineStr">
        <is>
          <t>Facet books. Social ethics series ; 12</t>
        </is>
      </c>
      <c r="R1082" t="inlineStr">
        <is>
          <t xml:space="preserve">BT </t>
        </is>
      </c>
      <c r="S1082" t="n">
        <v>1</v>
      </c>
      <c r="T1082" t="n">
        <v>1</v>
      </c>
      <c r="U1082" t="inlineStr">
        <is>
          <t>2006-02-07</t>
        </is>
      </c>
      <c r="V1082" t="inlineStr">
        <is>
          <t>2006-02-07</t>
        </is>
      </c>
      <c r="W1082" t="inlineStr">
        <is>
          <t>1990-02-02</t>
        </is>
      </c>
      <c r="X1082" t="inlineStr">
        <is>
          <t>1990-02-02</t>
        </is>
      </c>
      <c r="Y1082" t="n">
        <v>286</v>
      </c>
      <c r="Z1082" t="n">
        <v>250</v>
      </c>
      <c r="AA1082" t="n">
        <v>250</v>
      </c>
      <c r="AB1082" t="n">
        <v>2</v>
      </c>
      <c r="AC1082" t="n">
        <v>2</v>
      </c>
      <c r="AD1082" t="n">
        <v>19</v>
      </c>
      <c r="AE1082" t="n">
        <v>19</v>
      </c>
      <c r="AF1082" t="n">
        <v>6</v>
      </c>
      <c r="AG1082" t="n">
        <v>6</v>
      </c>
      <c r="AH1082" t="n">
        <v>5</v>
      </c>
      <c r="AI1082" t="n">
        <v>5</v>
      </c>
      <c r="AJ1082" t="n">
        <v>13</v>
      </c>
      <c r="AK1082" t="n">
        <v>13</v>
      </c>
      <c r="AL1082" t="n">
        <v>1</v>
      </c>
      <c r="AM1082" t="n">
        <v>1</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HYPERLINK("https://creighton-primo.hosted.exlibrisgroup.com/primo-explore/search?tab=default_tab&amp;search_scope=EVERYTHING&amp;vid=01CRU&amp;lang=en_US&amp;offset=0&amp;query=any,contains,991002645399702656","Catalog Record")</f>
        <v/>
      </c>
      <c r="AT1082">
        <f>HYPERLINK("http://www.worldcat.org/oclc/385685","WorldCat Record")</f>
        <v/>
      </c>
      <c r="AU1082" t="inlineStr">
        <is>
          <t>5218465172:eng</t>
        </is>
      </c>
      <c r="AV1082" t="inlineStr">
        <is>
          <t>385685</t>
        </is>
      </c>
      <c r="AW1082" t="inlineStr">
        <is>
          <t>991002645399702656</t>
        </is>
      </c>
      <c r="AX1082" t="inlineStr">
        <is>
          <t>991002645399702656</t>
        </is>
      </c>
      <c r="AY1082" t="inlineStr">
        <is>
          <t>2258799310002656</t>
        </is>
      </c>
      <c r="AZ1082" t="inlineStr">
        <is>
          <t>BOOK</t>
        </is>
      </c>
      <c r="BC1082" t="inlineStr">
        <is>
          <t>32285000031996</t>
        </is>
      </c>
      <c r="BD1082" t="inlineStr">
        <is>
          <t>893517554</t>
        </is>
      </c>
    </row>
    <row r="1083">
      <c r="A1083" t="inlineStr">
        <is>
          <t>No</t>
        </is>
      </c>
      <c r="B1083" t="inlineStr">
        <is>
          <t>BT738.17 .C38 1996</t>
        </is>
      </c>
      <c r="C1083" t="inlineStr">
        <is>
          <t>0                      BT 0738170C  38          1996</t>
        </is>
      </c>
      <c r="D1083" t="inlineStr">
        <is>
          <t>Organizing a Christian mind : a theology of higher education / Denise Lardner Carmody.</t>
        </is>
      </c>
      <c r="F1083" t="inlineStr">
        <is>
          <t>No</t>
        </is>
      </c>
      <c r="G1083" t="inlineStr">
        <is>
          <t>1</t>
        </is>
      </c>
      <c r="H1083" t="inlineStr">
        <is>
          <t>No</t>
        </is>
      </c>
      <c r="I1083" t="inlineStr">
        <is>
          <t>No</t>
        </is>
      </c>
      <c r="J1083" t="inlineStr">
        <is>
          <t>0</t>
        </is>
      </c>
      <c r="K1083" t="inlineStr">
        <is>
          <t>Carmody, Denise Lardner, 1935-</t>
        </is>
      </c>
      <c r="L1083" t="inlineStr">
        <is>
          <t>Valley Forge, Pa. : Trinity Press International, c1996.</t>
        </is>
      </c>
      <c r="M1083" t="inlineStr">
        <is>
          <t>1996</t>
        </is>
      </c>
      <c r="O1083" t="inlineStr">
        <is>
          <t>eng</t>
        </is>
      </c>
      <c r="P1083" t="inlineStr">
        <is>
          <t>pau</t>
        </is>
      </c>
      <c r="R1083" t="inlineStr">
        <is>
          <t xml:space="preserve">BT </t>
        </is>
      </c>
      <c r="S1083" t="n">
        <v>1</v>
      </c>
      <c r="T1083" t="n">
        <v>1</v>
      </c>
      <c r="U1083" t="inlineStr">
        <is>
          <t>2006-04-27</t>
        </is>
      </c>
      <c r="V1083" t="inlineStr">
        <is>
          <t>2006-04-27</t>
        </is>
      </c>
      <c r="W1083" t="inlineStr">
        <is>
          <t>1997-01-28</t>
        </is>
      </c>
      <c r="X1083" t="inlineStr">
        <is>
          <t>1997-01-28</t>
        </is>
      </c>
      <c r="Y1083" t="n">
        <v>233</v>
      </c>
      <c r="Z1083" t="n">
        <v>204</v>
      </c>
      <c r="AA1083" t="n">
        <v>212</v>
      </c>
      <c r="AB1083" t="n">
        <v>3</v>
      </c>
      <c r="AC1083" t="n">
        <v>3</v>
      </c>
      <c r="AD1083" t="n">
        <v>23</v>
      </c>
      <c r="AE1083" t="n">
        <v>23</v>
      </c>
      <c r="AF1083" t="n">
        <v>8</v>
      </c>
      <c r="AG1083" t="n">
        <v>8</v>
      </c>
      <c r="AH1083" t="n">
        <v>3</v>
      </c>
      <c r="AI1083" t="n">
        <v>3</v>
      </c>
      <c r="AJ1083" t="n">
        <v>14</v>
      </c>
      <c r="AK1083" t="n">
        <v>14</v>
      </c>
      <c r="AL1083" t="n">
        <v>2</v>
      </c>
      <c r="AM1083" t="n">
        <v>2</v>
      </c>
      <c r="AN1083" t="n">
        <v>0</v>
      </c>
      <c r="AO1083" t="n">
        <v>0</v>
      </c>
      <c r="AP1083" t="inlineStr">
        <is>
          <t>No</t>
        </is>
      </c>
      <c r="AQ1083" t="inlineStr">
        <is>
          <t>Yes</t>
        </is>
      </c>
      <c r="AR1083">
        <f>HYPERLINK("http://catalog.hathitrust.org/Record/003081330","HathiTrust Record")</f>
        <v/>
      </c>
      <c r="AS1083">
        <f>HYPERLINK("https://creighton-primo.hosted.exlibrisgroup.com/primo-explore/search?tab=default_tab&amp;search_scope=EVERYTHING&amp;vid=01CRU&amp;lang=en_US&amp;offset=0&amp;query=any,contains,991002674289702656","Catalog Record")</f>
        <v/>
      </c>
      <c r="AT1083">
        <f>HYPERLINK("http://www.worldcat.org/oclc/34967886","WorldCat Record")</f>
        <v/>
      </c>
      <c r="AU1083" t="inlineStr">
        <is>
          <t>474231901:eng</t>
        </is>
      </c>
      <c r="AV1083" t="inlineStr">
        <is>
          <t>34967886</t>
        </is>
      </c>
      <c r="AW1083" t="inlineStr">
        <is>
          <t>991002674289702656</t>
        </is>
      </c>
      <c r="AX1083" t="inlineStr">
        <is>
          <t>991002674289702656</t>
        </is>
      </c>
      <c r="AY1083" t="inlineStr">
        <is>
          <t>2260341970002656</t>
        </is>
      </c>
      <c r="AZ1083" t="inlineStr">
        <is>
          <t>BOOK</t>
        </is>
      </c>
      <c r="BB1083" t="inlineStr">
        <is>
          <t>9781563381652</t>
        </is>
      </c>
      <c r="BC1083" t="inlineStr">
        <is>
          <t>32285002412228</t>
        </is>
      </c>
      <c r="BD1083" t="inlineStr">
        <is>
          <t>893880254</t>
        </is>
      </c>
    </row>
    <row r="1084">
      <c r="A1084" t="inlineStr">
        <is>
          <t>No</t>
        </is>
      </c>
      <c r="B1084" t="inlineStr">
        <is>
          <t>BT738.17 .D44 1990</t>
        </is>
      </c>
      <c r="C1084" t="inlineStr">
        <is>
          <t>0                      BT 0738170D  44          1990</t>
        </is>
      </c>
      <c r="D1084" t="inlineStr">
        <is>
          <t>Thomas Merton and the education of the whole person / Thomas Del Prete.</t>
        </is>
      </c>
      <c r="F1084" t="inlineStr">
        <is>
          <t>No</t>
        </is>
      </c>
      <c r="G1084" t="inlineStr">
        <is>
          <t>1</t>
        </is>
      </c>
      <c r="H1084" t="inlineStr">
        <is>
          <t>No</t>
        </is>
      </c>
      <c r="I1084" t="inlineStr">
        <is>
          <t>No</t>
        </is>
      </c>
      <c r="J1084" t="inlineStr">
        <is>
          <t>0</t>
        </is>
      </c>
      <c r="K1084" t="inlineStr">
        <is>
          <t>Del Prete, Thomas.</t>
        </is>
      </c>
      <c r="L1084" t="inlineStr">
        <is>
          <t>Birmingham, Ala. : Religious Education Press, 1990.</t>
        </is>
      </c>
      <c r="M1084" t="inlineStr">
        <is>
          <t>1990</t>
        </is>
      </c>
      <c r="O1084" t="inlineStr">
        <is>
          <t>eng</t>
        </is>
      </c>
      <c r="P1084" t="inlineStr">
        <is>
          <t>alu</t>
        </is>
      </c>
      <c r="R1084" t="inlineStr">
        <is>
          <t xml:space="preserve">BT </t>
        </is>
      </c>
      <c r="S1084" t="n">
        <v>2</v>
      </c>
      <c r="T1084" t="n">
        <v>2</v>
      </c>
      <c r="U1084" t="inlineStr">
        <is>
          <t>1995-07-25</t>
        </is>
      </c>
      <c r="V1084" t="inlineStr">
        <is>
          <t>1995-07-25</t>
        </is>
      </c>
      <c r="W1084" t="inlineStr">
        <is>
          <t>1990-04-12</t>
        </is>
      </c>
      <c r="X1084" t="inlineStr">
        <is>
          <t>1990-04-12</t>
        </is>
      </c>
      <c r="Y1084" t="n">
        <v>531</v>
      </c>
      <c r="Z1084" t="n">
        <v>471</v>
      </c>
      <c r="AA1084" t="n">
        <v>473</v>
      </c>
      <c r="AB1084" t="n">
        <v>4</v>
      </c>
      <c r="AC1084" t="n">
        <v>4</v>
      </c>
      <c r="AD1084" t="n">
        <v>30</v>
      </c>
      <c r="AE1084" t="n">
        <v>30</v>
      </c>
      <c r="AF1084" t="n">
        <v>11</v>
      </c>
      <c r="AG1084" t="n">
        <v>11</v>
      </c>
      <c r="AH1084" t="n">
        <v>7</v>
      </c>
      <c r="AI1084" t="n">
        <v>7</v>
      </c>
      <c r="AJ1084" t="n">
        <v>19</v>
      </c>
      <c r="AK1084" t="n">
        <v>19</v>
      </c>
      <c r="AL1084" t="n">
        <v>3</v>
      </c>
      <c r="AM1084" t="n">
        <v>3</v>
      </c>
      <c r="AN1084" t="n">
        <v>0</v>
      </c>
      <c r="AO1084" t="n">
        <v>0</v>
      </c>
      <c r="AP1084" t="inlineStr">
        <is>
          <t>No</t>
        </is>
      </c>
      <c r="AQ1084" t="inlineStr">
        <is>
          <t>Yes</t>
        </is>
      </c>
      <c r="AR1084">
        <f>HYPERLINK("http://catalog.hathitrust.org/Record/009921120","HathiTrust Record")</f>
        <v/>
      </c>
      <c r="AS1084">
        <f>HYPERLINK("https://creighton-primo.hosted.exlibrisgroup.com/primo-explore/search?tab=default_tab&amp;search_scope=EVERYTHING&amp;vid=01CRU&amp;lang=en_US&amp;offset=0&amp;query=any,contains,991001578209702656","Catalog Record")</f>
        <v/>
      </c>
      <c r="AT1084">
        <f>HYPERLINK("http://www.worldcat.org/oclc/20453932","WorldCat Record")</f>
        <v/>
      </c>
      <c r="AU1084" t="inlineStr">
        <is>
          <t>22017401:eng</t>
        </is>
      </c>
      <c r="AV1084" t="inlineStr">
        <is>
          <t>20453932</t>
        </is>
      </c>
      <c r="AW1084" t="inlineStr">
        <is>
          <t>991001578209702656</t>
        </is>
      </c>
      <c r="AX1084" t="inlineStr">
        <is>
          <t>991001578209702656</t>
        </is>
      </c>
      <c r="AY1084" t="inlineStr">
        <is>
          <t>2255771380002656</t>
        </is>
      </c>
      <c r="AZ1084" t="inlineStr">
        <is>
          <t>BOOK</t>
        </is>
      </c>
      <c r="BB1084" t="inlineStr">
        <is>
          <t>9780891350743</t>
        </is>
      </c>
      <c r="BC1084" t="inlineStr">
        <is>
          <t>32285000022045</t>
        </is>
      </c>
      <c r="BD1084" t="inlineStr">
        <is>
          <t>893529005</t>
        </is>
      </c>
    </row>
    <row r="1085">
      <c r="A1085" t="inlineStr">
        <is>
          <t>No</t>
        </is>
      </c>
      <c r="B1085" t="inlineStr">
        <is>
          <t>BT738.4 .C38 1997</t>
        </is>
      </c>
      <c r="C1085" t="inlineStr">
        <is>
          <t>0                      BT 0738400C  38          1997</t>
        </is>
      </c>
      <c r="D1085" t="inlineStr">
        <is>
          <t>The servant-ethic in the New Testament / Philippa Carter.</t>
        </is>
      </c>
      <c r="F1085" t="inlineStr">
        <is>
          <t>No</t>
        </is>
      </c>
      <c r="G1085" t="inlineStr">
        <is>
          <t>1</t>
        </is>
      </c>
      <c r="H1085" t="inlineStr">
        <is>
          <t>No</t>
        </is>
      </c>
      <c r="I1085" t="inlineStr">
        <is>
          <t>No</t>
        </is>
      </c>
      <c r="J1085" t="inlineStr">
        <is>
          <t>0</t>
        </is>
      </c>
      <c r="K1085" t="inlineStr">
        <is>
          <t>Carter, Philippa, 1961-</t>
        </is>
      </c>
      <c r="L1085" t="inlineStr">
        <is>
          <t>New York : Peter Lang, c1997.</t>
        </is>
      </c>
      <c r="M1085" t="inlineStr">
        <is>
          <t>1997</t>
        </is>
      </c>
      <c r="O1085" t="inlineStr">
        <is>
          <t>eng</t>
        </is>
      </c>
      <c r="P1085" t="inlineStr">
        <is>
          <t>nyu</t>
        </is>
      </c>
      <c r="Q1085" t="inlineStr">
        <is>
          <t>American university studies. Series VII, Theology and religion ; v. 196</t>
        </is>
      </c>
      <c r="R1085" t="inlineStr">
        <is>
          <t xml:space="preserve">BT </t>
        </is>
      </c>
      <c r="S1085" t="n">
        <v>6</v>
      </c>
      <c r="T1085" t="n">
        <v>6</v>
      </c>
      <c r="U1085" t="inlineStr">
        <is>
          <t>2004-10-31</t>
        </is>
      </c>
      <c r="V1085" t="inlineStr">
        <is>
          <t>2004-10-31</t>
        </is>
      </c>
      <c r="W1085" t="inlineStr">
        <is>
          <t>1998-04-01</t>
        </is>
      </c>
      <c r="X1085" t="inlineStr">
        <is>
          <t>1998-04-01</t>
        </is>
      </c>
      <c r="Y1085" t="n">
        <v>257</v>
      </c>
      <c r="Z1085" t="n">
        <v>217</v>
      </c>
      <c r="AA1085" t="n">
        <v>228</v>
      </c>
      <c r="AB1085" t="n">
        <v>2</v>
      </c>
      <c r="AC1085" t="n">
        <v>2</v>
      </c>
      <c r="AD1085" t="n">
        <v>21</v>
      </c>
      <c r="AE1085" t="n">
        <v>21</v>
      </c>
      <c r="AF1085" t="n">
        <v>8</v>
      </c>
      <c r="AG1085" t="n">
        <v>8</v>
      </c>
      <c r="AH1085" t="n">
        <v>4</v>
      </c>
      <c r="AI1085" t="n">
        <v>4</v>
      </c>
      <c r="AJ1085" t="n">
        <v>15</v>
      </c>
      <c r="AK1085" t="n">
        <v>15</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HYPERLINK("https://creighton-primo.hosted.exlibrisgroup.com/primo-explore/search?tab=default_tab&amp;search_scope=EVERYTHING&amp;vid=01CRU&amp;lang=en_US&amp;offset=0&amp;query=any,contains,991002689729702656","Catalog Record")</f>
        <v/>
      </c>
      <c r="AT1085">
        <f>HYPERLINK("http://www.worldcat.org/oclc/35138439","WorldCat Record")</f>
        <v/>
      </c>
      <c r="AU1085" t="inlineStr">
        <is>
          <t>36175837:eng</t>
        </is>
      </c>
      <c r="AV1085" t="inlineStr">
        <is>
          <t>35138439</t>
        </is>
      </c>
      <c r="AW1085" t="inlineStr">
        <is>
          <t>991002689729702656</t>
        </is>
      </c>
      <c r="AX1085" t="inlineStr">
        <is>
          <t>991002689729702656</t>
        </is>
      </c>
      <c r="AY1085" t="inlineStr">
        <is>
          <t>2267404480002656</t>
        </is>
      </c>
      <c r="AZ1085" t="inlineStr">
        <is>
          <t>BOOK</t>
        </is>
      </c>
      <c r="BB1085" t="inlineStr">
        <is>
          <t>9780820433936</t>
        </is>
      </c>
      <c r="BC1085" t="inlineStr">
        <is>
          <t>32285003382495</t>
        </is>
      </c>
      <c r="BD1085" t="inlineStr">
        <is>
          <t>893880268</t>
        </is>
      </c>
    </row>
    <row r="1086">
      <c r="A1086" t="inlineStr">
        <is>
          <t>No</t>
        </is>
      </c>
      <c r="B1086" t="inlineStr">
        <is>
          <t>BT738.4 .K45 1989</t>
        </is>
      </c>
      <c r="C1086" t="inlineStr">
        <is>
          <t>0                      BT 0738400K  45          1989</t>
        </is>
      </c>
      <c r="D1086" t="inlineStr">
        <is>
          <t>Diakonia : mutual helping with justice and compassion / Jaap van Klinken.</t>
        </is>
      </c>
      <c r="F1086" t="inlineStr">
        <is>
          <t>No</t>
        </is>
      </c>
      <c r="G1086" t="inlineStr">
        <is>
          <t>1</t>
        </is>
      </c>
      <c r="H1086" t="inlineStr">
        <is>
          <t>No</t>
        </is>
      </c>
      <c r="I1086" t="inlineStr">
        <is>
          <t>No</t>
        </is>
      </c>
      <c r="J1086" t="inlineStr">
        <is>
          <t>0</t>
        </is>
      </c>
      <c r="K1086" t="inlineStr">
        <is>
          <t>Klinken, Jaap van.</t>
        </is>
      </c>
      <c r="L1086" t="inlineStr">
        <is>
          <t>Grand Rapids, Mich. : W.B. Eerdmans, 1989.</t>
        </is>
      </c>
      <c r="M1086" t="inlineStr">
        <is>
          <t>1989</t>
        </is>
      </c>
      <c r="O1086" t="inlineStr">
        <is>
          <t>eng</t>
        </is>
      </c>
      <c r="P1086" t="inlineStr">
        <is>
          <t>miu</t>
        </is>
      </c>
      <c r="R1086" t="inlineStr">
        <is>
          <t xml:space="preserve">BT </t>
        </is>
      </c>
      <c r="S1086" t="n">
        <v>1</v>
      </c>
      <c r="T1086" t="n">
        <v>1</v>
      </c>
      <c r="U1086" t="inlineStr">
        <is>
          <t>1998-03-10</t>
        </is>
      </c>
      <c r="V1086" t="inlineStr">
        <is>
          <t>1998-03-10</t>
        </is>
      </c>
      <c r="W1086" t="inlineStr">
        <is>
          <t>1992-01-21</t>
        </is>
      </c>
      <c r="X1086" t="inlineStr">
        <is>
          <t>1992-01-21</t>
        </is>
      </c>
      <c r="Y1086" t="n">
        <v>184</v>
      </c>
      <c r="Z1086" t="n">
        <v>138</v>
      </c>
      <c r="AA1086" t="n">
        <v>140</v>
      </c>
      <c r="AB1086" t="n">
        <v>1</v>
      </c>
      <c r="AC1086" t="n">
        <v>1</v>
      </c>
      <c r="AD1086" t="n">
        <v>9</v>
      </c>
      <c r="AE1086" t="n">
        <v>9</v>
      </c>
      <c r="AF1086" t="n">
        <v>3</v>
      </c>
      <c r="AG1086" t="n">
        <v>3</v>
      </c>
      <c r="AH1086" t="n">
        <v>2</v>
      </c>
      <c r="AI1086" t="n">
        <v>2</v>
      </c>
      <c r="AJ1086" t="n">
        <v>5</v>
      </c>
      <c r="AK1086" t="n">
        <v>5</v>
      </c>
      <c r="AL1086" t="n">
        <v>0</v>
      </c>
      <c r="AM1086" t="n">
        <v>0</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HYPERLINK("https://creighton-primo.hosted.exlibrisgroup.com/primo-explore/search?tab=default_tab&amp;search_scope=EVERYTHING&amp;vid=01CRU&amp;lang=en_US&amp;offset=0&amp;query=any,contains,991001560209702656","Catalog Record")</f>
        <v/>
      </c>
      <c r="AT1086">
        <f>HYPERLINK("http://www.worldcat.org/oclc/20296344","WorldCat Record")</f>
        <v/>
      </c>
      <c r="AU1086" t="inlineStr">
        <is>
          <t>1096965850:eng</t>
        </is>
      </c>
      <c r="AV1086" t="inlineStr">
        <is>
          <t>20296344</t>
        </is>
      </c>
      <c r="AW1086" t="inlineStr">
        <is>
          <t>991001560209702656</t>
        </is>
      </c>
      <c r="AX1086" t="inlineStr">
        <is>
          <t>991001560209702656</t>
        </is>
      </c>
      <c r="AY1086" t="inlineStr">
        <is>
          <t>2260342820002656</t>
        </is>
      </c>
      <c r="AZ1086" t="inlineStr">
        <is>
          <t>BOOK</t>
        </is>
      </c>
      <c r="BB1086" t="inlineStr">
        <is>
          <t>9789024209484</t>
        </is>
      </c>
      <c r="BC1086" t="inlineStr">
        <is>
          <t>32285000865062</t>
        </is>
      </c>
      <c r="BD1086" t="inlineStr">
        <is>
          <t>893503492</t>
        </is>
      </c>
    </row>
    <row r="1087">
      <c r="A1087" t="inlineStr">
        <is>
          <t>No</t>
        </is>
      </c>
      <c r="B1087" t="inlineStr">
        <is>
          <t>BT738.5 .B43 1986</t>
        </is>
      </c>
      <c r="C1087" t="inlineStr">
        <is>
          <t>0                      BT 0738500B  43          1986</t>
        </is>
      </c>
      <c r="D1087" t="inlineStr">
        <is>
          <t>Why work? : careers and employment in biblical perspective / John A. Bernbaum and Simon M. Steer.</t>
        </is>
      </c>
      <c r="F1087" t="inlineStr">
        <is>
          <t>No</t>
        </is>
      </c>
      <c r="G1087" t="inlineStr">
        <is>
          <t>1</t>
        </is>
      </c>
      <c r="H1087" t="inlineStr">
        <is>
          <t>No</t>
        </is>
      </c>
      <c r="I1087" t="inlineStr">
        <is>
          <t>No</t>
        </is>
      </c>
      <c r="J1087" t="inlineStr">
        <is>
          <t>0</t>
        </is>
      </c>
      <c r="K1087" t="inlineStr">
        <is>
          <t>Bernbaum, John A., 1943-</t>
        </is>
      </c>
      <c r="L1087" t="inlineStr">
        <is>
          <t>Grand Rapids, Mich : Baker Book House ; Washington, D.C. : Christian College Coalition, c1986.</t>
        </is>
      </c>
      <c r="M1087" t="inlineStr">
        <is>
          <t>1986</t>
        </is>
      </c>
      <c r="O1087" t="inlineStr">
        <is>
          <t>eng</t>
        </is>
      </c>
      <c r="P1087" t="inlineStr">
        <is>
          <t>miu</t>
        </is>
      </c>
      <c r="Q1087" t="inlineStr">
        <is>
          <t>Christian College Coalition study guides ; 2</t>
        </is>
      </c>
      <c r="R1087" t="inlineStr">
        <is>
          <t xml:space="preserve">BT </t>
        </is>
      </c>
      <c r="S1087" t="n">
        <v>1</v>
      </c>
      <c r="T1087" t="n">
        <v>1</v>
      </c>
      <c r="U1087" t="inlineStr">
        <is>
          <t>2006-04-24</t>
        </is>
      </c>
      <c r="V1087" t="inlineStr">
        <is>
          <t>2006-04-24</t>
        </is>
      </c>
      <c r="W1087" t="inlineStr">
        <is>
          <t>2006-04-24</t>
        </is>
      </c>
      <c r="X1087" t="inlineStr">
        <is>
          <t>2006-04-24</t>
        </is>
      </c>
      <c r="Y1087" t="n">
        <v>171</v>
      </c>
      <c r="Z1087" t="n">
        <v>151</v>
      </c>
      <c r="AA1087" t="n">
        <v>155</v>
      </c>
      <c r="AB1087" t="n">
        <v>3</v>
      </c>
      <c r="AC1087" t="n">
        <v>3</v>
      </c>
      <c r="AD1087" t="n">
        <v>5</v>
      </c>
      <c r="AE1087" t="n">
        <v>5</v>
      </c>
      <c r="AF1087" t="n">
        <v>2</v>
      </c>
      <c r="AG1087" t="n">
        <v>2</v>
      </c>
      <c r="AH1087" t="n">
        <v>0</v>
      </c>
      <c r="AI1087" t="n">
        <v>0</v>
      </c>
      <c r="AJ1087" t="n">
        <v>1</v>
      </c>
      <c r="AK1087" t="n">
        <v>1</v>
      </c>
      <c r="AL1087" t="n">
        <v>2</v>
      </c>
      <c r="AM1087" t="n">
        <v>2</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HYPERLINK("https://creighton-primo.hosted.exlibrisgroup.com/primo-explore/search?tab=default_tab&amp;search_scope=EVERYTHING&amp;vid=01CRU&amp;lang=en_US&amp;offset=0&amp;query=any,contains,991004793669702656","Catalog Record")</f>
        <v/>
      </c>
      <c r="AT1087">
        <f>HYPERLINK("http://www.worldcat.org/oclc/15319649","WorldCat Record")</f>
        <v/>
      </c>
      <c r="AU1087" t="inlineStr">
        <is>
          <t>49531455:eng</t>
        </is>
      </c>
      <c r="AV1087" t="inlineStr">
        <is>
          <t>15319649</t>
        </is>
      </c>
      <c r="AW1087" t="inlineStr">
        <is>
          <t>991004793669702656</t>
        </is>
      </c>
      <c r="AX1087" t="inlineStr">
        <is>
          <t>991004793669702656</t>
        </is>
      </c>
      <c r="AY1087" t="inlineStr">
        <is>
          <t>2260120480002656</t>
        </is>
      </c>
      <c r="AZ1087" t="inlineStr">
        <is>
          <t>BOOK</t>
        </is>
      </c>
      <c r="BB1087" t="inlineStr">
        <is>
          <t>9780801009334</t>
        </is>
      </c>
      <c r="BC1087" t="inlineStr">
        <is>
          <t>32285005182372</t>
        </is>
      </c>
      <c r="BD1087" t="inlineStr">
        <is>
          <t>893722613</t>
        </is>
      </c>
    </row>
    <row r="1088">
      <c r="A1088" t="inlineStr">
        <is>
          <t>No</t>
        </is>
      </c>
      <c r="B1088" t="inlineStr">
        <is>
          <t>BT738.5 .S56 1987</t>
        </is>
      </c>
      <c r="C1088" t="inlineStr">
        <is>
          <t>0                      BT 0738500S  56          1987</t>
        </is>
      </c>
      <c r="D1088" t="inlineStr">
        <is>
          <t>Your work matters to God / Doug Sherman, William Hendricks.</t>
        </is>
      </c>
      <c r="F1088" t="inlineStr">
        <is>
          <t>No</t>
        </is>
      </c>
      <c r="G1088" t="inlineStr">
        <is>
          <t>1</t>
        </is>
      </c>
      <c r="H1088" t="inlineStr">
        <is>
          <t>No</t>
        </is>
      </c>
      <c r="I1088" t="inlineStr">
        <is>
          <t>No</t>
        </is>
      </c>
      <c r="J1088" t="inlineStr">
        <is>
          <t>0</t>
        </is>
      </c>
      <c r="K1088" t="inlineStr">
        <is>
          <t>Sherman, Doug.</t>
        </is>
      </c>
      <c r="L1088" t="inlineStr">
        <is>
          <t>Colorado Springs, Colo. : NavPress, c1987.</t>
        </is>
      </c>
      <c r="M1088" t="inlineStr">
        <is>
          <t>1987</t>
        </is>
      </c>
      <c r="O1088" t="inlineStr">
        <is>
          <t>eng</t>
        </is>
      </c>
      <c r="P1088" t="inlineStr">
        <is>
          <t>cou</t>
        </is>
      </c>
      <c r="R1088" t="inlineStr">
        <is>
          <t xml:space="preserve">BT </t>
        </is>
      </c>
      <c r="S1088" t="n">
        <v>1</v>
      </c>
      <c r="T1088" t="n">
        <v>1</v>
      </c>
      <c r="U1088" t="inlineStr">
        <is>
          <t>2006-04-24</t>
        </is>
      </c>
      <c r="V1088" t="inlineStr">
        <is>
          <t>2006-04-24</t>
        </is>
      </c>
      <c r="W1088" t="inlineStr">
        <is>
          <t>2006-04-24</t>
        </is>
      </c>
      <c r="X1088" t="inlineStr">
        <is>
          <t>2006-04-24</t>
        </is>
      </c>
      <c r="Y1088" t="n">
        <v>205</v>
      </c>
      <c r="Z1088" t="n">
        <v>187</v>
      </c>
      <c r="AA1088" t="n">
        <v>236</v>
      </c>
      <c r="AB1088" t="n">
        <v>2</v>
      </c>
      <c r="AC1088" t="n">
        <v>2</v>
      </c>
      <c r="AD1088" t="n">
        <v>3</v>
      </c>
      <c r="AE1088" t="n">
        <v>3</v>
      </c>
      <c r="AF1088" t="n">
        <v>2</v>
      </c>
      <c r="AG1088" t="n">
        <v>2</v>
      </c>
      <c r="AH1088" t="n">
        <v>0</v>
      </c>
      <c r="AI1088" t="n">
        <v>0</v>
      </c>
      <c r="AJ1088" t="n">
        <v>0</v>
      </c>
      <c r="AK1088" t="n">
        <v>0</v>
      </c>
      <c r="AL1088" t="n">
        <v>1</v>
      </c>
      <c r="AM1088" t="n">
        <v>1</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HYPERLINK("https://creighton-primo.hosted.exlibrisgroup.com/primo-explore/search?tab=default_tab&amp;search_scope=EVERYTHING&amp;vid=01CRU&amp;lang=en_US&amp;offset=0&amp;query=any,contains,991004793729702656","Catalog Record")</f>
        <v/>
      </c>
      <c r="AT1088">
        <f>HYPERLINK("http://www.worldcat.org/oclc/17644154","WorldCat Record")</f>
        <v/>
      </c>
      <c r="AU1088" t="inlineStr">
        <is>
          <t>16131645:eng</t>
        </is>
      </c>
      <c r="AV1088" t="inlineStr">
        <is>
          <t>17644154</t>
        </is>
      </c>
      <c r="AW1088" t="inlineStr">
        <is>
          <t>991004793729702656</t>
        </is>
      </c>
      <c r="AX1088" t="inlineStr">
        <is>
          <t>991004793729702656</t>
        </is>
      </c>
      <c r="AY1088" t="inlineStr">
        <is>
          <t>2270467750002656</t>
        </is>
      </c>
      <c r="AZ1088" t="inlineStr">
        <is>
          <t>BOOK</t>
        </is>
      </c>
      <c r="BB1088" t="inlineStr">
        <is>
          <t>9780891092247</t>
        </is>
      </c>
      <c r="BC1088" t="inlineStr">
        <is>
          <t>32285005182380</t>
        </is>
      </c>
      <c r="BD1088" t="inlineStr">
        <is>
          <t>893882950</t>
        </is>
      </c>
    </row>
    <row r="1089">
      <c r="A1089" t="inlineStr">
        <is>
          <t>No</t>
        </is>
      </c>
      <c r="B1089" t="inlineStr">
        <is>
          <t>BT740 .A78</t>
        </is>
      </c>
      <c r="C1089" t="inlineStr">
        <is>
          <t>0                      BT 0740000A  78</t>
        </is>
      </c>
      <c r="D1089" t="inlineStr">
        <is>
          <t>... De quantitate animae; The measure of the soul; Latin text, with English translation and notes by Francis E. Tourscher ...</t>
        </is>
      </c>
      <c r="F1089" t="inlineStr">
        <is>
          <t>No</t>
        </is>
      </c>
      <c r="G1089" t="inlineStr">
        <is>
          <t>1</t>
        </is>
      </c>
      <c r="H1089" t="inlineStr">
        <is>
          <t>No</t>
        </is>
      </c>
      <c r="I1089" t="inlineStr">
        <is>
          <t>No</t>
        </is>
      </c>
      <c r="J1089" t="inlineStr">
        <is>
          <t>0</t>
        </is>
      </c>
      <c r="K1089" t="inlineStr">
        <is>
          <t>Augustine, of Hippo, Saint, 354-430.</t>
        </is>
      </c>
      <c r="L1089" t="inlineStr">
        <is>
          <t>Philadelphia, The Peter Reilly company; London, B. Herder, 1933.</t>
        </is>
      </c>
      <c r="M1089" t="inlineStr">
        <is>
          <t>1933</t>
        </is>
      </c>
      <c r="O1089" t="inlineStr">
        <is>
          <t>eng</t>
        </is>
      </c>
      <c r="P1089" t="inlineStr">
        <is>
          <t>___</t>
        </is>
      </c>
      <c r="R1089" t="inlineStr">
        <is>
          <t xml:space="preserve">BT </t>
        </is>
      </c>
      <c r="S1089" t="n">
        <v>6</v>
      </c>
      <c r="T1089" t="n">
        <v>6</v>
      </c>
      <c r="U1089" t="inlineStr">
        <is>
          <t>2001-04-27</t>
        </is>
      </c>
      <c r="V1089" t="inlineStr">
        <is>
          <t>2001-04-27</t>
        </is>
      </c>
      <c r="W1089" t="inlineStr">
        <is>
          <t>1991-10-07</t>
        </is>
      </c>
      <c r="X1089" t="inlineStr">
        <is>
          <t>1991-10-07</t>
        </is>
      </c>
      <c r="Y1089" t="n">
        <v>90</v>
      </c>
      <c r="Z1089" t="n">
        <v>85</v>
      </c>
      <c r="AA1089" t="n">
        <v>86</v>
      </c>
      <c r="AB1089" t="n">
        <v>1</v>
      </c>
      <c r="AC1089" t="n">
        <v>1</v>
      </c>
      <c r="AD1089" t="n">
        <v>16</v>
      </c>
      <c r="AE1089" t="n">
        <v>16</v>
      </c>
      <c r="AF1089" t="n">
        <v>2</v>
      </c>
      <c r="AG1089" t="n">
        <v>2</v>
      </c>
      <c r="AH1089" t="n">
        <v>4</v>
      </c>
      <c r="AI1089" t="n">
        <v>4</v>
      </c>
      <c r="AJ1089" t="n">
        <v>14</v>
      </c>
      <c r="AK1089" t="n">
        <v>14</v>
      </c>
      <c r="AL1089" t="n">
        <v>0</v>
      </c>
      <c r="AM1089" t="n">
        <v>0</v>
      </c>
      <c r="AN1089" t="n">
        <v>0</v>
      </c>
      <c r="AO1089" t="n">
        <v>0</v>
      </c>
      <c r="AP1089" t="inlineStr">
        <is>
          <t>No</t>
        </is>
      </c>
      <c r="AQ1089" t="inlineStr">
        <is>
          <t>Yes</t>
        </is>
      </c>
      <c r="AR1089">
        <f>HYPERLINK("http://catalog.hathitrust.org/Record/006763601","HathiTrust Record")</f>
        <v/>
      </c>
      <c r="AS1089">
        <f>HYPERLINK("https://creighton-primo.hosted.exlibrisgroup.com/primo-explore/search?tab=default_tab&amp;search_scope=EVERYTHING&amp;vid=01CRU&amp;lang=en_US&amp;offset=0&amp;query=any,contains,991005359999702656","Catalog Record")</f>
        <v/>
      </c>
      <c r="AT1089">
        <f>HYPERLINK("http://www.worldcat.org/oclc/1420431","WorldCat Record")</f>
        <v/>
      </c>
      <c r="AU1089" t="inlineStr">
        <is>
          <t>10567133131:eng</t>
        </is>
      </c>
      <c r="AV1089" t="inlineStr">
        <is>
          <t>1420431</t>
        </is>
      </c>
      <c r="AW1089" t="inlineStr">
        <is>
          <t>991005359999702656</t>
        </is>
      </c>
      <c r="AX1089" t="inlineStr">
        <is>
          <t>991005359999702656</t>
        </is>
      </c>
      <c r="AY1089" t="inlineStr">
        <is>
          <t>2268821610002656</t>
        </is>
      </c>
      <c r="AZ1089" t="inlineStr">
        <is>
          <t>BOOK</t>
        </is>
      </c>
      <c r="BC1089" t="inlineStr">
        <is>
          <t>32285000805324</t>
        </is>
      </c>
      <c r="BD1089" t="inlineStr">
        <is>
          <t>893320496</t>
        </is>
      </c>
    </row>
    <row r="1090">
      <c r="A1090" t="inlineStr">
        <is>
          <t>No</t>
        </is>
      </c>
      <c r="B1090" t="inlineStr">
        <is>
          <t>BT740 .T48</t>
        </is>
      </c>
      <c r="C1090" t="inlineStr">
        <is>
          <t>0                      BT 0740000T  48</t>
        </is>
      </c>
      <c r="D1090" t="inlineStr">
        <is>
          <t>The soul; a translation of St. Thomas Aquinas' De anima, by John Patrick Rowan.</t>
        </is>
      </c>
      <c r="F1090" t="inlineStr">
        <is>
          <t>No</t>
        </is>
      </c>
      <c r="G1090" t="inlineStr">
        <is>
          <t>1</t>
        </is>
      </c>
      <c r="H1090" t="inlineStr">
        <is>
          <t>No</t>
        </is>
      </c>
      <c r="I1090" t="inlineStr">
        <is>
          <t>No</t>
        </is>
      </c>
      <c r="J1090" t="inlineStr">
        <is>
          <t>0</t>
        </is>
      </c>
      <c r="K1090" t="inlineStr">
        <is>
          <t>Thomas, Aquinas, Saint, 1225?-1274.</t>
        </is>
      </c>
      <c r="L1090" t="inlineStr">
        <is>
          <t>St. Louis, B. Herder Book Co., 1949.</t>
        </is>
      </c>
      <c r="M1090" t="inlineStr">
        <is>
          <t>1949</t>
        </is>
      </c>
      <c r="O1090" t="inlineStr">
        <is>
          <t>eng</t>
        </is>
      </c>
      <c r="P1090" t="inlineStr">
        <is>
          <t>___</t>
        </is>
      </c>
      <c r="R1090" t="inlineStr">
        <is>
          <t xml:space="preserve">BT </t>
        </is>
      </c>
      <c r="S1090" t="n">
        <v>2</v>
      </c>
      <c r="T1090" t="n">
        <v>2</v>
      </c>
      <c r="U1090" t="inlineStr">
        <is>
          <t>1995-04-03</t>
        </is>
      </c>
      <c r="V1090" t="inlineStr">
        <is>
          <t>1995-04-03</t>
        </is>
      </c>
      <c r="W1090" t="inlineStr">
        <is>
          <t>1991-10-07</t>
        </is>
      </c>
      <c r="X1090" t="inlineStr">
        <is>
          <t>1991-10-07</t>
        </is>
      </c>
      <c r="Y1090" t="n">
        <v>226</v>
      </c>
      <c r="Z1090" t="n">
        <v>203</v>
      </c>
      <c r="AA1090" t="n">
        <v>241</v>
      </c>
      <c r="AB1090" t="n">
        <v>3</v>
      </c>
      <c r="AC1090" t="n">
        <v>3</v>
      </c>
      <c r="AD1090" t="n">
        <v>29</v>
      </c>
      <c r="AE1090" t="n">
        <v>31</v>
      </c>
      <c r="AF1090" t="n">
        <v>9</v>
      </c>
      <c r="AG1090" t="n">
        <v>11</v>
      </c>
      <c r="AH1090" t="n">
        <v>7</v>
      </c>
      <c r="AI1090" t="n">
        <v>7</v>
      </c>
      <c r="AJ1090" t="n">
        <v>24</v>
      </c>
      <c r="AK1090" t="n">
        <v>25</v>
      </c>
      <c r="AL1090" t="n">
        <v>0</v>
      </c>
      <c r="AM1090" t="n">
        <v>0</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HYPERLINK("https://creighton-primo.hosted.exlibrisgroup.com/primo-explore/search?tab=default_tab&amp;search_scope=EVERYTHING&amp;vid=01CRU&amp;lang=en_US&amp;offset=0&amp;query=any,contains,991003629339702656","Catalog Record")</f>
        <v/>
      </c>
      <c r="AT1090">
        <f>HYPERLINK("http://www.worldcat.org/oclc/1219778","WorldCat Record")</f>
        <v/>
      </c>
      <c r="AU1090" t="inlineStr">
        <is>
          <t>4159882256:eng</t>
        </is>
      </c>
      <c r="AV1090" t="inlineStr">
        <is>
          <t>1219778</t>
        </is>
      </c>
      <c r="AW1090" t="inlineStr">
        <is>
          <t>991003629339702656</t>
        </is>
      </c>
      <c r="AX1090" t="inlineStr">
        <is>
          <t>991003629339702656</t>
        </is>
      </c>
      <c r="AY1090" t="inlineStr">
        <is>
          <t>2271691140002656</t>
        </is>
      </c>
      <c r="AZ1090" t="inlineStr">
        <is>
          <t>BOOK</t>
        </is>
      </c>
      <c r="BC1090" t="inlineStr">
        <is>
          <t>32285000805365</t>
        </is>
      </c>
      <c r="BD1090" t="inlineStr">
        <is>
          <t>893445758</t>
        </is>
      </c>
    </row>
    <row r="1091">
      <c r="A1091" t="inlineStr">
        <is>
          <t>No</t>
        </is>
      </c>
      <c r="B1091" t="inlineStr">
        <is>
          <t>BT741 .P34</t>
        </is>
      </c>
      <c r="C1091" t="inlineStr">
        <is>
          <t>0                      BT 0741000P  34</t>
        </is>
      </c>
      <c r="D1091" t="inlineStr">
        <is>
          <t>St. Thomas and the problem of the soul in the thirteenth century, by Anton Charles Pegis.</t>
        </is>
      </c>
      <c r="F1091" t="inlineStr">
        <is>
          <t>No</t>
        </is>
      </c>
      <c r="G1091" t="inlineStr">
        <is>
          <t>1</t>
        </is>
      </c>
      <c r="H1091" t="inlineStr">
        <is>
          <t>No</t>
        </is>
      </c>
      <c r="I1091" t="inlineStr">
        <is>
          <t>No</t>
        </is>
      </c>
      <c r="J1091" t="inlineStr">
        <is>
          <t>0</t>
        </is>
      </c>
      <c r="K1091" t="inlineStr">
        <is>
          <t>Pegis, Anton C. (Anton Charles), 1905-1978.</t>
        </is>
      </c>
      <c r="L1091" t="inlineStr">
        <is>
          <t>Toronto, Canada, St. Michael's College, 1934.</t>
        </is>
      </c>
      <c r="M1091" t="inlineStr">
        <is>
          <t>1934</t>
        </is>
      </c>
      <c r="O1091" t="inlineStr">
        <is>
          <t>eng</t>
        </is>
      </c>
      <c r="P1091" t="inlineStr">
        <is>
          <t>___</t>
        </is>
      </c>
      <c r="Q1091" t="inlineStr">
        <is>
          <t>St. Michael's mediaeval studies, published by the Institute of Mediaeval Studies, Toronto, under the direction of Professor Etienne Gilson</t>
        </is>
      </c>
      <c r="R1091" t="inlineStr">
        <is>
          <t xml:space="preserve">BT </t>
        </is>
      </c>
      <c r="S1091" t="n">
        <v>8</v>
      </c>
      <c r="T1091" t="n">
        <v>8</v>
      </c>
      <c r="U1091" t="inlineStr">
        <is>
          <t>1999-11-16</t>
        </is>
      </c>
      <c r="V1091" t="inlineStr">
        <is>
          <t>1999-11-16</t>
        </is>
      </c>
      <c r="W1091" t="inlineStr">
        <is>
          <t>1991-10-07</t>
        </is>
      </c>
      <c r="X1091" t="inlineStr">
        <is>
          <t>1991-10-07</t>
        </is>
      </c>
      <c r="Y1091" t="n">
        <v>136</v>
      </c>
      <c r="Z1091" t="n">
        <v>111</v>
      </c>
      <c r="AA1091" t="n">
        <v>305</v>
      </c>
      <c r="AB1091" t="n">
        <v>1</v>
      </c>
      <c r="AC1091" t="n">
        <v>3</v>
      </c>
      <c r="AD1091" t="n">
        <v>18</v>
      </c>
      <c r="AE1091" t="n">
        <v>31</v>
      </c>
      <c r="AF1091" t="n">
        <v>2</v>
      </c>
      <c r="AG1091" t="n">
        <v>10</v>
      </c>
      <c r="AH1091" t="n">
        <v>5</v>
      </c>
      <c r="AI1091" t="n">
        <v>9</v>
      </c>
      <c r="AJ1091" t="n">
        <v>15</v>
      </c>
      <c r="AK1091" t="n">
        <v>21</v>
      </c>
      <c r="AL1091" t="n">
        <v>0</v>
      </c>
      <c r="AM1091" t="n">
        <v>1</v>
      </c>
      <c r="AN1091" t="n">
        <v>0</v>
      </c>
      <c r="AO1091" t="n">
        <v>0</v>
      </c>
      <c r="AP1091" t="inlineStr">
        <is>
          <t>No</t>
        </is>
      </c>
      <c r="AQ1091" t="inlineStr">
        <is>
          <t>Yes</t>
        </is>
      </c>
      <c r="AR1091">
        <f>HYPERLINK("http://catalog.hathitrust.org/Record/102099557","HathiTrust Record")</f>
        <v/>
      </c>
      <c r="AS1091">
        <f>HYPERLINK("https://creighton-primo.hosted.exlibrisgroup.com/primo-explore/search?tab=default_tab&amp;search_scope=EVERYTHING&amp;vid=01CRU&amp;lang=en_US&amp;offset=0&amp;query=any,contains,991003389549702656","Catalog Record")</f>
        <v/>
      </c>
      <c r="AT1091">
        <f>HYPERLINK("http://www.worldcat.org/oclc/927004","WorldCat Record")</f>
        <v/>
      </c>
      <c r="AU1091" t="inlineStr">
        <is>
          <t>33491575:eng</t>
        </is>
      </c>
      <c r="AV1091" t="inlineStr">
        <is>
          <t>927004</t>
        </is>
      </c>
      <c r="AW1091" t="inlineStr">
        <is>
          <t>991003389549702656</t>
        </is>
      </c>
      <c r="AX1091" t="inlineStr">
        <is>
          <t>991003389549702656</t>
        </is>
      </c>
      <c r="AY1091" t="inlineStr">
        <is>
          <t>2266561880002656</t>
        </is>
      </c>
      <c r="AZ1091" t="inlineStr">
        <is>
          <t>BOOK</t>
        </is>
      </c>
      <c r="BC1091" t="inlineStr">
        <is>
          <t>32285000805373</t>
        </is>
      </c>
      <c r="BD1091" t="inlineStr">
        <is>
          <t>893874719</t>
        </is>
      </c>
    </row>
    <row r="1092">
      <c r="A1092" t="inlineStr">
        <is>
          <t>No</t>
        </is>
      </c>
      <c r="B1092" t="inlineStr">
        <is>
          <t>BT741 .R25</t>
        </is>
      </c>
      <c r="C1092" t="inlineStr">
        <is>
          <t>0                      BT 0741000R  25</t>
        </is>
      </c>
      <c r="D1092" t="inlineStr">
        <is>
          <t>The creation of the human soul; a clear and concise exposition from psychological, theological, and historical aspects / by Rev. William Reany, D.D.</t>
        </is>
      </c>
      <c r="F1092" t="inlineStr">
        <is>
          <t>No</t>
        </is>
      </c>
      <c r="G1092" t="inlineStr">
        <is>
          <t>1</t>
        </is>
      </c>
      <c r="H1092" t="inlineStr">
        <is>
          <t>No</t>
        </is>
      </c>
      <c r="I1092" t="inlineStr">
        <is>
          <t>No</t>
        </is>
      </c>
      <c r="J1092" t="inlineStr">
        <is>
          <t>0</t>
        </is>
      </c>
      <c r="K1092" t="inlineStr">
        <is>
          <t>Reany, William, 1887-</t>
        </is>
      </c>
      <c r="L1092" t="inlineStr">
        <is>
          <t>New York ; Cincinnati [etc.] : Benziger brothers, 1932.</t>
        </is>
      </c>
      <c r="M1092" t="inlineStr">
        <is>
          <t>1932</t>
        </is>
      </c>
      <c r="O1092" t="inlineStr">
        <is>
          <t>eng</t>
        </is>
      </c>
      <c r="P1092" t="inlineStr">
        <is>
          <t>nyu</t>
        </is>
      </c>
      <c r="R1092" t="inlineStr">
        <is>
          <t xml:space="preserve">BT </t>
        </is>
      </c>
      <c r="S1092" t="n">
        <v>1</v>
      </c>
      <c r="T1092" t="n">
        <v>1</v>
      </c>
      <c r="U1092" t="inlineStr">
        <is>
          <t>2010-04-20</t>
        </is>
      </c>
      <c r="V1092" t="inlineStr">
        <is>
          <t>2010-04-20</t>
        </is>
      </c>
      <c r="W1092" t="inlineStr">
        <is>
          <t>1991-10-07</t>
        </is>
      </c>
      <c r="X1092" t="inlineStr">
        <is>
          <t>1991-10-07</t>
        </is>
      </c>
      <c r="Y1092" t="n">
        <v>44</v>
      </c>
      <c r="Z1092" t="n">
        <v>40</v>
      </c>
      <c r="AA1092" t="n">
        <v>50</v>
      </c>
      <c r="AB1092" t="n">
        <v>2</v>
      </c>
      <c r="AC1092" t="n">
        <v>2</v>
      </c>
      <c r="AD1092" t="n">
        <v>6</v>
      </c>
      <c r="AE1092" t="n">
        <v>6</v>
      </c>
      <c r="AF1092" t="n">
        <v>0</v>
      </c>
      <c r="AG1092" t="n">
        <v>0</v>
      </c>
      <c r="AH1092" t="n">
        <v>1</v>
      </c>
      <c r="AI1092" t="n">
        <v>1</v>
      </c>
      <c r="AJ1092" t="n">
        <v>5</v>
      </c>
      <c r="AK1092" t="n">
        <v>5</v>
      </c>
      <c r="AL1092" t="n">
        <v>0</v>
      </c>
      <c r="AM1092" t="n">
        <v>0</v>
      </c>
      <c r="AN1092" t="n">
        <v>0</v>
      </c>
      <c r="AO1092" t="n">
        <v>0</v>
      </c>
      <c r="AP1092" t="inlineStr">
        <is>
          <t>No</t>
        </is>
      </c>
      <c r="AQ1092" t="inlineStr">
        <is>
          <t>No</t>
        </is>
      </c>
      <c r="AR1092">
        <f>HYPERLINK("http://catalog.hathitrust.org/Record/102293805","HathiTrust Record")</f>
        <v/>
      </c>
      <c r="AS1092">
        <f>HYPERLINK("https://creighton-primo.hosted.exlibrisgroup.com/primo-explore/search?tab=default_tab&amp;search_scope=EVERYTHING&amp;vid=01CRU&amp;lang=en_US&amp;offset=0&amp;query=any,contains,991004986579702656","Catalog Record")</f>
        <v/>
      </c>
      <c r="AT1092">
        <f>HYPERLINK("http://www.worldcat.org/oclc/6454983","WorldCat Record")</f>
        <v/>
      </c>
      <c r="AU1092" t="inlineStr">
        <is>
          <t>471797527:eng</t>
        </is>
      </c>
      <c r="AV1092" t="inlineStr">
        <is>
          <t>6454983</t>
        </is>
      </c>
      <c r="AW1092" t="inlineStr">
        <is>
          <t>991004986579702656</t>
        </is>
      </c>
      <c r="AX1092" t="inlineStr">
        <is>
          <t>991004986579702656</t>
        </is>
      </c>
      <c r="AY1092" t="inlineStr">
        <is>
          <t>2257578490002656</t>
        </is>
      </c>
      <c r="AZ1092" t="inlineStr">
        <is>
          <t>BOOK</t>
        </is>
      </c>
      <c r="BC1092" t="inlineStr">
        <is>
          <t>32285000805381</t>
        </is>
      </c>
      <c r="BD1092" t="inlineStr">
        <is>
          <t>893350564</t>
        </is>
      </c>
    </row>
    <row r="1093">
      <c r="A1093" t="inlineStr">
        <is>
          <t>No</t>
        </is>
      </c>
      <c r="B1093" t="inlineStr">
        <is>
          <t>BT741.2 .H65 1986</t>
        </is>
      </c>
      <c r="C1093" t="inlineStr">
        <is>
          <t>0                      BT 0741200H  65          1986</t>
        </is>
      </c>
      <c r="D1093" t="inlineStr">
        <is>
          <t>The reality of the mind : Augustine's philosophical arguments for the human soul as a spiritual substance / Ludger Hölscher.</t>
        </is>
      </c>
      <c r="F1093" t="inlineStr">
        <is>
          <t>No</t>
        </is>
      </c>
      <c r="G1093" t="inlineStr">
        <is>
          <t>1</t>
        </is>
      </c>
      <c r="H1093" t="inlineStr">
        <is>
          <t>No</t>
        </is>
      </c>
      <c r="I1093" t="inlineStr">
        <is>
          <t>No</t>
        </is>
      </c>
      <c r="J1093" t="inlineStr">
        <is>
          <t>0</t>
        </is>
      </c>
      <c r="K1093" t="inlineStr">
        <is>
          <t>Hölscher, Ludger.</t>
        </is>
      </c>
      <c r="L1093" t="inlineStr">
        <is>
          <t>London ; New York : Routledge &amp; Kegan Paul, c1986.</t>
        </is>
      </c>
      <c r="M1093" t="inlineStr">
        <is>
          <t>1986</t>
        </is>
      </c>
      <c r="O1093" t="inlineStr">
        <is>
          <t>eng</t>
        </is>
      </c>
      <c r="P1093" t="inlineStr">
        <is>
          <t>enk</t>
        </is>
      </c>
      <c r="Q1093" t="inlineStr">
        <is>
          <t>Studies in classical and phenomenological realism</t>
        </is>
      </c>
      <c r="R1093" t="inlineStr">
        <is>
          <t xml:space="preserve">BT </t>
        </is>
      </c>
      <c r="S1093" t="n">
        <v>6</v>
      </c>
      <c r="T1093" t="n">
        <v>6</v>
      </c>
      <c r="U1093" t="inlineStr">
        <is>
          <t>2000-02-27</t>
        </is>
      </c>
      <c r="V1093" t="inlineStr">
        <is>
          <t>2000-02-27</t>
        </is>
      </c>
      <c r="W1093" t="inlineStr">
        <is>
          <t>1991-10-07</t>
        </is>
      </c>
      <c r="X1093" t="inlineStr">
        <is>
          <t>1991-10-07</t>
        </is>
      </c>
      <c r="Y1093" t="n">
        <v>399</v>
      </c>
      <c r="Z1093" t="n">
        <v>300</v>
      </c>
      <c r="AA1093" t="n">
        <v>339</v>
      </c>
      <c r="AB1093" t="n">
        <v>5</v>
      </c>
      <c r="AC1093" t="n">
        <v>5</v>
      </c>
      <c r="AD1093" t="n">
        <v>24</v>
      </c>
      <c r="AE1093" t="n">
        <v>24</v>
      </c>
      <c r="AF1093" t="n">
        <v>8</v>
      </c>
      <c r="AG1093" t="n">
        <v>8</v>
      </c>
      <c r="AH1093" t="n">
        <v>7</v>
      </c>
      <c r="AI1093" t="n">
        <v>7</v>
      </c>
      <c r="AJ1093" t="n">
        <v>13</v>
      </c>
      <c r="AK1093" t="n">
        <v>13</v>
      </c>
      <c r="AL1093" t="n">
        <v>3</v>
      </c>
      <c r="AM1093" t="n">
        <v>3</v>
      </c>
      <c r="AN1093" t="n">
        <v>0</v>
      </c>
      <c r="AO1093" t="n">
        <v>0</v>
      </c>
      <c r="AP1093" t="inlineStr">
        <is>
          <t>No</t>
        </is>
      </c>
      <c r="AQ1093" t="inlineStr">
        <is>
          <t>Yes</t>
        </is>
      </c>
      <c r="AR1093">
        <f>HYPERLINK("http://catalog.hathitrust.org/Record/000447609","HathiTrust Record")</f>
        <v/>
      </c>
      <c r="AS1093">
        <f>HYPERLINK("https://creighton-primo.hosted.exlibrisgroup.com/primo-explore/search?tab=default_tab&amp;search_scope=EVERYTHING&amp;vid=01CRU&amp;lang=en_US&amp;offset=0&amp;query=any,contains,991000742249702656","Catalog Record")</f>
        <v/>
      </c>
      <c r="AT1093">
        <f>HYPERLINK("http://www.worldcat.org/oclc/12809754","WorldCat Record")</f>
        <v/>
      </c>
      <c r="AU1093" t="inlineStr">
        <is>
          <t>836679649:eng</t>
        </is>
      </c>
      <c r="AV1093" t="inlineStr">
        <is>
          <t>12809754</t>
        </is>
      </c>
      <c r="AW1093" t="inlineStr">
        <is>
          <t>991000742249702656</t>
        </is>
      </c>
      <c r="AX1093" t="inlineStr">
        <is>
          <t>991000742249702656</t>
        </is>
      </c>
      <c r="AY1093" t="inlineStr">
        <is>
          <t>2258020700002656</t>
        </is>
      </c>
      <c r="AZ1093" t="inlineStr">
        <is>
          <t>BOOK</t>
        </is>
      </c>
      <c r="BB1093" t="inlineStr">
        <is>
          <t>9780710207777</t>
        </is>
      </c>
      <c r="BC1093" t="inlineStr">
        <is>
          <t>32285000805431</t>
        </is>
      </c>
      <c r="BD1093" t="inlineStr">
        <is>
          <t>893708686</t>
        </is>
      </c>
    </row>
    <row r="1094">
      <c r="A1094" t="inlineStr">
        <is>
          <t>No</t>
        </is>
      </c>
      <c r="B1094" t="inlineStr">
        <is>
          <t>BT743 .N35 1992</t>
        </is>
      </c>
      <c r="C1094" t="inlineStr">
        <is>
          <t>0                      BT 0743000N  35          1992</t>
        </is>
      </c>
      <c r="D1094" t="inlineStr">
        <is>
          <t>Body theology / James B. Nelson.</t>
        </is>
      </c>
      <c r="F1094" t="inlineStr">
        <is>
          <t>No</t>
        </is>
      </c>
      <c r="G1094" t="inlineStr">
        <is>
          <t>1</t>
        </is>
      </c>
      <c r="H1094" t="inlineStr">
        <is>
          <t>No</t>
        </is>
      </c>
      <c r="I1094" t="inlineStr">
        <is>
          <t>No</t>
        </is>
      </c>
      <c r="J1094" t="inlineStr">
        <is>
          <t>0</t>
        </is>
      </c>
      <c r="K1094" t="inlineStr">
        <is>
          <t>Nelson, James B.</t>
        </is>
      </c>
      <c r="L1094" t="inlineStr">
        <is>
          <t>Louisville, Ky. : Westminster/John Knox, c1992.</t>
        </is>
      </c>
      <c r="M1094" t="inlineStr">
        <is>
          <t>1992</t>
        </is>
      </c>
      <c r="N1094" t="inlineStr">
        <is>
          <t>1st ed.</t>
        </is>
      </c>
      <c r="O1094" t="inlineStr">
        <is>
          <t>eng</t>
        </is>
      </c>
      <c r="P1094" t="inlineStr">
        <is>
          <t>kyu</t>
        </is>
      </c>
      <c r="R1094" t="inlineStr">
        <is>
          <t xml:space="preserve">BT </t>
        </is>
      </c>
      <c r="S1094" t="n">
        <v>6</v>
      </c>
      <c r="T1094" t="n">
        <v>6</v>
      </c>
      <c r="U1094" t="inlineStr">
        <is>
          <t>2010-04-12</t>
        </is>
      </c>
      <c r="V1094" t="inlineStr">
        <is>
          <t>2010-04-12</t>
        </is>
      </c>
      <c r="W1094" t="inlineStr">
        <is>
          <t>1993-12-22</t>
        </is>
      </c>
      <c r="X1094" t="inlineStr">
        <is>
          <t>1993-12-22</t>
        </is>
      </c>
      <c r="Y1094" t="n">
        <v>399</v>
      </c>
      <c r="Z1094" t="n">
        <v>331</v>
      </c>
      <c r="AA1094" t="n">
        <v>331</v>
      </c>
      <c r="AB1094" t="n">
        <v>3</v>
      </c>
      <c r="AC1094" t="n">
        <v>3</v>
      </c>
      <c r="AD1094" t="n">
        <v>23</v>
      </c>
      <c r="AE1094" t="n">
        <v>23</v>
      </c>
      <c r="AF1094" t="n">
        <v>10</v>
      </c>
      <c r="AG1094" t="n">
        <v>10</v>
      </c>
      <c r="AH1094" t="n">
        <v>3</v>
      </c>
      <c r="AI1094" t="n">
        <v>3</v>
      </c>
      <c r="AJ1094" t="n">
        <v>14</v>
      </c>
      <c r="AK1094" t="n">
        <v>14</v>
      </c>
      <c r="AL1094" t="n">
        <v>2</v>
      </c>
      <c r="AM1094" t="n">
        <v>2</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HYPERLINK("https://creighton-primo.hosted.exlibrisgroup.com/primo-explore/search?tab=default_tab&amp;search_scope=EVERYTHING&amp;vid=01CRU&amp;lang=en_US&amp;offset=0&amp;query=any,contains,991001988899702656","Catalog Record")</f>
        <v/>
      </c>
      <c r="AT1094">
        <f>HYPERLINK("http://www.worldcat.org/oclc/25281230","WorldCat Record")</f>
        <v/>
      </c>
      <c r="AU1094" t="inlineStr">
        <is>
          <t>2673596:eng</t>
        </is>
      </c>
      <c r="AV1094" t="inlineStr">
        <is>
          <t>25281230</t>
        </is>
      </c>
      <c r="AW1094" t="inlineStr">
        <is>
          <t>991001988899702656</t>
        </is>
      </c>
      <c r="AX1094" t="inlineStr">
        <is>
          <t>991001988899702656</t>
        </is>
      </c>
      <c r="AY1094" t="inlineStr">
        <is>
          <t>2256102200002656</t>
        </is>
      </c>
      <c r="AZ1094" t="inlineStr">
        <is>
          <t>BOOK</t>
        </is>
      </c>
      <c r="BB1094" t="inlineStr">
        <is>
          <t>9780664253790</t>
        </is>
      </c>
      <c r="BC1094" t="inlineStr">
        <is>
          <t>32285001817005</t>
        </is>
      </c>
      <c r="BD1094" t="inlineStr">
        <is>
          <t>893596907</t>
        </is>
      </c>
    </row>
    <row r="1095">
      <c r="A1095" t="inlineStr">
        <is>
          <t>No</t>
        </is>
      </c>
      <c r="B1095" t="inlineStr">
        <is>
          <t>BT745 .B6713 1998</t>
        </is>
      </c>
      <c r="C1095" t="inlineStr">
        <is>
          <t>0                      BT 0745000B  6713        1998</t>
        </is>
      </c>
      <c r="D1095" t="inlineStr">
        <is>
          <t>The sense of the supernatural / Jean Borella ; translated by G. John Champoux.</t>
        </is>
      </c>
      <c r="F1095" t="inlineStr">
        <is>
          <t>No</t>
        </is>
      </c>
      <c r="G1095" t="inlineStr">
        <is>
          <t>1</t>
        </is>
      </c>
      <c r="H1095" t="inlineStr">
        <is>
          <t>No</t>
        </is>
      </c>
      <c r="I1095" t="inlineStr">
        <is>
          <t>No</t>
        </is>
      </c>
      <c r="J1095" t="inlineStr">
        <is>
          <t>0</t>
        </is>
      </c>
      <c r="K1095" t="inlineStr">
        <is>
          <t>Borella, Jean.</t>
        </is>
      </c>
      <c r="L1095" t="inlineStr">
        <is>
          <t>Edinburgh : T&amp;T Clark, 1998.</t>
        </is>
      </c>
      <c r="M1095" t="inlineStr">
        <is>
          <t>1998</t>
        </is>
      </c>
      <c r="O1095" t="inlineStr">
        <is>
          <t>eng</t>
        </is>
      </c>
      <c r="P1095" t="inlineStr">
        <is>
          <t>stk</t>
        </is>
      </c>
      <c r="R1095" t="inlineStr">
        <is>
          <t xml:space="preserve">BT </t>
        </is>
      </c>
      <c r="S1095" t="n">
        <v>2</v>
      </c>
      <c r="T1095" t="n">
        <v>2</v>
      </c>
      <c r="U1095" t="inlineStr">
        <is>
          <t>2009-03-04</t>
        </is>
      </c>
      <c r="V1095" t="inlineStr">
        <is>
          <t>2009-03-04</t>
        </is>
      </c>
      <c r="W1095" t="inlineStr">
        <is>
          <t>2000-07-12</t>
        </is>
      </c>
      <c r="X1095" t="inlineStr">
        <is>
          <t>2000-07-12</t>
        </is>
      </c>
      <c r="Y1095" t="n">
        <v>144</v>
      </c>
      <c r="Z1095" t="n">
        <v>111</v>
      </c>
      <c r="AA1095" t="n">
        <v>113</v>
      </c>
      <c r="AB1095" t="n">
        <v>0</v>
      </c>
      <c r="AC1095" t="n">
        <v>0</v>
      </c>
      <c r="AD1095" t="n">
        <v>13</v>
      </c>
      <c r="AE1095" t="n">
        <v>13</v>
      </c>
      <c r="AF1095" t="n">
        <v>2</v>
      </c>
      <c r="AG1095" t="n">
        <v>2</v>
      </c>
      <c r="AH1095" t="n">
        <v>4</v>
      </c>
      <c r="AI1095" t="n">
        <v>4</v>
      </c>
      <c r="AJ1095" t="n">
        <v>11</v>
      </c>
      <c r="AK1095" t="n">
        <v>11</v>
      </c>
      <c r="AL1095" t="n">
        <v>0</v>
      </c>
      <c r="AM1095" t="n">
        <v>0</v>
      </c>
      <c r="AN1095" t="n">
        <v>0</v>
      </c>
      <c r="AO1095" t="n">
        <v>0</v>
      </c>
      <c r="AP1095" t="inlineStr">
        <is>
          <t>No</t>
        </is>
      </c>
      <c r="AQ1095" t="inlineStr">
        <is>
          <t>Yes</t>
        </is>
      </c>
      <c r="AR1095">
        <f>HYPERLINK("http://catalog.hathitrust.org/Record/004022416","HathiTrust Record")</f>
        <v/>
      </c>
      <c r="AS1095">
        <f>HYPERLINK("https://creighton-primo.hosted.exlibrisgroup.com/primo-explore/search?tab=default_tab&amp;search_scope=EVERYTHING&amp;vid=01CRU&amp;lang=en_US&amp;offset=0&amp;query=any,contains,991003200179702656","Catalog Record")</f>
        <v/>
      </c>
      <c r="AT1095">
        <f>HYPERLINK("http://www.worldcat.org/oclc/40927988","WorldCat Record")</f>
        <v/>
      </c>
      <c r="AU1095" t="inlineStr">
        <is>
          <t>42681016:eng</t>
        </is>
      </c>
      <c r="AV1095" t="inlineStr">
        <is>
          <t>40927988</t>
        </is>
      </c>
      <c r="AW1095" t="inlineStr">
        <is>
          <t>991003200179702656</t>
        </is>
      </c>
      <c r="AX1095" t="inlineStr">
        <is>
          <t>991003200179702656</t>
        </is>
      </c>
      <c r="AY1095" t="inlineStr">
        <is>
          <t>2263662540002656</t>
        </is>
      </c>
      <c r="AZ1095" t="inlineStr">
        <is>
          <t>BOOK</t>
        </is>
      </c>
      <c r="BB1095" t="inlineStr">
        <is>
          <t>9780567086433</t>
        </is>
      </c>
      <c r="BC1095" t="inlineStr">
        <is>
          <t>32285003931705</t>
        </is>
      </c>
      <c r="BD1095" t="inlineStr">
        <is>
          <t>893535377</t>
        </is>
      </c>
    </row>
    <row r="1096">
      <c r="A1096" t="inlineStr">
        <is>
          <t>No</t>
        </is>
      </c>
      <c r="B1096" t="inlineStr">
        <is>
          <t>BT745 .H4613</t>
        </is>
      </c>
      <c r="C1096" t="inlineStr">
        <is>
          <t>0                      BT 0745000H  4613</t>
        </is>
      </c>
      <c r="D1096" t="inlineStr">
        <is>
          <t>Christ and power / Martin Hengel ; translated by Everett R. Kalin.</t>
        </is>
      </c>
      <c r="F1096" t="inlineStr">
        <is>
          <t>No</t>
        </is>
      </c>
      <c r="G1096" t="inlineStr">
        <is>
          <t>1</t>
        </is>
      </c>
      <c r="H1096" t="inlineStr">
        <is>
          <t>No</t>
        </is>
      </c>
      <c r="I1096" t="inlineStr">
        <is>
          <t>No</t>
        </is>
      </c>
      <c r="J1096" t="inlineStr">
        <is>
          <t>0</t>
        </is>
      </c>
      <c r="K1096" t="inlineStr">
        <is>
          <t>Hengel, Martin.</t>
        </is>
      </c>
      <c r="L1096" t="inlineStr">
        <is>
          <t>Philadelphia : Fortress Press, c1977.</t>
        </is>
      </c>
      <c r="M1096" t="inlineStr">
        <is>
          <t>1977</t>
        </is>
      </c>
      <c r="O1096" t="inlineStr">
        <is>
          <t>eng</t>
        </is>
      </c>
      <c r="P1096" t="inlineStr">
        <is>
          <t>pau</t>
        </is>
      </c>
      <c r="R1096" t="inlineStr">
        <is>
          <t xml:space="preserve">BT </t>
        </is>
      </c>
      <c r="S1096" t="n">
        <v>1</v>
      </c>
      <c r="T1096" t="n">
        <v>1</v>
      </c>
      <c r="U1096" t="inlineStr">
        <is>
          <t>1992-10-27</t>
        </is>
      </c>
      <c r="V1096" t="inlineStr">
        <is>
          <t>1992-10-27</t>
        </is>
      </c>
      <c r="W1096" t="inlineStr">
        <is>
          <t>1991-10-07</t>
        </is>
      </c>
      <c r="X1096" t="inlineStr">
        <is>
          <t>1991-10-07</t>
        </is>
      </c>
      <c r="Y1096" t="n">
        <v>389</v>
      </c>
      <c r="Z1096" t="n">
        <v>320</v>
      </c>
      <c r="AA1096" t="n">
        <v>328</v>
      </c>
      <c r="AB1096" t="n">
        <v>3</v>
      </c>
      <c r="AC1096" t="n">
        <v>3</v>
      </c>
      <c r="AD1096" t="n">
        <v>25</v>
      </c>
      <c r="AE1096" t="n">
        <v>25</v>
      </c>
      <c r="AF1096" t="n">
        <v>10</v>
      </c>
      <c r="AG1096" t="n">
        <v>10</v>
      </c>
      <c r="AH1096" t="n">
        <v>5</v>
      </c>
      <c r="AI1096" t="n">
        <v>5</v>
      </c>
      <c r="AJ1096" t="n">
        <v>15</v>
      </c>
      <c r="AK1096" t="n">
        <v>15</v>
      </c>
      <c r="AL1096" t="n">
        <v>2</v>
      </c>
      <c r="AM1096" t="n">
        <v>2</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HYPERLINK("https://creighton-primo.hosted.exlibrisgroup.com/primo-explore/search?tab=default_tab&amp;search_scope=EVERYTHING&amp;vid=01CRU&amp;lang=en_US&amp;offset=0&amp;query=any,contains,991004279769702656","Catalog Record")</f>
        <v/>
      </c>
      <c r="AT1096">
        <f>HYPERLINK("http://www.worldcat.org/oclc/2906211","WorldCat Record")</f>
        <v/>
      </c>
      <c r="AU1096" t="inlineStr">
        <is>
          <t>4495048312:eng</t>
        </is>
      </c>
      <c r="AV1096" t="inlineStr">
        <is>
          <t>2906211</t>
        </is>
      </c>
      <c r="AW1096" t="inlineStr">
        <is>
          <t>991004279769702656</t>
        </is>
      </c>
      <c r="AX1096" t="inlineStr">
        <is>
          <t>991004279769702656</t>
        </is>
      </c>
      <c r="AY1096" t="inlineStr">
        <is>
          <t>2269482200002656</t>
        </is>
      </c>
      <c r="AZ1096" t="inlineStr">
        <is>
          <t>BOOK</t>
        </is>
      </c>
      <c r="BB1096" t="inlineStr">
        <is>
          <t>9780800612566</t>
        </is>
      </c>
      <c r="BC1096" t="inlineStr">
        <is>
          <t>32285000805456</t>
        </is>
      </c>
      <c r="BD1096" t="inlineStr">
        <is>
          <t>893253491</t>
        </is>
      </c>
    </row>
    <row r="1097">
      <c r="A1097" t="inlineStr">
        <is>
          <t>No</t>
        </is>
      </c>
      <c r="B1097" t="inlineStr">
        <is>
          <t>BT745 .K45</t>
        </is>
      </c>
      <c r="C1097" t="inlineStr">
        <is>
          <t>0                      BT 0745000K  45</t>
        </is>
      </c>
      <c r="D1097" t="inlineStr">
        <is>
          <t>The supernatural : medieval theological concepts to modern / [by] J. P. Kenny.</t>
        </is>
      </c>
      <c r="F1097" t="inlineStr">
        <is>
          <t>No</t>
        </is>
      </c>
      <c r="G1097" t="inlineStr">
        <is>
          <t>1</t>
        </is>
      </c>
      <c r="H1097" t="inlineStr">
        <is>
          <t>No</t>
        </is>
      </c>
      <c r="I1097" t="inlineStr">
        <is>
          <t>No</t>
        </is>
      </c>
      <c r="J1097" t="inlineStr">
        <is>
          <t>0</t>
        </is>
      </c>
      <c r="K1097" t="inlineStr">
        <is>
          <t>Kenny, J. P. (John Peter), 1916-1996.</t>
        </is>
      </c>
      <c r="L1097" t="inlineStr">
        <is>
          <t>New York : Alba House, [1972]</t>
        </is>
      </c>
      <c r="M1097" t="inlineStr">
        <is>
          <t>1972</t>
        </is>
      </c>
      <c r="O1097" t="inlineStr">
        <is>
          <t>eng</t>
        </is>
      </c>
      <c r="P1097" t="inlineStr">
        <is>
          <t>nyu</t>
        </is>
      </c>
      <c r="R1097" t="inlineStr">
        <is>
          <t xml:space="preserve">BT </t>
        </is>
      </c>
      <c r="S1097" t="n">
        <v>5</v>
      </c>
      <c r="T1097" t="n">
        <v>5</v>
      </c>
      <c r="U1097" t="inlineStr">
        <is>
          <t>1995-10-09</t>
        </is>
      </c>
      <c r="V1097" t="inlineStr">
        <is>
          <t>1995-10-09</t>
        </is>
      </c>
      <c r="W1097" t="inlineStr">
        <is>
          <t>1992-09-28</t>
        </is>
      </c>
      <c r="X1097" t="inlineStr">
        <is>
          <t>1992-09-28</t>
        </is>
      </c>
      <c r="Y1097" t="n">
        <v>218</v>
      </c>
      <c r="Z1097" t="n">
        <v>179</v>
      </c>
      <c r="AA1097" t="n">
        <v>179</v>
      </c>
      <c r="AB1097" t="n">
        <v>2</v>
      </c>
      <c r="AC1097" t="n">
        <v>2</v>
      </c>
      <c r="AD1097" t="n">
        <v>28</v>
      </c>
      <c r="AE1097" t="n">
        <v>28</v>
      </c>
      <c r="AF1097" t="n">
        <v>10</v>
      </c>
      <c r="AG1097" t="n">
        <v>10</v>
      </c>
      <c r="AH1097" t="n">
        <v>9</v>
      </c>
      <c r="AI1097" t="n">
        <v>9</v>
      </c>
      <c r="AJ1097" t="n">
        <v>20</v>
      </c>
      <c r="AK1097" t="n">
        <v>20</v>
      </c>
      <c r="AL1097" t="n">
        <v>1</v>
      </c>
      <c r="AM1097" t="n">
        <v>1</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HYPERLINK("https://creighton-primo.hosted.exlibrisgroup.com/primo-explore/search?tab=default_tab&amp;search_scope=EVERYTHING&amp;vid=01CRU&amp;lang=en_US&amp;offset=0&amp;query=any,contains,991002272689702656","Catalog Record")</f>
        <v/>
      </c>
      <c r="AT1097">
        <f>HYPERLINK("http://www.worldcat.org/oclc/308804","WorldCat Record")</f>
        <v/>
      </c>
      <c r="AU1097" t="inlineStr">
        <is>
          <t>5611614568:eng</t>
        </is>
      </c>
      <c r="AV1097" t="inlineStr">
        <is>
          <t>308804</t>
        </is>
      </c>
      <c r="AW1097" t="inlineStr">
        <is>
          <t>991002272689702656</t>
        </is>
      </c>
      <c r="AX1097" t="inlineStr">
        <is>
          <t>991002272689702656</t>
        </is>
      </c>
      <c r="AY1097" t="inlineStr">
        <is>
          <t>2265076670002656</t>
        </is>
      </c>
      <c r="AZ1097" t="inlineStr">
        <is>
          <t>BOOK</t>
        </is>
      </c>
      <c r="BB1097" t="inlineStr">
        <is>
          <t>9780818902512</t>
        </is>
      </c>
      <c r="BC1097" t="inlineStr">
        <is>
          <t>32285001321263</t>
        </is>
      </c>
      <c r="BD1097" t="inlineStr">
        <is>
          <t>893703889</t>
        </is>
      </c>
    </row>
    <row r="1098">
      <c r="A1098" t="inlineStr">
        <is>
          <t>No</t>
        </is>
      </c>
      <c r="B1098" t="inlineStr">
        <is>
          <t>BT75 .R48 1950b</t>
        </is>
      </c>
      <c r="C1098" t="inlineStr">
        <is>
          <t>0                      BT 0075000R  48          1950b</t>
        </is>
      </c>
      <c r="D1098" t="inlineStr">
        <is>
          <t>Science, history and faith / by Alan Richardson.</t>
        </is>
      </c>
      <c r="F1098" t="inlineStr">
        <is>
          <t>No</t>
        </is>
      </c>
      <c r="G1098" t="inlineStr">
        <is>
          <t>1</t>
        </is>
      </c>
      <c r="H1098" t="inlineStr">
        <is>
          <t>No</t>
        </is>
      </c>
      <c r="I1098" t="inlineStr">
        <is>
          <t>No</t>
        </is>
      </c>
      <c r="J1098" t="inlineStr">
        <is>
          <t>0</t>
        </is>
      </c>
      <c r="K1098" t="inlineStr">
        <is>
          <t>Richardson, Alan, 1905-1975.</t>
        </is>
      </c>
      <c r="L1098" t="inlineStr">
        <is>
          <t>London ; New York : Oxford University Press, 1950.</t>
        </is>
      </c>
      <c r="M1098" t="inlineStr">
        <is>
          <t>1950</t>
        </is>
      </c>
      <c r="O1098" t="inlineStr">
        <is>
          <t>eng</t>
        </is>
      </c>
      <c r="P1098" t="inlineStr">
        <is>
          <t>enk</t>
        </is>
      </c>
      <c r="R1098" t="inlineStr">
        <is>
          <t xml:space="preserve">BT </t>
        </is>
      </c>
      <c r="S1098" t="n">
        <v>3</v>
      </c>
      <c r="T1098" t="n">
        <v>3</v>
      </c>
      <c r="U1098" t="inlineStr">
        <is>
          <t>1998-12-11</t>
        </is>
      </c>
      <c r="V1098" t="inlineStr">
        <is>
          <t>1998-12-11</t>
        </is>
      </c>
      <c r="W1098" t="inlineStr">
        <is>
          <t>1991-06-21</t>
        </is>
      </c>
      <c r="X1098" t="inlineStr">
        <is>
          <t>1991-06-21</t>
        </is>
      </c>
      <c r="Y1098" t="n">
        <v>171</v>
      </c>
      <c r="Z1098" t="n">
        <v>104</v>
      </c>
      <c r="AA1098" t="n">
        <v>151</v>
      </c>
      <c r="AB1098" t="n">
        <v>1</v>
      </c>
      <c r="AC1098" t="n">
        <v>1</v>
      </c>
      <c r="AD1098" t="n">
        <v>1</v>
      </c>
      <c r="AE1098" t="n">
        <v>4</v>
      </c>
      <c r="AF1098" t="n">
        <v>0</v>
      </c>
      <c r="AG1098" t="n">
        <v>2</v>
      </c>
      <c r="AH1098" t="n">
        <v>0</v>
      </c>
      <c r="AI1098" t="n">
        <v>0</v>
      </c>
      <c r="AJ1098" t="n">
        <v>1</v>
      </c>
      <c r="AK1098" t="n">
        <v>2</v>
      </c>
      <c r="AL1098" t="n">
        <v>0</v>
      </c>
      <c r="AM1098" t="n">
        <v>0</v>
      </c>
      <c r="AN1098" t="n">
        <v>0</v>
      </c>
      <c r="AO1098" t="n">
        <v>0</v>
      </c>
      <c r="AP1098" t="inlineStr">
        <is>
          <t>No</t>
        </is>
      </c>
      <c r="AQ1098" t="inlineStr">
        <is>
          <t>Yes</t>
        </is>
      </c>
      <c r="AR1098">
        <f>HYPERLINK("http://catalog.hathitrust.org/Record/001926168","HathiTrust Record")</f>
        <v/>
      </c>
      <c r="AS1098">
        <f>HYPERLINK("https://creighton-primo.hosted.exlibrisgroup.com/primo-explore/search?tab=default_tab&amp;search_scope=EVERYTHING&amp;vid=01CRU&amp;lang=en_US&amp;offset=0&amp;query=any,contains,991004405729702656","Catalog Record")</f>
        <v/>
      </c>
      <c r="AT1098">
        <f>HYPERLINK("http://www.worldcat.org/oclc/3321730","WorldCat Record")</f>
        <v/>
      </c>
      <c r="AU1098" t="inlineStr">
        <is>
          <t>2611964:eng</t>
        </is>
      </c>
      <c r="AV1098" t="inlineStr">
        <is>
          <t>3321730</t>
        </is>
      </c>
      <c r="AW1098" t="inlineStr">
        <is>
          <t>991004405729702656</t>
        </is>
      </c>
      <c r="AX1098" t="inlineStr">
        <is>
          <t>991004405729702656</t>
        </is>
      </c>
      <c r="AY1098" t="inlineStr">
        <is>
          <t>2272015190002656</t>
        </is>
      </c>
      <c r="AZ1098" t="inlineStr">
        <is>
          <t>BOOK</t>
        </is>
      </c>
      <c r="BC1098" t="inlineStr">
        <is>
          <t>32285000687755</t>
        </is>
      </c>
      <c r="BD1098" t="inlineStr">
        <is>
          <t>893446187</t>
        </is>
      </c>
    </row>
    <row r="1099">
      <c r="A1099" t="inlineStr">
        <is>
          <t>No</t>
        </is>
      </c>
      <c r="B1099" t="inlineStr">
        <is>
          <t>BT75.2 .B35</t>
        </is>
      </c>
      <c r="C1099" t="inlineStr">
        <is>
          <t>0                      BT 0075200B  35</t>
        </is>
      </c>
      <c r="D1099" t="inlineStr">
        <is>
          <t>Man becoming; God in secular language.</t>
        </is>
      </c>
      <c r="F1099" t="inlineStr">
        <is>
          <t>No</t>
        </is>
      </c>
      <c r="G1099" t="inlineStr">
        <is>
          <t>1</t>
        </is>
      </c>
      <c r="H1099" t="inlineStr">
        <is>
          <t>No</t>
        </is>
      </c>
      <c r="I1099" t="inlineStr">
        <is>
          <t>No</t>
        </is>
      </c>
      <c r="J1099" t="inlineStr">
        <is>
          <t>0</t>
        </is>
      </c>
      <c r="K1099" t="inlineStr">
        <is>
          <t>Baum, Gregory, 1923-2017.</t>
        </is>
      </c>
      <c r="L1099" t="inlineStr">
        <is>
          <t>[New York] Herder and Herder [1970]</t>
        </is>
      </c>
      <c r="M1099" t="inlineStr">
        <is>
          <t>1970</t>
        </is>
      </c>
      <c r="O1099" t="inlineStr">
        <is>
          <t>eng</t>
        </is>
      </c>
      <c r="P1099" t="inlineStr">
        <is>
          <t>nyu</t>
        </is>
      </c>
      <c r="R1099" t="inlineStr">
        <is>
          <t xml:space="preserve">BT </t>
        </is>
      </c>
      <c r="S1099" t="n">
        <v>2</v>
      </c>
      <c r="T1099" t="n">
        <v>2</v>
      </c>
      <c r="U1099" t="inlineStr">
        <is>
          <t>1999-06-17</t>
        </is>
      </c>
      <c r="V1099" t="inlineStr">
        <is>
          <t>1999-06-17</t>
        </is>
      </c>
      <c r="W1099" t="inlineStr">
        <is>
          <t>1991-06-21</t>
        </is>
      </c>
      <c r="X1099" t="inlineStr">
        <is>
          <t>1991-06-21</t>
        </is>
      </c>
      <c r="Y1099" t="n">
        <v>486</v>
      </c>
      <c r="Z1099" t="n">
        <v>435</v>
      </c>
      <c r="AA1099" t="n">
        <v>461</v>
      </c>
      <c r="AB1099" t="n">
        <v>7</v>
      </c>
      <c r="AC1099" t="n">
        <v>7</v>
      </c>
      <c r="AD1099" t="n">
        <v>38</v>
      </c>
      <c r="AE1099" t="n">
        <v>38</v>
      </c>
      <c r="AF1099" t="n">
        <v>13</v>
      </c>
      <c r="AG1099" t="n">
        <v>13</v>
      </c>
      <c r="AH1099" t="n">
        <v>8</v>
      </c>
      <c r="AI1099" t="n">
        <v>8</v>
      </c>
      <c r="AJ1099" t="n">
        <v>23</v>
      </c>
      <c r="AK1099" t="n">
        <v>23</v>
      </c>
      <c r="AL1099" t="n">
        <v>5</v>
      </c>
      <c r="AM1099" t="n">
        <v>5</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HYPERLINK("https://creighton-primo.hosted.exlibrisgroup.com/primo-explore/search?tab=default_tab&amp;search_scope=EVERYTHING&amp;vid=01CRU&amp;lang=en_US&amp;offset=0&amp;query=any,contains,991000385019702656","Catalog Record")</f>
        <v/>
      </c>
      <c r="AT1099">
        <f>HYPERLINK("http://www.worldcat.org/oclc/72613","WorldCat Record")</f>
        <v/>
      </c>
      <c r="AU1099" t="inlineStr">
        <is>
          <t>3943307901:eng</t>
        </is>
      </c>
      <c r="AV1099" t="inlineStr">
        <is>
          <t>72613</t>
        </is>
      </c>
      <c r="AW1099" t="inlineStr">
        <is>
          <t>991000385019702656</t>
        </is>
      </c>
      <c r="AX1099" t="inlineStr">
        <is>
          <t>991000385019702656</t>
        </is>
      </c>
      <c r="AY1099" t="inlineStr">
        <is>
          <t>2271539760002656</t>
        </is>
      </c>
      <c r="AZ1099" t="inlineStr">
        <is>
          <t>BOOK</t>
        </is>
      </c>
      <c r="BC1099" t="inlineStr">
        <is>
          <t>32285000687789</t>
        </is>
      </c>
      <c r="BD1099" t="inlineStr">
        <is>
          <t>893407133</t>
        </is>
      </c>
    </row>
    <row r="1100">
      <c r="A1100" t="inlineStr">
        <is>
          <t>No</t>
        </is>
      </c>
      <c r="B1100" t="inlineStr">
        <is>
          <t>BT75.2 .B4713</t>
        </is>
      </c>
      <c r="C1100" t="inlineStr">
        <is>
          <t>0                      BT 0075200B  4713</t>
        </is>
      </c>
      <c r="D1100" t="inlineStr">
        <is>
          <t>Christian faith : an introduction to the study of the faith / Hendrikus Berkhof ; translated by Sierd Woudstra.</t>
        </is>
      </c>
      <c r="F1100" t="inlineStr">
        <is>
          <t>No</t>
        </is>
      </c>
      <c r="G1100" t="inlineStr">
        <is>
          <t>1</t>
        </is>
      </c>
      <c r="H1100" t="inlineStr">
        <is>
          <t>No</t>
        </is>
      </c>
      <c r="I1100" t="inlineStr">
        <is>
          <t>No</t>
        </is>
      </c>
      <c r="J1100" t="inlineStr">
        <is>
          <t>0</t>
        </is>
      </c>
      <c r="K1100" t="inlineStr">
        <is>
          <t>Berkhof, H. (Hendrikus), 1914-</t>
        </is>
      </c>
      <c r="L1100" t="inlineStr">
        <is>
          <t>Grand Rapids : Eerdmans, c1979.</t>
        </is>
      </c>
      <c r="M1100" t="inlineStr">
        <is>
          <t>1979</t>
        </is>
      </c>
      <c r="O1100" t="inlineStr">
        <is>
          <t>eng</t>
        </is>
      </c>
      <c r="P1100" t="inlineStr">
        <is>
          <t>miu</t>
        </is>
      </c>
      <c r="R1100" t="inlineStr">
        <is>
          <t xml:space="preserve">BT </t>
        </is>
      </c>
      <c r="S1100" t="n">
        <v>2</v>
      </c>
      <c r="T1100" t="n">
        <v>2</v>
      </c>
      <c r="U1100" t="inlineStr">
        <is>
          <t>1996-08-23</t>
        </is>
      </c>
      <c r="V1100" t="inlineStr">
        <is>
          <t>1996-08-23</t>
        </is>
      </c>
      <c r="W1100" t="inlineStr">
        <is>
          <t>1991-06-21</t>
        </is>
      </c>
      <c r="X1100" t="inlineStr">
        <is>
          <t>1991-06-21</t>
        </is>
      </c>
      <c r="Y1100" t="n">
        <v>482</v>
      </c>
      <c r="Z1100" t="n">
        <v>395</v>
      </c>
      <c r="AA1100" t="n">
        <v>457</v>
      </c>
      <c r="AB1100" t="n">
        <v>5</v>
      </c>
      <c r="AC1100" t="n">
        <v>5</v>
      </c>
      <c r="AD1100" t="n">
        <v>24</v>
      </c>
      <c r="AE1100" t="n">
        <v>27</v>
      </c>
      <c r="AF1100" t="n">
        <v>10</v>
      </c>
      <c r="AG1100" t="n">
        <v>12</v>
      </c>
      <c r="AH1100" t="n">
        <v>5</v>
      </c>
      <c r="AI1100" t="n">
        <v>5</v>
      </c>
      <c r="AJ1100" t="n">
        <v>11</v>
      </c>
      <c r="AK1100" t="n">
        <v>13</v>
      </c>
      <c r="AL1100" t="n">
        <v>3</v>
      </c>
      <c r="AM1100" t="n">
        <v>3</v>
      </c>
      <c r="AN1100" t="n">
        <v>0</v>
      </c>
      <c r="AO1100" t="n">
        <v>0</v>
      </c>
      <c r="AP1100" t="inlineStr">
        <is>
          <t>No</t>
        </is>
      </c>
      <c r="AQ1100" t="inlineStr">
        <is>
          <t>Yes</t>
        </is>
      </c>
      <c r="AR1100">
        <f>HYPERLINK("http://catalog.hathitrust.org/Record/000031684","HathiTrust Record")</f>
        <v/>
      </c>
      <c r="AS1100">
        <f>HYPERLINK("https://creighton-primo.hosted.exlibrisgroup.com/primo-explore/search?tab=default_tab&amp;search_scope=EVERYTHING&amp;vid=01CRU&amp;lang=en_US&amp;offset=0&amp;query=any,contains,991004745759702656","Catalog Record")</f>
        <v/>
      </c>
      <c r="AT1100">
        <f>HYPERLINK("http://www.worldcat.org/oclc/4907980","WorldCat Record")</f>
        <v/>
      </c>
      <c r="AU1100" t="inlineStr">
        <is>
          <t>8983787:eng</t>
        </is>
      </c>
      <c r="AV1100" t="inlineStr">
        <is>
          <t>4907980</t>
        </is>
      </c>
      <c r="AW1100" t="inlineStr">
        <is>
          <t>991004745759702656</t>
        </is>
      </c>
      <c r="AX1100" t="inlineStr">
        <is>
          <t>991004745759702656</t>
        </is>
      </c>
      <c r="AY1100" t="inlineStr">
        <is>
          <t>2258763890002656</t>
        </is>
      </c>
      <c r="AZ1100" t="inlineStr">
        <is>
          <t>BOOK</t>
        </is>
      </c>
      <c r="BB1100" t="inlineStr">
        <is>
          <t>9780802835215</t>
        </is>
      </c>
      <c r="BC1100" t="inlineStr">
        <is>
          <t>32285000687797</t>
        </is>
      </c>
      <c r="BD1100" t="inlineStr">
        <is>
          <t>893782604</t>
        </is>
      </c>
    </row>
    <row r="1101">
      <c r="A1101" t="inlineStr">
        <is>
          <t>No</t>
        </is>
      </c>
      <c r="B1101" t="inlineStr">
        <is>
          <t>BT75.2 .C48 1984</t>
        </is>
      </c>
      <c r="C1101" t="inlineStr">
        <is>
          <t>0                      BT 0075200C  48          1984</t>
        </is>
      </c>
      <c r="D1101" t="inlineStr">
        <is>
          <t>Christian dogmatics / Carl E. Braaten, Robert W. Jenson, editor[s] : [by] Gerhard O. Forde ... [et al.].</t>
        </is>
      </c>
      <c r="E1101" t="inlineStr">
        <is>
          <t>V. 1</t>
        </is>
      </c>
      <c r="F1101" t="inlineStr">
        <is>
          <t>Yes</t>
        </is>
      </c>
      <c r="G1101" t="inlineStr">
        <is>
          <t>1</t>
        </is>
      </c>
      <c r="H1101" t="inlineStr">
        <is>
          <t>No</t>
        </is>
      </c>
      <c r="I1101" t="inlineStr">
        <is>
          <t>No</t>
        </is>
      </c>
      <c r="J1101" t="inlineStr">
        <is>
          <t>0</t>
        </is>
      </c>
      <c r="L1101" t="inlineStr">
        <is>
          <t>Philadelphia : Fortress Press, c1984.</t>
        </is>
      </c>
      <c r="M1101" t="inlineStr">
        <is>
          <t>1984</t>
        </is>
      </c>
      <c r="O1101" t="inlineStr">
        <is>
          <t>eng</t>
        </is>
      </c>
      <c r="P1101" t="inlineStr">
        <is>
          <t>pau</t>
        </is>
      </c>
      <c r="R1101" t="inlineStr">
        <is>
          <t xml:space="preserve">BT </t>
        </is>
      </c>
      <c r="S1101" t="n">
        <v>8</v>
      </c>
      <c r="T1101" t="n">
        <v>16</v>
      </c>
      <c r="U1101" t="inlineStr">
        <is>
          <t>2008-02-27</t>
        </is>
      </c>
      <c r="V1101" t="inlineStr">
        <is>
          <t>2008-02-27</t>
        </is>
      </c>
      <c r="W1101" t="inlineStr">
        <is>
          <t>1991-06-21</t>
        </is>
      </c>
      <c r="X1101" t="inlineStr">
        <is>
          <t>1991-06-21</t>
        </is>
      </c>
      <c r="Y1101" t="n">
        <v>421</v>
      </c>
      <c r="Z1101" t="n">
        <v>337</v>
      </c>
      <c r="AA1101" t="n">
        <v>353</v>
      </c>
      <c r="AB1101" t="n">
        <v>3</v>
      </c>
      <c r="AC1101" t="n">
        <v>3</v>
      </c>
      <c r="AD1101" t="n">
        <v>25</v>
      </c>
      <c r="AE1101" t="n">
        <v>25</v>
      </c>
      <c r="AF1101" t="n">
        <v>9</v>
      </c>
      <c r="AG1101" t="n">
        <v>9</v>
      </c>
      <c r="AH1101" t="n">
        <v>5</v>
      </c>
      <c r="AI1101" t="n">
        <v>5</v>
      </c>
      <c r="AJ1101" t="n">
        <v>15</v>
      </c>
      <c r="AK1101" t="n">
        <v>15</v>
      </c>
      <c r="AL1101" t="n">
        <v>2</v>
      </c>
      <c r="AM1101" t="n">
        <v>2</v>
      </c>
      <c r="AN1101" t="n">
        <v>0</v>
      </c>
      <c r="AO1101" t="n">
        <v>0</v>
      </c>
      <c r="AP1101" t="inlineStr">
        <is>
          <t>No</t>
        </is>
      </c>
      <c r="AQ1101" t="inlineStr">
        <is>
          <t>Yes</t>
        </is>
      </c>
      <c r="AR1101">
        <f>HYPERLINK("http://catalog.hathitrust.org/Record/000284543","HathiTrust Record")</f>
        <v/>
      </c>
      <c r="AS1101">
        <f>HYPERLINK("https://creighton-primo.hosted.exlibrisgroup.com/primo-explore/search?tab=default_tab&amp;search_scope=EVERYTHING&amp;vid=01CRU&amp;lang=en_US&amp;offset=0&amp;query=any,contains,991000257539702656","Catalog Record")</f>
        <v/>
      </c>
      <c r="AT1101">
        <f>HYPERLINK("http://www.worldcat.org/oclc/9784088","WorldCat Record")</f>
        <v/>
      </c>
      <c r="AU1101" t="inlineStr">
        <is>
          <t>356516836:eng</t>
        </is>
      </c>
      <c r="AV1101" t="inlineStr">
        <is>
          <t>9784088</t>
        </is>
      </c>
      <c r="AW1101" t="inlineStr">
        <is>
          <t>991000257539702656</t>
        </is>
      </c>
      <c r="AX1101" t="inlineStr">
        <is>
          <t>991000257539702656</t>
        </is>
      </c>
      <c r="AY1101" t="inlineStr">
        <is>
          <t>2268663260002656</t>
        </is>
      </c>
      <c r="AZ1101" t="inlineStr">
        <is>
          <t>BOOK</t>
        </is>
      </c>
      <c r="BB1101" t="inlineStr">
        <is>
          <t>9780800607043</t>
        </is>
      </c>
      <c r="BC1101" t="inlineStr">
        <is>
          <t>32285000687813</t>
        </is>
      </c>
      <c r="BD1101" t="inlineStr">
        <is>
          <t>893327173</t>
        </is>
      </c>
    </row>
    <row r="1102">
      <c r="A1102" t="inlineStr">
        <is>
          <t>No</t>
        </is>
      </c>
      <c r="B1102" t="inlineStr">
        <is>
          <t>BT75.2 .C48 1984</t>
        </is>
      </c>
      <c r="C1102" t="inlineStr">
        <is>
          <t>0                      BT 0075200C  48          1984</t>
        </is>
      </c>
      <c r="D1102" t="inlineStr">
        <is>
          <t>Christian dogmatics / Carl E. Braaten, Robert W. Jenson, editor[s] : [by] Gerhard O. Forde ... [et al.].</t>
        </is>
      </c>
      <c r="E1102" t="inlineStr">
        <is>
          <t>V. 2</t>
        </is>
      </c>
      <c r="F1102" t="inlineStr">
        <is>
          <t>Yes</t>
        </is>
      </c>
      <c r="G1102" t="inlineStr">
        <is>
          <t>1</t>
        </is>
      </c>
      <c r="H1102" t="inlineStr">
        <is>
          <t>No</t>
        </is>
      </c>
      <c r="I1102" t="inlineStr">
        <is>
          <t>No</t>
        </is>
      </c>
      <c r="J1102" t="inlineStr">
        <is>
          <t>0</t>
        </is>
      </c>
      <c r="L1102" t="inlineStr">
        <is>
          <t>Philadelphia : Fortress Press, c1984.</t>
        </is>
      </c>
      <c r="M1102" t="inlineStr">
        <is>
          <t>1984</t>
        </is>
      </c>
      <c r="O1102" t="inlineStr">
        <is>
          <t>eng</t>
        </is>
      </c>
      <c r="P1102" t="inlineStr">
        <is>
          <t>pau</t>
        </is>
      </c>
      <c r="R1102" t="inlineStr">
        <is>
          <t xml:space="preserve">BT </t>
        </is>
      </c>
      <c r="S1102" t="n">
        <v>8</v>
      </c>
      <c r="T1102" t="n">
        <v>16</v>
      </c>
      <c r="U1102" t="inlineStr">
        <is>
          <t>2006-06-15</t>
        </is>
      </c>
      <c r="V1102" t="inlineStr">
        <is>
          <t>2008-02-27</t>
        </is>
      </c>
      <c r="W1102" t="inlineStr">
        <is>
          <t>1991-06-21</t>
        </is>
      </c>
      <c r="X1102" t="inlineStr">
        <is>
          <t>1991-06-21</t>
        </is>
      </c>
      <c r="Y1102" t="n">
        <v>421</v>
      </c>
      <c r="Z1102" t="n">
        <v>337</v>
      </c>
      <c r="AA1102" t="n">
        <v>353</v>
      </c>
      <c r="AB1102" t="n">
        <v>3</v>
      </c>
      <c r="AC1102" t="n">
        <v>3</v>
      </c>
      <c r="AD1102" t="n">
        <v>25</v>
      </c>
      <c r="AE1102" t="n">
        <v>25</v>
      </c>
      <c r="AF1102" t="n">
        <v>9</v>
      </c>
      <c r="AG1102" t="n">
        <v>9</v>
      </c>
      <c r="AH1102" t="n">
        <v>5</v>
      </c>
      <c r="AI1102" t="n">
        <v>5</v>
      </c>
      <c r="AJ1102" t="n">
        <v>15</v>
      </c>
      <c r="AK1102" t="n">
        <v>15</v>
      </c>
      <c r="AL1102" t="n">
        <v>2</v>
      </c>
      <c r="AM1102" t="n">
        <v>2</v>
      </c>
      <c r="AN1102" t="n">
        <v>0</v>
      </c>
      <c r="AO1102" t="n">
        <v>0</v>
      </c>
      <c r="AP1102" t="inlineStr">
        <is>
          <t>No</t>
        </is>
      </c>
      <c r="AQ1102" t="inlineStr">
        <is>
          <t>Yes</t>
        </is>
      </c>
      <c r="AR1102">
        <f>HYPERLINK("http://catalog.hathitrust.org/Record/000284543","HathiTrust Record")</f>
        <v/>
      </c>
      <c r="AS1102">
        <f>HYPERLINK("https://creighton-primo.hosted.exlibrisgroup.com/primo-explore/search?tab=default_tab&amp;search_scope=EVERYTHING&amp;vid=01CRU&amp;lang=en_US&amp;offset=0&amp;query=any,contains,991000257539702656","Catalog Record")</f>
        <v/>
      </c>
      <c r="AT1102">
        <f>HYPERLINK("http://www.worldcat.org/oclc/9784088","WorldCat Record")</f>
        <v/>
      </c>
      <c r="AU1102" t="inlineStr">
        <is>
          <t>356516836:eng</t>
        </is>
      </c>
      <c r="AV1102" t="inlineStr">
        <is>
          <t>9784088</t>
        </is>
      </c>
      <c r="AW1102" t="inlineStr">
        <is>
          <t>991000257539702656</t>
        </is>
      </c>
      <c r="AX1102" t="inlineStr">
        <is>
          <t>991000257539702656</t>
        </is>
      </c>
      <c r="AY1102" t="inlineStr">
        <is>
          <t>2268663260002656</t>
        </is>
      </c>
      <c r="AZ1102" t="inlineStr">
        <is>
          <t>BOOK</t>
        </is>
      </c>
      <c r="BB1102" t="inlineStr">
        <is>
          <t>9780800607043</t>
        </is>
      </c>
      <c r="BC1102" t="inlineStr">
        <is>
          <t>32285000687821</t>
        </is>
      </c>
      <c r="BD1102" t="inlineStr">
        <is>
          <t>893327172</t>
        </is>
      </c>
    </row>
    <row r="1103">
      <c r="A1103" t="inlineStr">
        <is>
          <t>No</t>
        </is>
      </c>
      <c r="B1103" t="inlineStr">
        <is>
          <t>BT75.2 .C69 1984</t>
        </is>
      </c>
      <c r="C1103" t="inlineStr">
        <is>
          <t>0                      BT 0075200C  69          1984</t>
        </is>
      </c>
      <c r="D1103" t="inlineStr">
        <is>
          <t>Religion in The secular city : toward a postmodern theology / by Harvey Cox.</t>
        </is>
      </c>
      <c r="F1103" t="inlineStr">
        <is>
          <t>No</t>
        </is>
      </c>
      <c r="G1103" t="inlineStr">
        <is>
          <t>1</t>
        </is>
      </c>
      <c r="H1103" t="inlineStr">
        <is>
          <t>No</t>
        </is>
      </c>
      <c r="I1103" t="inlineStr">
        <is>
          <t>No</t>
        </is>
      </c>
      <c r="J1103" t="inlineStr">
        <is>
          <t>0</t>
        </is>
      </c>
      <c r="K1103" t="inlineStr">
        <is>
          <t>Cox, Harvey, 1929-</t>
        </is>
      </c>
      <c r="L1103" t="inlineStr">
        <is>
          <t>New York : Simon and Schuster, c1984.</t>
        </is>
      </c>
      <c r="M1103" t="inlineStr">
        <is>
          <t>1984</t>
        </is>
      </c>
      <c r="O1103" t="inlineStr">
        <is>
          <t>eng</t>
        </is>
      </c>
      <c r="P1103" t="inlineStr">
        <is>
          <t>nyu</t>
        </is>
      </c>
      <c r="R1103" t="inlineStr">
        <is>
          <t xml:space="preserve">BT </t>
        </is>
      </c>
      <c r="S1103" t="n">
        <v>8</v>
      </c>
      <c r="T1103" t="n">
        <v>8</v>
      </c>
      <c r="U1103" t="inlineStr">
        <is>
          <t>2008-12-06</t>
        </is>
      </c>
      <c r="V1103" t="inlineStr">
        <is>
          <t>2008-12-06</t>
        </is>
      </c>
      <c r="W1103" t="inlineStr">
        <is>
          <t>1991-06-21</t>
        </is>
      </c>
      <c r="X1103" t="inlineStr">
        <is>
          <t>1991-06-21</t>
        </is>
      </c>
      <c r="Y1103" t="n">
        <v>1395</v>
      </c>
      <c r="Z1103" t="n">
        <v>1249</v>
      </c>
      <c r="AA1103" t="n">
        <v>1255</v>
      </c>
      <c r="AB1103" t="n">
        <v>10</v>
      </c>
      <c r="AC1103" t="n">
        <v>10</v>
      </c>
      <c r="AD1103" t="n">
        <v>47</v>
      </c>
      <c r="AE1103" t="n">
        <v>47</v>
      </c>
      <c r="AF1103" t="n">
        <v>19</v>
      </c>
      <c r="AG1103" t="n">
        <v>19</v>
      </c>
      <c r="AH1103" t="n">
        <v>9</v>
      </c>
      <c r="AI1103" t="n">
        <v>9</v>
      </c>
      <c r="AJ1103" t="n">
        <v>23</v>
      </c>
      <c r="AK1103" t="n">
        <v>23</v>
      </c>
      <c r="AL1103" t="n">
        <v>8</v>
      </c>
      <c r="AM1103" t="n">
        <v>8</v>
      </c>
      <c r="AN1103" t="n">
        <v>0</v>
      </c>
      <c r="AO1103" t="n">
        <v>0</v>
      </c>
      <c r="AP1103" t="inlineStr">
        <is>
          <t>No</t>
        </is>
      </c>
      <c r="AQ1103" t="inlineStr">
        <is>
          <t>Yes</t>
        </is>
      </c>
      <c r="AR1103">
        <f>HYPERLINK("http://catalog.hathitrust.org/Record/000323543","HathiTrust Record")</f>
        <v/>
      </c>
      <c r="AS1103">
        <f>HYPERLINK("https://creighton-primo.hosted.exlibrisgroup.com/primo-explore/search?tab=default_tab&amp;search_scope=EVERYTHING&amp;vid=01CRU&amp;lang=en_US&amp;offset=0&amp;query=any,contains,991000292029702656","Catalog Record")</f>
        <v/>
      </c>
      <c r="AT1103">
        <f>HYPERLINK("http://www.worldcat.org/oclc/9970196","WorldCat Record")</f>
        <v/>
      </c>
      <c r="AU1103" t="inlineStr">
        <is>
          <t>43839893:eng</t>
        </is>
      </c>
      <c r="AV1103" t="inlineStr">
        <is>
          <t>9970196</t>
        </is>
      </c>
      <c r="AW1103" t="inlineStr">
        <is>
          <t>991000292029702656</t>
        </is>
      </c>
      <c r="AX1103" t="inlineStr">
        <is>
          <t>991000292029702656</t>
        </is>
      </c>
      <c r="AY1103" t="inlineStr">
        <is>
          <t>2254863990002656</t>
        </is>
      </c>
      <c r="AZ1103" t="inlineStr">
        <is>
          <t>BOOK</t>
        </is>
      </c>
      <c r="BB1103" t="inlineStr">
        <is>
          <t>9780671453442</t>
        </is>
      </c>
      <c r="BC1103" t="inlineStr">
        <is>
          <t>32285000687839</t>
        </is>
      </c>
      <c r="BD1103" t="inlineStr">
        <is>
          <t>893865251</t>
        </is>
      </c>
    </row>
    <row r="1104">
      <c r="A1104" t="inlineStr">
        <is>
          <t>No</t>
        </is>
      </c>
      <c r="B1104" t="inlineStr">
        <is>
          <t>BT75.2 .C74 1986</t>
        </is>
      </c>
      <c r="C1104" t="inlineStr">
        <is>
          <t>0                      BT 0075200C  74          1986</t>
        </is>
      </c>
      <c r="D1104" t="inlineStr">
        <is>
          <t>Ultimate questions : a theological primer / Clyde F. Crews.</t>
        </is>
      </c>
      <c r="F1104" t="inlineStr">
        <is>
          <t>No</t>
        </is>
      </c>
      <c r="G1104" t="inlineStr">
        <is>
          <t>1</t>
        </is>
      </c>
      <c r="H1104" t="inlineStr">
        <is>
          <t>No</t>
        </is>
      </c>
      <c r="I1104" t="inlineStr">
        <is>
          <t>No</t>
        </is>
      </c>
      <c r="J1104" t="inlineStr">
        <is>
          <t>0</t>
        </is>
      </c>
      <c r="K1104" t="inlineStr">
        <is>
          <t>Crews, Clyde F.</t>
        </is>
      </c>
      <c r="L1104" t="inlineStr">
        <is>
          <t>New York : Paulist Press, c1986.</t>
        </is>
      </c>
      <c r="M1104" t="inlineStr">
        <is>
          <t>1986</t>
        </is>
      </c>
      <c r="O1104" t="inlineStr">
        <is>
          <t>eng</t>
        </is>
      </c>
      <c r="P1104" t="inlineStr">
        <is>
          <t>nyu</t>
        </is>
      </c>
      <c r="R1104" t="inlineStr">
        <is>
          <t xml:space="preserve">BT </t>
        </is>
      </c>
      <c r="S1104" t="n">
        <v>7</v>
      </c>
      <c r="T1104" t="n">
        <v>7</v>
      </c>
      <c r="U1104" t="inlineStr">
        <is>
          <t>2009-02-19</t>
        </is>
      </c>
      <c r="V1104" t="inlineStr">
        <is>
          <t>2009-02-19</t>
        </is>
      </c>
      <c r="W1104" t="inlineStr">
        <is>
          <t>1991-06-21</t>
        </is>
      </c>
      <c r="X1104" t="inlineStr">
        <is>
          <t>1991-06-21</t>
        </is>
      </c>
      <c r="Y1104" t="n">
        <v>188</v>
      </c>
      <c r="Z1104" t="n">
        <v>166</v>
      </c>
      <c r="AA1104" t="n">
        <v>171</v>
      </c>
      <c r="AB1104" t="n">
        <v>1</v>
      </c>
      <c r="AC1104" t="n">
        <v>1</v>
      </c>
      <c r="AD1104" t="n">
        <v>21</v>
      </c>
      <c r="AE1104" t="n">
        <v>21</v>
      </c>
      <c r="AF1104" t="n">
        <v>7</v>
      </c>
      <c r="AG1104" t="n">
        <v>7</v>
      </c>
      <c r="AH1104" t="n">
        <v>5</v>
      </c>
      <c r="AI1104" t="n">
        <v>5</v>
      </c>
      <c r="AJ1104" t="n">
        <v>14</v>
      </c>
      <c r="AK1104" t="n">
        <v>14</v>
      </c>
      <c r="AL1104" t="n">
        <v>0</v>
      </c>
      <c r="AM1104" t="n">
        <v>0</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HYPERLINK("https://creighton-primo.hosted.exlibrisgroup.com/primo-explore/search?tab=default_tab&amp;search_scope=EVERYTHING&amp;vid=01CRU&amp;lang=en_US&amp;offset=0&amp;query=any,contains,991000929839702656","Catalog Record")</f>
        <v/>
      </c>
      <c r="AT1104">
        <f>HYPERLINK("http://www.worldcat.org/oclc/14257696","WorldCat Record")</f>
        <v/>
      </c>
      <c r="AU1104" t="inlineStr">
        <is>
          <t>1781955770:eng</t>
        </is>
      </c>
      <c r="AV1104" t="inlineStr">
        <is>
          <t>14257696</t>
        </is>
      </c>
      <c r="AW1104" t="inlineStr">
        <is>
          <t>991000929839702656</t>
        </is>
      </c>
      <c r="AX1104" t="inlineStr">
        <is>
          <t>991000929839702656</t>
        </is>
      </c>
      <c r="AY1104" t="inlineStr">
        <is>
          <t>2270972100002656</t>
        </is>
      </c>
      <c r="AZ1104" t="inlineStr">
        <is>
          <t>BOOK</t>
        </is>
      </c>
      <c r="BB1104" t="inlineStr">
        <is>
          <t>9780809127740</t>
        </is>
      </c>
      <c r="BC1104" t="inlineStr">
        <is>
          <t>32285000687847</t>
        </is>
      </c>
      <c r="BD1104" t="inlineStr">
        <is>
          <t>893522142</t>
        </is>
      </c>
    </row>
    <row r="1105">
      <c r="A1105" t="inlineStr">
        <is>
          <t>No</t>
        </is>
      </c>
      <c r="B1105" t="inlineStr">
        <is>
          <t>BT75.2 .E74 1986</t>
        </is>
      </c>
      <c r="C1105" t="inlineStr">
        <is>
          <t>0                      BT 0075200E  74          1986</t>
        </is>
      </c>
      <c r="D1105" t="inlineStr">
        <is>
          <t>Christian theology / Millard J. Erickson.</t>
        </is>
      </c>
      <c r="F1105" t="inlineStr">
        <is>
          <t>No</t>
        </is>
      </c>
      <c r="G1105" t="inlineStr">
        <is>
          <t>1</t>
        </is>
      </c>
      <c r="H1105" t="inlineStr">
        <is>
          <t>No</t>
        </is>
      </c>
      <c r="I1105" t="inlineStr">
        <is>
          <t>Yes</t>
        </is>
      </c>
      <c r="J1105" t="inlineStr">
        <is>
          <t>0</t>
        </is>
      </c>
      <c r="K1105" t="inlineStr">
        <is>
          <t>Erickson, Millard J.</t>
        </is>
      </c>
      <c r="L1105" t="inlineStr">
        <is>
          <t>Grand Rapids, Mich. : Baker Book House, 1986, c1983-1985.</t>
        </is>
      </c>
      <c r="M1105" t="inlineStr">
        <is>
          <t>1986</t>
        </is>
      </c>
      <c r="O1105" t="inlineStr">
        <is>
          <t>eng</t>
        </is>
      </c>
      <c r="P1105" t="inlineStr">
        <is>
          <t>miu</t>
        </is>
      </c>
      <c r="R1105" t="inlineStr">
        <is>
          <t xml:space="preserve">BT </t>
        </is>
      </c>
      <c r="S1105" t="n">
        <v>9</v>
      </c>
      <c r="T1105" t="n">
        <v>9</v>
      </c>
      <c r="U1105" t="inlineStr">
        <is>
          <t>1995-01-16</t>
        </is>
      </c>
      <c r="V1105" t="inlineStr">
        <is>
          <t>1995-01-16</t>
        </is>
      </c>
      <c r="W1105" t="inlineStr">
        <is>
          <t>1993-05-27</t>
        </is>
      </c>
      <c r="X1105" t="inlineStr">
        <is>
          <t>1993-05-27</t>
        </is>
      </c>
      <c r="Y1105" t="n">
        <v>128</v>
      </c>
      <c r="Z1105" t="n">
        <v>124</v>
      </c>
      <c r="AA1105" t="n">
        <v>515</v>
      </c>
      <c r="AB1105" t="n">
        <v>3</v>
      </c>
      <c r="AC1105" t="n">
        <v>5</v>
      </c>
      <c r="AD1105" t="n">
        <v>7</v>
      </c>
      <c r="AE1105" t="n">
        <v>21</v>
      </c>
      <c r="AF1105" t="n">
        <v>3</v>
      </c>
      <c r="AG1105" t="n">
        <v>11</v>
      </c>
      <c r="AH1105" t="n">
        <v>1</v>
      </c>
      <c r="AI1105" t="n">
        <v>3</v>
      </c>
      <c r="AJ1105" t="n">
        <v>2</v>
      </c>
      <c r="AK1105" t="n">
        <v>9</v>
      </c>
      <c r="AL1105" t="n">
        <v>2</v>
      </c>
      <c r="AM1105" t="n">
        <v>3</v>
      </c>
      <c r="AN1105" t="n">
        <v>0</v>
      </c>
      <c r="AO1105" t="n">
        <v>0</v>
      </c>
      <c r="AP1105" t="inlineStr">
        <is>
          <t>No</t>
        </is>
      </c>
      <c r="AQ1105" t="inlineStr">
        <is>
          <t>Yes</t>
        </is>
      </c>
      <c r="AR1105">
        <f>HYPERLINK("http://catalog.hathitrust.org/Record/009814936","HathiTrust Record")</f>
        <v/>
      </c>
      <c r="AS1105">
        <f>HYPERLINK("https://creighton-primo.hosted.exlibrisgroup.com/primo-explore/search?tab=default_tab&amp;search_scope=EVERYTHING&amp;vid=01CRU&amp;lang=en_US&amp;offset=0&amp;query=any,contains,991000908559702656","Catalog Record")</f>
        <v/>
      </c>
      <c r="AT1105">
        <f>HYPERLINK("http://www.worldcat.org/oclc/14126371","WorldCat Record")</f>
        <v/>
      </c>
      <c r="AU1105" t="inlineStr">
        <is>
          <t>6270585:eng</t>
        </is>
      </c>
      <c r="AV1105" t="inlineStr">
        <is>
          <t>14126371</t>
        </is>
      </c>
      <c r="AW1105" t="inlineStr">
        <is>
          <t>991000908559702656</t>
        </is>
      </c>
      <c r="AX1105" t="inlineStr">
        <is>
          <t>991000908559702656</t>
        </is>
      </c>
      <c r="AY1105" t="inlineStr">
        <is>
          <t>2261964240002656</t>
        </is>
      </c>
      <c r="AZ1105" t="inlineStr">
        <is>
          <t>BOOK</t>
        </is>
      </c>
      <c r="BB1105" t="inlineStr">
        <is>
          <t>9780801034336</t>
        </is>
      </c>
      <c r="BC1105" t="inlineStr">
        <is>
          <t>32285001682771</t>
        </is>
      </c>
      <c r="BD1105" t="inlineStr">
        <is>
          <t>893509214</t>
        </is>
      </c>
    </row>
    <row r="1106">
      <c r="A1106" t="inlineStr">
        <is>
          <t>No</t>
        </is>
      </c>
      <c r="B1106" t="inlineStr">
        <is>
          <t>BT75.2 .F4213</t>
        </is>
      </c>
      <c r="C1106" t="inlineStr">
        <is>
          <t>0                      BT 0075200F  4213</t>
        </is>
      </c>
      <c r="D1106" t="inlineStr">
        <is>
          <t>The common catechism : a book of Christian faith / [edited by Johannes Feiner and Lukas Vischer ; with the cooperation of Josef Blank ... et al.]</t>
        </is>
      </c>
      <c r="F1106" t="inlineStr">
        <is>
          <t>No</t>
        </is>
      </c>
      <c r="G1106" t="inlineStr">
        <is>
          <t>1</t>
        </is>
      </c>
      <c r="H1106" t="inlineStr">
        <is>
          <t>No</t>
        </is>
      </c>
      <c r="I1106" t="inlineStr">
        <is>
          <t>No</t>
        </is>
      </c>
      <c r="J1106" t="inlineStr">
        <is>
          <t>0</t>
        </is>
      </c>
      <c r="K1106" t="inlineStr">
        <is>
          <t>Feiner, Johannes.</t>
        </is>
      </c>
      <c r="L1106" t="inlineStr">
        <is>
          <t>New York : Seabury Press, 1975.</t>
        </is>
      </c>
      <c r="M1106" t="inlineStr">
        <is>
          <t>1975</t>
        </is>
      </c>
      <c r="O1106" t="inlineStr">
        <is>
          <t>eng</t>
        </is>
      </c>
      <c r="P1106" t="inlineStr">
        <is>
          <t>nyu</t>
        </is>
      </c>
      <c r="R1106" t="inlineStr">
        <is>
          <t xml:space="preserve">BT </t>
        </is>
      </c>
      <c r="S1106" t="n">
        <v>3</v>
      </c>
      <c r="T1106" t="n">
        <v>3</v>
      </c>
      <c r="U1106" t="inlineStr">
        <is>
          <t>2010-12-11</t>
        </is>
      </c>
      <c r="V1106" t="inlineStr">
        <is>
          <t>2010-12-11</t>
        </is>
      </c>
      <c r="W1106" t="inlineStr">
        <is>
          <t>1991-06-21</t>
        </is>
      </c>
      <c r="X1106" t="inlineStr">
        <is>
          <t>1991-06-21</t>
        </is>
      </c>
      <c r="Y1106" t="n">
        <v>825</v>
      </c>
      <c r="Z1106" t="n">
        <v>763</v>
      </c>
      <c r="AA1106" t="n">
        <v>782</v>
      </c>
      <c r="AB1106" t="n">
        <v>10</v>
      </c>
      <c r="AC1106" t="n">
        <v>11</v>
      </c>
      <c r="AD1106" t="n">
        <v>45</v>
      </c>
      <c r="AE1106" t="n">
        <v>46</v>
      </c>
      <c r="AF1106" t="n">
        <v>20</v>
      </c>
      <c r="AG1106" t="n">
        <v>20</v>
      </c>
      <c r="AH1106" t="n">
        <v>7</v>
      </c>
      <c r="AI1106" t="n">
        <v>7</v>
      </c>
      <c r="AJ1106" t="n">
        <v>25</v>
      </c>
      <c r="AK1106" t="n">
        <v>25</v>
      </c>
      <c r="AL1106" t="n">
        <v>5</v>
      </c>
      <c r="AM1106" t="n">
        <v>6</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HYPERLINK("https://creighton-primo.hosted.exlibrisgroup.com/primo-explore/search?tab=default_tab&amp;search_scope=EVERYTHING&amp;vid=01CRU&amp;lang=en_US&amp;offset=0&amp;query=any,contains,991003598349702656","Catalog Record")</f>
        <v/>
      </c>
      <c r="AT1106">
        <f>HYPERLINK("http://www.worldcat.org/oclc/1176626","WorldCat Record")</f>
        <v/>
      </c>
      <c r="AU1106" t="inlineStr">
        <is>
          <t>479229:eng</t>
        </is>
      </c>
      <c r="AV1106" t="inlineStr">
        <is>
          <t>1176626</t>
        </is>
      </c>
      <c r="AW1106" t="inlineStr">
        <is>
          <t>991003598349702656</t>
        </is>
      </c>
      <c r="AX1106" t="inlineStr">
        <is>
          <t>991003598349702656</t>
        </is>
      </c>
      <c r="AY1106" t="inlineStr">
        <is>
          <t>2269697070002656</t>
        </is>
      </c>
      <c r="AZ1106" t="inlineStr">
        <is>
          <t>BOOK</t>
        </is>
      </c>
      <c r="BB1106" t="inlineStr">
        <is>
          <t>9780816402830</t>
        </is>
      </c>
      <c r="BC1106" t="inlineStr">
        <is>
          <t>32285000687870</t>
        </is>
      </c>
      <c r="BD1106" t="inlineStr">
        <is>
          <t>893330532</t>
        </is>
      </c>
    </row>
    <row r="1107">
      <c r="A1107" t="inlineStr">
        <is>
          <t>No</t>
        </is>
      </c>
      <c r="B1107" t="inlineStr">
        <is>
          <t>BT75.2 .F56 1984</t>
        </is>
      </c>
      <c r="C1107" t="inlineStr">
        <is>
          <t>0                      BT 0075200F  56          1984</t>
        </is>
      </c>
      <c r="D1107" t="inlineStr">
        <is>
          <t>Foundational theology : Jesus and the church / Francis Schüssler Fiorenza.</t>
        </is>
      </c>
      <c r="F1107" t="inlineStr">
        <is>
          <t>No</t>
        </is>
      </c>
      <c r="G1107" t="inlineStr">
        <is>
          <t>1</t>
        </is>
      </c>
      <c r="H1107" t="inlineStr">
        <is>
          <t>No</t>
        </is>
      </c>
      <c r="I1107" t="inlineStr">
        <is>
          <t>No</t>
        </is>
      </c>
      <c r="J1107" t="inlineStr">
        <is>
          <t>0</t>
        </is>
      </c>
      <c r="K1107" t="inlineStr">
        <is>
          <t>Fiorenza, Francis Schüssler.</t>
        </is>
      </c>
      <c r="L1107" t="inlineStr">
        <is>
          <t>New York : Crossroad, 1984.</t>
        </is>
      </c>
      <c r="M1107" t="inlineStr">
        <is>
          <t>1984</t>
        </is>
      </c>
      <c r="O1107" t="inlineStr">
        <is>
          <t>eng</t>
        </is>
      </c>
      <c r="P1107" t="inlineStr">
        <is>
          <t>nyu</t>
        </is>
      </c>
      <c r="R1107" t="inlineStr">
        <is>
          <t xml:space="preserve">BT </t>
        </is>
      </c>
      <c r="S1107" t="n">
        <v>1</v>
      </c>
      <c r="T1107" t="n">
        <v>1</v>
      </c>
      <c r="U1107" t="inlineStr">
        <is>
          <t>1995-03-27</t>
        </is>
      </c>
      <c r="V1107" t="inlineStr">
        <is>
          <t>1995-03-27</t>
        </is>
      </c>
      <c r="W1107" t="inlineStr">
        <is>
          <t>1990-02-12</t>
        </is>
      </c>
      <c r="X1107" t="inlineStr">
        <is>
          <t>1990-02-12</t>
        </is>
      </c>
      <c r="Y1107" t="n">
        <v>519</v>
      </c>
      <c r="Z1107" t="n">
        <v>432</v>
      </c>
      <c r="AA1107" t="n">
        <v>492</v>
      </c>
      <c r="AB1107" t="n">
        <v>3</v>
      </c>
      <c r="AC1107" t="n">
        <v>4</v>
      </c>
      <c r="AD1107" t="n">
        <v>37</v>
      </c>
      <c r="AE1107" t="n">
        <v>40</v>
      </c>
      <c r="AF1107" t="n">
        <v>14</v>
      </c>
      <c r="AG1107" t="n">
        <v>16</v>
      </c>
      <c r="AH1107" t="n">
        <v>9</v>
      </c>
      <c r="AI1107" t="n">
        <v>9</v>
      </c>
      <c r="AJ1107" t="n">
        <v>25</v>
      </c>
      <c r="AK1107" t="n">
        <v>26</v>
      </c>
      <c r="AL1107" t="n">
        <v>2</v>
      </c>
      <c r="AM1107" t="n">
        <v>2</v>
      </c>
      <c r="AN1107" t="n">
        <v>0</v>
      </c>
      <c r="AO1107" t="n">
        <v>0</v>
      </c>
      <c r="AP1107" t="inlineStr">
        <is>
          <t>No</t>
        </is>
      </c>
      <c r="AQ1107" t="inlineStr">
        <is>
          <t>Yes</t>
        </is>
      </c>
      <c r="AR1107">
        <f>HYPERLINK("http://catalog.hathitrust.org/Record/006762228","HathiTrust Record")</f>
        <v/>
      </c>
      <c r="AS1107">
        <f>HYPERLINK("https://creighton-primo.hosted.exlibrisgroup.com/primo-explore/search?tab=default_tab&amp;search_scope=EVERYTHING&amp;vid=01CRU&amp;lang=en_US&amp;offset=0&amp;query=any,contains,991000416519702656","Catalog Record")</f>
        <v/>
      </c>
      <c r="AT1107">
        <f>HYPERLINK("http://www.worldcat.org/oclc/10724806","WorldCat Record")</f>
        <v/>
      </c>
      <c r="AU1107" t="inlineStr">
        <is>
          <t>3401959:eng</t>
        </is>
      </c>
      <c r="AV1107" t="inlineStr">
        <is>
          <t>10724806</t>
        </is>
      </c>
      <c r="AW1107" t="inlineStr">
        <is>
          <t>991000416519702656</t>
        </is>
      </c>
      <c r="AX1107" t="inlineStr">
        <is>
          <t>991000416519702656</t>
        </is>
      </c>
      <c r="AY1107" t="inlineStr">
        <is>
          <t>2263289660002656</t>
        </is>
      </c>
      <c r="AZ1107" t="inlineStr">
        <is>
          <t>BOOK</t>
        </is>
      </c>
      <c r="BB1107" t="inlineStr">
        <is>
          <t>9780824504946</t>
        </is>
      </c>
      <c r="BC1107" t="inlineStr">
        <is>
          <t>32285000045715</t>
        </is>
      </c>
      <c r="BD1107" t="inlineStr">
        <is>
          <t>893515263</t>
        </is>
      </c>
    </row>
    <row r="1108">
      <c r="A1108" t="inlineStr">
        <is>
          <t>No</t>
        </is>
      </c>
      <c r="B1108" t="inlineStr">
        <is>
          <t>BT75.2 .K3413 1989a</t>
        </is>
      </c>
      <c r="C1108" t="inlineStr">
        <is>
          <t>0                      BT 0075200K  3413        1989a</t>
        </is>
      </c>
      <c r="D1108" t="inlineStr">
        <is>
          <t>Theology and church / Walter Kasper.</t>
        </is>
      </c>
      <c r="F1108" t="inlineStr">
        <is>
          <t>No</t>
        </is>
      </c>
      <c r="G1108" t="inlineStr">
        <is>
          <t>1</t>
        </is>
      </c>
      <c r="H1108" t="inlineStr">
        <is>
          <t>No</t>
        </is>
      </c>
      <c r="I1108" t="inlineStr">
        <is>
          <t>Yes</t>
        </is>
      </c>
      <c r="J1108" t="inlineStr">
        <is>
          <t>0</t>
        </is>
      </c>
      <c r="K1108" t="inlineStr">
        <is>
          <t>Kasper, Walter, 1933-</t>
        </is>
      </c>
      <c r="L1108" t="inlineStr">
        <is>
          <t>London : SCM, 1989.</t>
        </is>
      </c>
      <c r="M1108" t="inlineStr">
        <is>
          <t>1989</t>
        </is>
      </c>
      <c r="O1108" t="inlineStr">
        <is>
          <t>eng</t>
        </is>
      </c>
      <c r="P1108" t="inlineStr">
        <is>
          <t>enk</t>
        </is>
      </c>
      <c r="R1108" t="inlineStr">
        <is>
          <t xml:space="preserve">BT </t>
        </is>
      </c>
      <c r="S1108" t="n">
        <v>6</v>
      </c>
      <c r="T1108" t="n">
        <v>6</v>
      </c>
      <c r="U1108" t="inlineStr">
        <is>
          <t>1999-08-29</t>
        </is>
      </c>
      <c r="V1108" t="inlineStr">
        <is>
          <t>1999-08-29</t>
        </is>
      </c>
      <c r="W1108" t="inlineStr">
        <is>
          <t>1989-12-29</t>
        </is>
      </c>
      <c r="X1108" t="inlineStr">
        <is>
          <t>1989-12-29</t>
        </is>
      </c>
      <c r="Y1108" t="n">
        <v>91</v>
      </c>
      <c r="Z1108" t="n">
        <v>31</v>
      </c>
      <c r="AA1108" t="n">
        <v>280</v>
      </c>
      <c r="AB1108" t="n">
        <v>1</v>
      </c>
      <c r="AC1108" t="n">
        <v>2</v>
      </c>
      <c r="AD1108" t="n">
        <v>3</v>
      </c>
      <c r="AE1108" t="n">
        <v>30</v>
      </c>
      <c r="AF1108" t="n">
        <v>0</v>
      </c>
      <c r="AG1108" t="n">
        <v>10</v>
      </c>
      <c r="AH1108" t="n">
        <v>1</v>
      </c>
      <c r="AI1108" t="n">
        <v>9</v>
      </c>
      <c r="AJ1108" t="n">
        <v>3</v>
      </c>
      <c r="AK1108" t="n">
        <v>22</v>
      </c>
      <c r="AL1108" t="n">
        <v>0</v>
      </c>
      <c r="AM1108" t="n">
        <v>0</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HYPERLINK("https://creighton-primo.hosted.exlibrisgroup.com/primo-explore/search?tab=default_tab&amp;search_scope=EVERYTHING&amp;vid=01CRU&amp;lang=en_US&amp;offset=0&amp;query=any,contains,991001486239702656","Catalog Record")</f>
        <v/>
      </c>
      <c r="AT1108">
        <f>HYPERLINK("http://www.worldcat.org/oclc/19669048","WorldCat Record")</f>
        <v/>
      </c>
      <c r="AU1108" t="inlineStr">
        <is>
          <t>3901294884:eng</t>
        </is>
      </c>
      <c r="AV1108" t="inlineStr">
        <is>
          <t>19669048</t>
        </is>
      </c>
      <c r="AW1108" t="inlineStr">
        <is>
          <t>991001486239702656</t>
        </is>
      </c>
      <c r="AX1108" t="inlineStr">
        <is>
          <t>991001486239702656</t>
        </is>
      </c>
      <c r="AY1108" t="inlineStr">
        <is>
          <t>2262417790002656</t>
        </is>
      </c>
      <c r="AZ1108" t="inlineStr">
        <is>
          <t>BOOK</t>
        </is>
      </c>
      <c r="BB1108" t="inlineStr">
        <is>
          <t>9780334023586</t>
        </is>
      </c>
      <c r="BC1108" t="inlineStr">
        <is>
          <t>32285000026087</t>
        </is>
      </c>
      <c r="BD1108" t="inlineStr">
        <is>
          <t>893432882</t>
        </is>
      </c>
    </row>
    <row r="1109">
      <c r="A1109" t="inlineStr">
        <is>
          <t>No</t>
        </is>
      </c>
      <c r="B1109" t="inlineStr">
        <is>
          <t>BT75.2 .L413</t>
        </is>
      </c>
      <c r="C1109" t="inlineStr">
        <is>
          <t>0                      BT 0075200L  413</t>
        </is>
      </c>
      <c r="D1109" t="inlineStr">
        <is>
          <t>Christ and church; a theology of the mystery / by M. J. Le Guillou. Pref. by M. D. Chenu. Foreword by J. Bosc. Translated by Charles E. Schaldenbrand.</t>
        </is>
      </c>
      <c r="F1109" t="inlineStr">
        <is>
          <t>No</t>
        </is>
      </c>
      <c r="G1109" t="inlineStr">
        <is>
          <t>1</t>
        </is>
      </c>
      <c r="H1109" t="inlineStr">
        <is>
          <t>No</t>
        </is>
      </c>
      <c r="I1109" t="inlineStr">
        <is>
          <t>No</t>
        </is>
      </c>
      <c r="J1109" t="inlineStr">
        <is>
          <t>0</t>
        </is>
      </c>
      <c r="K1109" t="inlineStr">
        <is>
          <t>Le Guillou, M.-J. (Marie-Joseph), 1920-1990.</t>
        </is>
      </c>
      <c r="L1109" t="inlineStr">
        <is>
          <t>New York, Desclee Co., 1966 [c1963]</t>
        </is>
      </c>
      <c r="M1109" t="inlineStr">
        <is>
          <t>1966</t>
        </is>
      </c>
      <c r="O1109" t="inlineStr">
        <is>
          <t>eng</t>
        </is>
      </c>
      <c r="P1109" t="inlineStr">
        <is>
          <t>nyu</t>
        </is>
      </c>
      <c r="R1109" t="inlineStr">
        <is>
          <t xml:space="preserve">BT </t>
        </is>
      </c>
      <c r="S1109" t="n">
        <v>2</v>
      </c>
      <c r="T1109" t="n">
        <v>2</v>
      </c>
      <c r="U1109" t="inlineStr">
        <is>
          <t>1992-05-15</t>
        </is>
      </c>
      <c r="V1109" t="inlineStr">
        <is>
          <t>1992-05-15</t>
        </is>
      </c>
      <c r="W1109" t="inlineStr">
        <is>
          <t>1991-06-21</t>
        </is>
      </c>
      <c r="X1109" t="inlineStr">
        <is>
          <t>1991-06-21</t>
        </is>
      </c>
      <c r="Y1109" t="n">
        <v>174</v>
      </c>
      <c r="Z1109" t="n">
        <v>149</v>
      </c>
      <c r="AA1109" t="n">
        <v>155</v>
      </c>
      <c r="AB1109" t="n">
        <v>2</v>
      </c>
      <c r="AC1109" t="n">
        <v>2</v>
      </c>
      <c r="AD1109" t="n">
        <v>23</v>
      </c>
      <c r="AE1109" t="n">
        <v>23</v>
      </c>
      <c r="AF1109" t="n">
        <v>4</v>
      </c>
      <c r="AG1109" t="n">
        <v>4</v>
      </c>
      <c r="AH1109" t="n">
        <v>7</v>
      </c>
      <c r="AI1109" t="n">
        <v>7</v>
      </c>
      <c r="AJ1109" t="n">
        <v>20</v>
      </c>
      <c r="AK1109" t="n">
        <v>20</v>
      </c>
      <c r="AL1109" t="n">
        <v>0</v>
      </c>
      <c r="AM1109" t="n">
        <v>0</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HYPERLINK("https://creighton-primo.hosted.exlibrisgroup.com/primo-explore/search?tab=default_tab&amp;search_scope=EVERYTHING&amp;vid=01CRU&amp;lang=en_US&amp;offset=0&amp;query=any,contains,991003112629702656","Catalog Record")</f>
        <v/>
      </c>
      <c r="AT1109">
        <f>HYPERLINK("http://www.worldcat.org/oclc/657838","WorldCat Record")</f>
        <v/>
      </c>
      <c r="AU1109" t="inlineStr">
        <is>
          <t>4663487215:eng</t>
        </is>
      </c>
      <c r="AV1109" t="inlineStr">
        <is>
          <t>657838</t>
        </is>
      </c>
      <c r="AW1109" t="inlineStr">
        <is>
          <t>991003112629702656</t>
        </is>
      </c>
      <c r="AX1109" t="inlineStr">
        <is>
          <t>991003112629702656</t>
        </is>
      </c>
      <c r="AY1109" t="inlineStr">
        <is>
          <t>2259915710002656</t>
        </is>
      </c>
      <c r="AZ1109" t="inlineStr">
        <is>
          <t>BOOK</t>
        </is>
      </c>
      <c r="BC1109" t="inlineStr">
        <is>
          <t>32285000687912</t>
        </is>
      </c>
      <c r="BD1109" t="inlineStr">
        <is>
          <t>893698681</t>
        </is>
      </c>
    </row>
    <row r="1110">
      <c r="A1110" t="inlineStr">
        <is>
          <t>No</t>
        </is>
      </c>
      <c r="B1110" t="inlineStr">
        <is>
          <t>BT75.2 .L47 1993</t>
        </is>
      </c>
      <c r="C1110" t="inlineStr">
        <is>
          <t>0                      BT 0075200L  47          1993</t>
        </is>
      </c>
      <c r="D1110" t="inlineStr">
        <is>
          <t>Basic Christian doctrine / John H. Leith.</t>
        </is>
      </c>
      <c r="F1110" t="inlineStr">
        <is>
          <t>No</t>
        </is>
      </c>
      <c r="G1110" t="inlineStr">
        <is>
          <t>1</t>
        </is>
      </c>
      <c r="H1110" t="inlineStr">
        <is>
          <t>No</t>
        </is>
      </c>
      <c r="I1110" t="inlineStr">
        <is>
          <t>No</t>
        </is>
      </c>
      <c r="J1110" t="inlineStr">
        <is>
          <t>0</t>
        </is>
      </c>
      <c r="K1110" t="inlineStr">
        <is>
          <t>Leith, John H.</t>
        </is>
      </c>
      <c r="L1110" t="inlineStr">
        <is>
          <t>Louisville, Ky. : Westminster/John Knox Press, c1993.</t>
        </is>
      </c>
      <c r="M1110" t="inlineStr">
        <is>
          <t>1993</t>
        </is>
      </c>
      <c r="N1110" t="inlineStr">
        <is>
          <t>1st ed.</t>
        </is>
      </c>
      <c r="O1110" t="inlineStr">
        <is>
          <t>eng</t>
        </is>
      </c>
      <c r="P1110" t="inlineStr">
        <is>
          <t>kyu</t>
        </is>
      </c>
      <c r="R1110" t="inlineStr">
        <is>
          <t xml:space="preserve">BT </t>
        </is>
      </c>
      <c r="S1110" t="n">
        <v>9</v>
      </c>
      <c r="T1110" t="n">
        <v>9</v>
      </c>
      <c r="U1110" t="inlineStr">
        <is>
          <t>2001-09-28</t>
        </is>
      </c>
      <c r="V1110" t="inlineStr">
        <is>
          <t>2001-09-28</t>
        </is>
      </c>
      <c r="W1110" t="inlineStr">
        <is>
          <t>1993-07-20</t>
        </is>
      </c>
      <c r="X1110" t="inlineStr">
        <is>
          <t>1993-07-20</t>
        </is>
      </c>
      <c r="Y1110" t="n">
        <v>292</v>
      </c>
      <c r="Z1110" t="n">
        <v>250</v>
      </c>
      <c r="AA1110" t="n">
        <v>250</v>
      </c>
      <c r="AB1110" t="n">
        <v>1</v>
      </c>
      <c r="AC1110" t="n">
        <v>1</v>
      </c>
      <c r="AD1110" t="n">
        <v>13</v>
      </c>
      <c r="AE1110" t="n">
        <v>13</v>
      </c>
      <c r="AF1110" t="n">
        <v>7</v>
      </c>
      <c r="AG1110" t="n">
        <v>7</v>
      </c>
      <c r="AH1110" t="n">
        <v>3</v>
      </c>
      <c r="AI1110" t="n">
        <v>3</v>
      </c>
      <c r="AJ1110" t="n">
        <v>6</v>
      </c>
      <c r="AK1110" t="n">
        <v>6</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HYPERLINK("https://creighton-primo.hosted.exlibrisgroup.com/primo-explore/search?tab=default_tab&amp;search_scope=EVERYTHING&amp;vid=01CRU&amp;lang=en_US&amp;offset=0&amp;query=any,contains,991002006209702656","Catalog Record")</f>
        <v/>
      </c>
      <c r="AT1110">
        <f>HYPERLINK("http://www.worldcat.org/oclc/25509123","WorldCat Record")</f>
        <v/>
      </c>
      <c r="AU1110" t="inlineStr">
        <is>
          <t>2673294:eng</t>
        </is>
      </c>
      <c r="AV1110" t="inlineStr">
        <is>
          <t>25509123</t>
        </is>
      </c>
      <c r="AW1110" t="inlineStr">
        <is>
          <t>991002006209702656</t>
        </is>
      </c>
      <c r="AX1110" t="inlineStr">
        <is>
          <t>991002006209702656</t>
        </is>
      </c>
      <c r="AY1110" t="inlineStr">
        <is>
          <t>2272106800002656</t>
        </is>
      </c>
      <c r="AZ1110" t="inlineStr">
        <is>
          <t>BOOK</t>
        </is>
      </c>
      <c r="BB1110" t="inlineStr">
        <is>
          <t>9780664251925</t>
        </is>
      </c>
      <c r="BC1110" t="inlineStr">
        <is>
          <t>32285001702991</t>
        </is>
      </c>
      <c r="BD1110" t="inlineStr">
        <is>
          <t>893439663</t>
        </is>
      </c>
    </row>
    <row r="1111">
      <c r="A1111" t="inlineStr">
        <is>
          <t>No</t>
        </is>
      </c>
      <c r="B1111" t="inlineStr">
        <is>
          <t>BT75.2 .M3 1977</t>
        </is>
      </c>
      <c r="C1111" t="inlineStr">
        <is>
          <t>0                      BT 0075200M  3           1977</t>
        </is>
      </c>
      <c r="D1111" t="inlineStr">
        <is>
          <t>Principles of Christian theology / John Macquarrie.</t>
        </is>
      </c>
      <c r="F1111" t="inlineStr">
        <is>
          <t>No</t>
        </is>
      </c>
      <c r="G1111" t="inlineStr">
        <is>
          <t>1</t>
        </is>
      </c>
      <c r="H1111" t="inlineStr">
        <is>
          <t>No</t>
        </is>
      </c>
      <c r="I1111" t="inlineStr">
        <is>
          <t>No</t>
        </is>
      </c>
      <c r="J1111" t="inlineStr">
        <is>
          <t>0</t>
        </is>
      </c>
      <c r="K1111" t="inlineStr">
        <is>
          <t>Macquarrie, John.</t>
        </is>
      </c>
      <c r="L1111" t="inlineStr">
        <is>
          <t>New York : Scribner, c1977.</t>
        </is>
      </c>
      <c r="M1111" t="inlineStr">
        <is>
          <t>1977</t>
        </is>
      </c>
      <c r="N1111" t="inlineStr">
        <is>
          <t>2d ed.</t>
        </is>
      </c>
      <c r="O1111" t="inlineStr">
        <is>
          <t>eng</t>
        </is>
      </c>
      <c r="P1111" t="inlineStr">
        <is>
          <t>nyu</t>
        </is>
      </c>
      <c r="R1111" t="inlineStr">
        <is>
          <t xml:space="preserve">BT </t>
        </is>
      </c>
      <c r="S1111" t="n">
        <v>4</v>
      </c>
      <c r="T1111" t="n">
        <v>4</v>
      </c>
      <c r="U1111" t="inlineStr">
        <is>
          <t>2003-08-05</t>
        </is>
      </c>
      <c r="V1111" t="inlineStr">
        <is>
          <t>2003-08-05</t>
        </is>
      </c>
      <c r="W1111" t="inlineStr">
        <is>
          <t>1990-04-04</t>
        </is>
      </c>
      <c r="X1111" t="inlineStr">
        <is>
          <t>1990-04-04</t>
        </is>
      </c>
      <c r="Y1111" t="n">
        <v>669</v>
      </c>
      <c r="Z1111" t="n">
        <v>601</v>
      </c>
      <c r="AA1111" t="n">
        <v>1080</v>
      </c>
      <c r="AB1111" t="n">
        <v>7</v>
      </c>
      <c r="AC1111" t="n">
        <v>9</v>
      </c>
      <c r="AD1111" t="n">
        <v>39</v>
      </c>
      <c r="AE1111" t="n">
        <v>53</v>
      </c>
      <c r="AF1111" t="n">
        <v>17</v>
      </c>
      <c r="AG1111" t="n">
        <v>22</v>
      </c>
      <c r="AH1111" t="n">
        <v>6</v>
      </c>
      <c r="AI1111" t="n">
        <v>9</v>
      </c>
      <c r="AJ1111" t="n">
        <v>22</v>
      </c>
      <c r="AK1111" t="n">
        <v>28</v>
      </c>
      <c r="AL1111" t="n">
        <v>5</v>
      </c>
      <c r="AM1111" t="n">
        <v>7</v>
      </c>
      <c r="AN1111" t="n">
        <v>0</v>
      </c>
      <c r="AO1111" t="n">
        <v>0</v>
      </c>
      <c r="AP1111" t="inlineStr">
        <is>
          <t>No</t>
        </is>
      </c>
      <c r="AQ1111" t="inlineStr">
        <is>
          <t>Yes</t>
        </is>
      </c>
      <c r="AR1111">
        <f>HYPERLINK("http://catalog.hathitrust.org/Record/102025699","HathiTrust Record")</f>
        <v/>
      </c>
      <c r="AS1111">
        <f>HYPERLINK("https://creighton-primo.hosted.exlibrisgroup.com/primo-explore/search?tab=default_tab&amp;search_scope=EVERYTHING&amp;vid=01CRU&amp;lang=en_US&amp;offset=0&amp;query=any,contains,991004091139702656","Catalog Record")</f>
        <v/>
      </c>
      <c r="AT1111">
        <f>HYPERLINK("http://www.worldcat.org/oclc/2345718","WorldCat Record")</f>
        <v/>
      </c>
      <c r="AU1111" t="inlineStr">
        <is>
          <t>682320:eng</t>
        </is>
      </c>
      <c r="AV1111" t="inlineStr">
        <is>
          <t>2345718</t>
        </is>
      </c>
      <c r="AW1111" t="inlineStr">
        <is>
          <t>991004091139702656</t>
        </is>
      </c>
      <c r="AX1111" t="inlineStr">
        <is>
          <t>991004091139702656</t>
        </is>
      </c>
      <c r="AY1111" t="inlineStr">
        <is>
          <t>2262099640002656</t>
        </is>
      </c>
      <c r="AZ1111" t="inlineStr">
        <is>
          <t>BOOK</t>
        </is>
      </c>
      <c r="BB1111" t="inlineStr">
        <is>
          <t>9780684147765</t>
        </is>
      </c>
      <c r="BC1111" t="inlineStr">
        <is>
          <t>32285000111418</t>
        </is>
      </c>
      <c r="BD1111" t="inlineStr">
        <is>
          <t>893611908</t>
        </is>
      </c>
    </row>
    <row r="1112">
      <c r="A1112" t="inlineStr">
        <is>
          <t>No</t>
        </is>
      </c>
      <c r="B1112" t="inlineStr">
        <is>
          <t>BT75.2 .P57</t>
        </is>
      </c>
      <c r="C1112" t="inlineStr">
        <is>
          <t>0                      BT 0075200P  57</t>
        </is>
      </c>
      <c r="D1112" t="inlineStr">
        <is>
          <t>Catholic faith in a process perspective / Norman Pittenger.</t>
        </is>
      </c>
      <c r="F1112" t="inlineStr">
        <is>
          <t>No</t>
        </is>
      </c>
      <c r="G1112" t="inlineStr">
        <is>
          <t>1</t>
        </is>
      </c>
      <c r="H1112" t="inlineStr">
        <is>
          <t>No</t>
        </is>
      </c>
      <c r="I1112" t="inlineStr">
        <is>
          <t>No</t>
        </is>
      </c>
      <c r="J1112" t="inlineStr">
        <is>
          <t>0</t>
        </is>
      </c>
      <c r="K1112" t="inlineStr">
        <is>
          <t>Pittenger, W. Norman (William Norman), 1905-1997.</t>
        </is>
      </c>
      <c r="L1112" t="inlineStr">
        <is>
          <t>Maryknoll, NY : Orbis Books, c1981.</t>
        </is>
      </c>
      <c r="M1112" t="inlineStr">
        <is>
          <t>1981</t>
        </is>
      </c>
      <c r="O1112" t="inlineStr">
        <is>
          <t>eng</t>
        </is>
      </c>
      <c r="P1112" t="inlineStr">
        <is>
          <t>nyu</t>
        </is>
      </c>
      <c r="R1112" t="inlineStr">
        <is>
          <t xml:space="preserve">BT </t>
        </is>
      </c>
      <c r="S1112" t="n">
        <v>6</v>
      </c>
      <c r="T1112" t="n">
        <v>6</v>
      </c>
      <c r="U1112" t="inlineStr">
        <is>
          <t>2004-06-15</t>
        </is>
      </c>
      <c r="V1112" t="inlineStr">
        <is>
          <t>2004-06-15</t>
        </is>
      </c>
      <c r="W1112" t="inlineStr">
        <is>
          <t>1991-06-21</t>
        </is>
      </c>
      <c r="X1112" t="inlineStr">
        <is>
          <t>1991-06-21</t>
        </is>
      </c>
      <c r="Y1112" t="n">
        <v>287</v>
      </c>
      <c r="Z1112" t="n">
        <v>228</v>
      </c>
      <c r="AA1112" t="n">
        <v>235</v>
      </c>
      <c r="AB1112" t="n">
        <v>1</v>
      </c>
      <c r="AC1112" t="n">
        <v>1</v>
      </c>
      <c r="AD1112" t="n">
        <v>22</v>
      </c>
      <c r="AE1112" t="n">
        <v>22</v>
      </c>
      <c r="AF1112" t="n">
        <v>7</v>
      </c>
      <c r="AG1112" t="n">
        <v>7</v>
      </c>
      <c r="AH1112" t="n">
        <v>7</v>
      </c>
      <c r="AI1112" t="n">
        <v>7</v>
      </c>
      <c r="AJ1112" t="n">
        <v>17</v>
      </c>
      <c r="AK1112" t="n">
        <v>17</v>
      </c>
      <c r="AL1112" t="n">
        <v>0</v>
      </c>
      <c r="AM1112" t="n">
        <v>0</v>
      </c>
      <c r="AN1112" t="n">
        <v>0</v>
      </c>
      <c r="AO1112" t="n">
        <v>0</v>
      </c>
      <c r="AP1112" t="inlineStr">
        <is>
          <t>No</t>
        </is>
      </c>
      <c r="AQ1112" t="inlineStr">
        <is>
          <t>Yes</t>
        </is>
      </c>
      <c r="AR1112">
        <f>HYPERLINK("http://catalog.hathitrust.org/Record/000762460","HathiTrust Record")</f>
        <v/>
      </c>
      <c r="AS1112">
        <f>HYPERLINK("https://creighton-primo.hosted.exlibrisgroup.com/primo-explore/search?tab=default_tab&amp;search_scope=EVERYTHING&amp;vid=01CRU&amp;lang=en_US&amp;offset=0&amp;query=any,contains,991005125999702656","Catalog Record")</f>
        <v/>
      </c>
      <c r="AT1112">
        <f>HYPERLINK("http://www.worldcat.org/oclc/7553584","WorldCat Record")</f>
        <v/>
      </c>
      <c r="AU1112" t="inlineStr">
        <is>
          <t>543349:eng</t>
        </is>
      </c>
      <c r="AV1112" t="inlineStr">
        <is>
          <t>7553584</t>
        </is>
      </c>
      <c r="AW1112" t="inlineStr">
        <is>
          <t>991005125999702656</t>
        </is>
      </c>
      <c r="AX1112" t="inlineStr">
        <is>
          <t>991005125999702656</t>
        </is>
      </c>
      <c r="AY1112" t="inlineStr">
        <is>
          <t>2262546620002656</t>
        </is>
      </c>
      <c r="AZ1112" t="inlineStr">
        <is>
          <t>BOOK</t>
        </is>
      </c>
      <c r="BB1112" t="inlineStr">
        <is>
          <t>9780883440919</t>
        </is>
      </c>
      <c r="BC1112" t="inlineStr">
        <is>
          <t>32285000687953</t>
        </is>
      </c>
      <c r="BD1112" t="inlineStr">
        <is>
          <t>893326204</t>
        </is>
      </c>
    </row>
    <row r="1113">
      <c r="A1113" t="inlineStr">
        <is>
          <t>No</t>
        </is>
      </c>
      <c r="B1113" t="inlineStr">
        <is>
          <t>BT75.2 .S76</t>
        </is>
      </c>
      <c r="C1113" t="inlineStr">
        <is>
          <t>0                      BT 0075200S  76</t>
        </is>
      </c>
      <c r="D1113" t="inlineStr">
        <is>
          <t>The promise of narrative theology : recovering the gospel in the church / George W. Stroup.</t>
        </is>
      </c>
      <c r="F1113" t="inlineStr">
        <is>
          <t>No</t>
        </is>
      </c>
      <c r="G1113" t="inlineStr">
        <is>
          <t>1</t>
        </is>
      </c>
      <c r="H1113" t="inlineStr">
        <is>
          <t>No</t>
        </is>
      </c>
      <c r="I1113" t="inlineStr">
        <is>
          <t>No</t>
        </is>
      </c>
      <c r="J1113" t="inlineStr">
        <is>
          <t>0</t>
        </is>
      </c>
      <c r="K1113" t="inlineStr">
        <is>
          <t>Stroup, George W., 1944-</t>
        </is>
      </c>
      <c r="L1113" t="inlineStr">
        <is>
          <t>Atlanta : John Knox Press, c1981.</t>
        </is>
      </c>
      <c r="M1113" t="inlineStr">
        <is>
          <t>1981</t>
        </is>
      </c>
      <c r="O1113" t="inlineStr">
        <is>
          <t>eng</t>
        </is>
      </c>
      <c r="P1113" t="inlineStr">
        <is>
          <t>gau</t>
        </is>
      </c>
      <c r="R1113" t="inlineStr">
        <is>
          <t xml:space="preserve">BT </t>
        </is>
      </c>
      <c r="S1113" t="n">
        <v>1</v>
      </c>
      <c r="T1113" t="n">
        <v>1</v>
      </c>
      <c r="U1113" t="inlineStr">
        <is>
          <t>2008-09-02</t>
        </is>
      </c>
      <c r="V1113" t="inlineStr">
        <is>
          <t>2008-09-02</t>
        </is>
      </c>
      <c r="W1113" t="inlineStr">
        <is>
          <t>1991-06-21</t>
        </is>
      </c>
      <c r="X1113" t="inlineStr">
        <is>
          <t>1991-06-21</t>
        </is>
      </c>
      <c r="Y1113" t="n">
        <v>265</v>
      </c>
      <c r="Z1113" t="n">
        <v>213</v>
      </c>
      <c r="AA1113" t="n">
        <v>247</v>
      </c>
      <c r="AB1113" t="n">
        <v>1</v>
      </c>
      <c r="AC1113" t="n">
        <v>1</v>
      </c>
      <c r="AD1113" t="n">
        <v>14</v>
      </c>
      <c r="AE1113" t="n">
        <v>16</v>
      </c>
      <c r="AF1113" t="n">
        <v>5</v>
      </c>
      <c r="AG1113" t="n">
        <v>7</v>
      </c>
      <c r="AH1113" t="n">
        <v>3</v>
      </c>
      <c r="AI1113" t="n">
        <v>3</v>
      </c>
      <c r="AJ1113" t="n">
        <v>9</v>
      </c>
      <c r="AK1113" t="n">
        <v>9</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HYPERLINK("https://creighton-primo.hosted.exlibrisgroup.com/primo-explore/search?tab=default_tab&amp;search_scope=EVERYTHING&amp;vid=01CRU&amp;lang=en_US&amp;offset=0&amp;query=any,contains,991005143839702656","Catalog Record")</f>
        <v/>
      </c>
      <c r="AT1113">
        <f>HYPERLINK("http://www.worldcat.org/oclc/7652824","WorldCat Record")</f>
        <v/>
      </c>
      <c r="AU1113" t="inlineStr">
        <is>
          <t>28549224:eng</t>
        </is>
      </c>
      <c r="AV1113" t="inlineStr">
        <is>
          <t>7652824</t>
        </is>
      </c>
      <c r="AW1113" t="inlineStr">
        <is>
          <t>991005143839702656</t>
        </is>
      </c>
      <c r="AX1113" t="inlineStr">
        <is>
          <t>991005143839702656</t>
        </is>
      </c>
      <c r="AY1113" t="inlineStr">
        <is>
          <t>2259175530002656</t>
        </is>
      </c>
      <c r="AZ1113" t="inlineStr">
        <is>
          <t>BOOK</t>
        </is>
      </c>
      <c r="BB1113" t="inlineStr">
        <is>
          <t>9780804206839</t>
        </is>
      </c>
      <c r="BC1113" t="inlineStr">
        <is>
          <t>32285000688027</t>
        </is>
      </c>
      <c r="BD1113" t="inlineStr">
        <is>
          <t>893701086</t>
        </is>
      </c>
    </row>
    <row r="1114">
      <c r="A1114" t="inlineStr">
        <is>
          <t>No</t>
        </is>
      </c>
      <c r="B1114" t="inlineStr">
        <is>
          <t>BT75.2 .W34 1980</t>
        </is>
      </c>
      <c r="C1114" t="inlineStr">
        <is>
          <t>0                      BT 0075200W  34          1980</t>
        </is>
      </c>
      <c r="D1114" t="inlineStr">
        <is>
          <t>Doxology : the praise of God in worship, doctrine, and life : a systematic theology / by Geoffrey Wainwright.</t>
        </is>
      </c>
      <c r="F1114" t="inlineStr">
        <is>
          <t>No</t>
        </is>
      </c>
      <c r="G1114" t="inlineStr">
        <is>
          <t>1</t>
        </is>
      </c>
      <c r="H1114" t="inlineStr">
        <is>
          <t>No</t>
        </is>
      </c>
      <c r="I1114" t="inlineStr">
        <is>
          <t>No</t>
        </is>
      </c>
      <c r="J1114" t="inlineStr">
        <is>
          <t>0</t>
        </is>
      </c>
      <c r="K1114" t="inlineStr">
        <is>
          <t>Wainwright, Geoffrey, 1939-</t>
        </is>
      </c>
      <c r="L1114" t="inlineStr">
        <is>
          <t>New York : Oxford University Press, 1980.</t>
        </is>
      </c>
      <c r="M1114" t="inlineStr">
        <is>
          <t>1980</t>
        </is>
      </c>
      <c r="O1114" t="inlineStr">
        <is>
          <t>eng</t>
        </is>
      </c>
      <c r="P1114" t="inlineStr">
        <is>
          <t>nyu</t>
        </is>
      </c>
      <c r="R1114" t="inlineStr">
        <is>
          <t xml:space="preserve">BT </t>
        </is>
      </c>
      <c r="S1114" t="n">
        <v>2</v>
      </c>
      <c r="T1114" t="n">
        <v>2</v>
      </c>
      <c r="U1114" t="inlineStr">
        <is>
          <t>2002-01-22</t>
        </is>
      </c>
      <c r="V1114" t="inlineStr">
        <is>
          <t>2002-01-22</t>
        </is>
      </c>
      <c r="W1114" t="inlineStr">
        <is>
          <t>1991-06-21</t>
        </is>
      </c>
      <c r="X1114" t="inlineStr">
        <is>
          <t>1991-06-21</t>
        </is>
      </c>
      <c r="Y1114" t="n">
        <v>615</v>
      </c>
      <c r="Z1114" t="n">
        <v>555</v>
      </c>
      <c r="AA1114" t="n">
        <v>630</v>
      </c>
      <c r="AB1114" t="n">
        <v>5</v>
      </c>
      <c r="AC1114" t="n">
        <v>6</v>
      </c>
      <c r="AD1114" t="n">
        <v>35</v>
      </c>
      <c r="AE1114" t="n">
        <v>36</v>
      </c>
      <c r="AF1114" t="n">
        <v>13</v>
      </c>
      <c r="AG1114" t="n">
        <v>14</v>
      </c>
      <c r="AH1114" t="n">
        <v>6</v>
      </c>
      <c r="AI1114" t="n">
        <v>6</v>
      </c>
      <c r="AJ1114" t="n">
        <v>22</v>
      </c>
      <c r="AK1114" t="n">
        <v>22</v>
      </c>
      <c r="AL1114" t="n">
        <v>4</v>
      </c>
      <c r="AM1114" t="n">
        <v>4</v>
      </c>
      <c r="AN1114" t="n">
        <v>0</v>
      </c>
      <c r="AO1114" t="n">
        <v>0</v>
      </c>
      <c r="AP1114" t="inlineStr">
        <is>
          <t>No</t>
        </is>
      </c>
      <c r="AQ1114" t="inlineStr">
        <is>
          <t>Yes</t>
        </is>
      </c>
      <c r="AR1114">
        <f>HYPERLINK("http://catalog.hathitrust.org/Record/000082615","HathiTrust Record")</f>
        <v/>
      </c>
      <c r="AS1114">
        <f>HYPERLINK("https://creighton-primo.hosted.exlibrisgroup.com/primo-explore/search?tab=default_tab&amp;search_scope=EVERYTHING&amp;vid=01CRU&amp;lang=en_US&amp;offset=0&amp;query=any,contains,991004926529702656","Catalog Record")</f>
        <v/>
      </c>
      <c r="AT1114">
        <f>HYPERLINK("http://www.worldcat.org/oclc/6086453","WorldCat Record")</f>
        <v/>
      </c>
      <c r="AU1114" t="inlineStr">
        <is>
          <t>836736934:eng</t>
        </is>
      </c>
      <c r="AV1114" t="inlineStr">
        <is>
          <t>6086453</t>
        </is>
      </c>
      <c r="AW1114" t="inlineStr">
        <is>
          <t>991004926529702656</t>
        </is>
      </c>
      <c r="AX1114" t="inlineStr">
        <is>
          <t>991004926529702656</t>
        </is>
      </c>
      <c r="AY1114" t="inlineStr">
        <is>
          <t>2257755840002656</t>
        </is>
      </c>
      <c r="AZ1114" t="inlineStr">
        <is>
          <t>BOOK</t>
        </is>
      </c>
      <c r="BB1114" t="inlineStr">
        <is>
          <t>9780195201925</t>
        </is>
      </c>
      <c r="BC1114" t="inlineStr">
        <is>
          <t>32285000688118</t>
        </is>
      </c>
      <c r="BD1114" t="inlineStr">
        <is>
          <t>893236063</t>
        </is>
      </c>
    </row>
    <row r="1115">
      <c r="A1115" t="inlineStr">
        <is>
          <t>No</t>
        </is>
      </c>
      <c r="B1115" t="inlineStr">
        <is>
          <t>BT75.2.T54 S9 1951</t>
        </is>
      </c>
      <c r="C1115" t="inlineStr">
        <is>
          <t>0                      BT 0075200T  54                 S  9           1951</t>
        </is>
      </c>
      <c r="D1115" t="inlineStr">
        <is>
          <t>Systematic theology / Paul Tillich.</t>
        </is>
      </c>
      <c r="E1115" t="inlineStr">
        <is>
          <t>V. 3</t>
        </is>
      </c>
      <c r="F1115" t="inlineStr">
        <is>
          <t>Yes</t>
        </is>
      </c>
      <c r="G1115" t="inlineStr">
        <is>
          <t>1</t>
        </is>
      </c>
      <c r="H1115" t="inlineStr">
        <is>
          <t>No</t>
        </is>
      </c>
      <c r="I1115" t="inlineStr">
        <is>
          <t>Yes</t>
        </is>
      </c>
      <c r="J1115" t="inlineStr">
        <is>
          <t>0</t>
        </is>
      </c>
      <c r="K1115" t="inlineStr">
        <is>
          <t>Tillich, Paul, 1886-1965.</t>
        </is>
      </c>
      <c r="L1115" t="inlineStr">
        <is>
          <t>Chicago, University of Chicago Press [1951-63]</t>
        </is>
      </c>
      <c r="M1115" t="inlineStr">
        <is>
          <t>1951</t>
        </is>
      </c>
      <c r="O1115" t="inlineStr">
        <is>
          <t>eng</t>
        </is>
      </c>
      <c r="P1115" t="inlineStr">
        <is>
          <t>ilu</t>
        </is>
      </c>
      <c r="R1115" t="inlineStr">
        <is>
          <t xml:space="preserve">BT </t>
        </is>
      </c>
      <c r="S1115" t="n">
        <v>0</v>
      </c>
      <c r="T1115" t="n">
        <v>3</v>
      </c>
      <c r="V1115" t="inlineStr">
        <is>
          <t>1996-02-26</t>
        </is>
      </c>
      <c r="W1115" t="inlineStr">
        <is>
          <t>1991-06-21</t>
        </is>
      </c>
      <c r="X1115" t="inlineStr">
        <is>
          <t>1991-06-21</t>
        </is>
      </c>
      <c r="Y1115" t="n">
        <v>1370</v>
      </c>
      <c r="Z1115" t="n">
        <v>1264</v>
      </c>
      <c r="AA1115" t="n">
        <v>1711</v>
      </c>
      <c r="AB1115" t="n">
        <v>11</v>
      </c>
      <c r="AC1115" t="n">
        <v>18</v>
      </c>
      <c r="AD1115" t="n">
        <v>53</v>
      </c>
      <c r="AE1115" t="n">
        <v>68</v>
      </c>
      <c r="AF1115" t="n">
        <v>24</v>
      </c>
      <c r="AG1115" t="n">
        <v>29</v>
      </c>
      <c r="AH1115" t="n">
        <v>8</v>
      </c>
      <c r="AI1115" t="n">
        <v>11</v>
      </c>
      <c r="AJ1115" t="n">
        <v>25</v>
      </c>
      <c r="AK1115" t="n">
        <v>28</v>
      </c>
      <c r="AL1115" t="n">
        <v>9</v>
      </c>
      <c r="AM1115" t="n">
        <v>14</v>
      </c>
      <c r="AN1115" t="n">
        <v>0</v>
      </c>
      <c r="AO1115" t="n">
        <v>0</v>
      </c>
      <c r="AP1115" t="inlineStr">
        <is>
          <t>No</t>
        </is>
      </c>
      <c r="AQ1115" t="inlineStr">
        <is>
          <t>Yes</t>
        </is>
      </c>
      <c r="AR1115">
        <f>HYPERLINK("http://catalog.hathitrust.org/Record/001411661","HathiTrust Record")</f>
        <v/>
      </c>
      <c r="AS1115">
        <f>HYPERLINK("https://creighton-primo.hosted.exlibrisgroup.com/primo-explore/search?tab=default_tab&amp;search_scope=EVERYTHING&amp;vid=01CRU&amp;lang=en_US&amp;offset=0&amp;query=any,contains,991002075049702656","Catalog Record")</f>
        <v/>
      </c>
      <c r="AT1115">
        <f>HYPERLINK("http://www.worldcat.org/oclc/263839","WorldCat Record")</f>
        <v/>
      </c>
      <c r="AU1115" t="inlineStr">
        <is>
          <t>4663589854:eng</t>
        </is>
      </c>
      <c r="AV1115" t="inlineStr">
        <is>
          <t>263839</t>
        </is>
      </c>
      <c r="AW1115" t="inlineStr">
        <is>
          <t>991002075049702656</t>
        </is>
      </c>
      <c r="AX1115" t="inlineStr">
        <is>
          <t>991002075049702656</t>
        </is>
      </c>
      <c r="AY1115" t="inlineStr">
        <is>
          <t>2268580930002656</t>
        </is>
      </c>
      <c r="AZ1115" t="inlineStr">
        <is>
          <t>BOOK</t>
        </is>
      </c>
      <c r="BC1115" t="inlineStr">
        <is>
          <t>32285000688084</t>
        </is>
      </c>
      <c r="BD1115" t="inlineStr">
        <is>
          <t>893721265</t>
        </is>
      </c>
    </row>
    <row r="1116">
      <c r="A1116" t="inlineStr">
        <is>
          <t>No</t>
        </is>
      </c>
      <c r="B1116" t="inlineStr">
        <is>
          <t>BT75.2.T54 S9 1951</t>
        </is>
      </c>
      <c r="C1116" t="inlineStr">
        <is>
          <t>0                      BT 0075200T  54                 S  9           1951</t>
        </is>
      </c>
      <c r="D1116" t="inlineStr">
        <is>
          <t>Systematic theology / Paul Tillich.</t>
        </is>
      </c>
      <c r="E1116" t="inlineStr">
        <is>
          <t>V. 2</t>
        </is>
      </c>
      <c r="F1116" t="inlineStr">
        <is>
          <t>Yes</t>
        </is>
      </c>
      <c r="G1116" t="inlineStr">
        <is>
          <t>1</t>
        </is>
      </c>
      <c r="H1116" t="inlineStr">
        <is>
          <t>No</t>
        </is>
      </c>
      <c r="I1116" t="inlineStr">
        <is>
          <t>Yes</t>
        </is>
      </c>
      <c r="J1116" t="inlineStr">
        <is>
          <t>0</t>
        </is>
      </c>
      <c r="K1116" t="inlineStr">
        <is>
          <t>Tillich, Paul, 1886-1965.</t>
        </is>
      </c>
      <c r="L1116" t="inlineStr">
        <is>
          <t>Chicago, University of Chicago Press [1951-63]</t>
        </is>
      </c>
      <c r="M1116" t="inlineStr">
        <is>
          <t>1951</t>
        </is>
      </c>
      <c r="O1116" t="inlineStr">
        <is>
          <t>eng</t>
        </is>
      </c>
      <c r="P1116" t="inlineStr">
        <is>
          <t>ilu</t>
        </is>
      </c>
      <c r="R1116" t="inlineStr">
        <is>
          <t xml:space="preserve">BT </t>
        </is>
      </c>
      <c r="S1116" t="n">
        <v>1</v>
      </c>
      <c r="T1116" t="n">
        <v>3</v>
      </c>
      <c r="U1116" t="inlineStr">
        <is>
          <t>1996-02-26</t>
        </is>
      </c>
      <c r="V1116" t="inlineStr">
        <is>
          <t>1996-02-26</t>
        </is>
      </c>
      <c r="W1116" t="inlineStr">
        <is>
          <t>1991-06-21</t>
        </is>
      </c>
      <c r="X1116" t="inlineStr">
        <is>
          <t>1991-06-21</t>
        </is>
      </c>
      <c r="Y1116" t="n">
        <v>1370</v>
      </c>
      <c r="Z1116" t="n">
        <v>1264</v>
      </c>
      <c r="AA1116" t="n">
        <v>1711</v>
      </c>
      <c r="AB1116" t="n">
        <v>11</v>
      </c>
      <c r="AC1116" t="n">
        <v>18</v>
      </c>
      <c r="AD1116" t="n">
        <v>53</v>
      </c>
      <c r="AE1116" t="n">
        <v>68</v>
      </c>
      <c r="AF1116" t="n">
        <v>24</v>
      </c>
      <c r="AG1116" t="n">
        <v>29</v>
      </c>
      <c r="AH1116" t="n">
        <v>8</v>
      </c>
      <c r="AI1116" t="n">
        <v>11</v>
      </c>
      <c r="AJ1116" t="n">
        <v>25</v>
      </c>
      <c r="AK1116" t="n">
        <v>28</v>
      </c>
      <c r="AL1116" t="n">
        <v>9</v>
      </c>
      <c r="AM1116" t="n">
        <v>14</v>
      </c>
      <c r="AN1116" t="n">
        <v>0</v>
      </c>
      <c r="AO1116" t="n">
        <v>0</v>
      </c>
      <c r="AP1116" t="inlineStr">
        <is>
          <t>No</t>
        </is>
      </c>
      <c r="AQ1116" t="inlineStr">
        <is>
          <t>Yes</t>
        </is>
      </c>
      <c r="AR1116">
        <f>HYPERLINK("http://catalog.hathitrust.org/Record/001411661","HathiTrust Record")</f>
        <v/>
      </c>
      <c r="AS1116">
        <f>HYPERLINK("https://creighton-primo.hosted.exlibrisgroup.com/primo-explore/search?tab=default_tab&amp;search_scope=EVERYTHING&amp;vid=01CRU&amp;lang=en_US&amp;offset=0&amp;query=any,contains,991002075049702656","Catalog Record")</f>
        <v/>
      </c>
      <c r="AT1116">
        <f>HYPERLINK("http://www.worldcat.org/oclc/263839","WorldCat Record")</f>
        <v/>
      </c>
      <c r="AU1116" t="inlineStr">
        <is>
          <t>4663589854:eng</t>
        </is>
      </c>
      <c r="AV1116" t="inlineStr">
        <is>
          <t>263839</t>
        </is>
      </c>
      <c r="AW1116" t="inlineStr">
        <is>
          <t>991002075049702656</t>
        </is>
      </c>
      <c r="AX1116" t="inlineStr">
        <is>
          <t>991002075049702656</t>
        </is>
      </c>
      <c r="AY1116" t="inlineStr">
        <is>
          <t>2268580930002656</t>
        </is>
      </c>
      <c r="AZ1116" t="inlineStr">
        <is>
          <t>BOOK</t>
        </is>
      </c>
      <c r="BC1116" t="inlineStr">
        <is>
          <t>32285000688076</t>
        </is>
      </c>
      <c r="BD1116" t="inlineStr">
        <is>
          <t>893697307</t>
        </is>
      </c>
    </row>
    <row r="1117">
      <c r="A1117" t="inlineStr">
        <is>
          <t>No</t>
        </is>
      </c>
      <c r="B1117" t="inlineStr">
        <is>
          <t>BT75.2.T54 S9 1951</t>
        </is>
      </c>
      <c r="C1117" t="inlineStr">
        <is>
          <t>0                      BT 0075200T  54                 S  9           1951</t>
        </is>
      </c>
      <c r="D1117" t="inlineStr">
        <is>
          <t>Systematic theology / Paul Tillich.</t>
        </is>
      </c>
      <c r="E1117" t="inlineStr">
        <is>
          <t>V. 1</t>
        </is>
      </c>
      <c r="F1117" t="inlineStr">
        <is>
          <t>Yes</t>
        </is>
      </c>
      <c r="G1117" t="inlineStr">
        <is>
          <t>1</t>
        </is>
      </c>
      <c r="H1117" t="inlineStr">
        <is>
          <t>No</t>
        </is>
      </c>
      <c r="I1117" t="inlineStr">
        <is>
          <t>Yes</t>
        </is>
      </c>
      <c r="J1117" t="inlineStr">
        <is>
          <t>0</t>
        </is>
      </c>
      <c r="K1117" t="inlineStr">
        <is>
          <t>Tillich, Paul, 1886-1965.</t>
        </is>
      </c>
      <c r="L1117" t="inlineStr">
        <is>
          <t>Chicago, University of Chicago Press [1951-63]</t>
        </is>
      </c>
      <c r="M1117" t="inlineStr">
        <is>
          <t>1951</t>
        </is>
      </c>
      <c r="O1117" t="inlineStr">
        <is>
          <t>eng</t>
        </is>
      </c>
      <c r="P1117" t="inlineStr">
        <is>
          <t>ilu</t>
        </is>
      </c>
      <c r="R1117" t="inlineStr">
        <is>
          <t xml:space="preserve">BT </t>
        </is>
      </c>
      <c r="S1117" t="n">
        <v>2</v>
      </c>
      <c r="T1117" t="n">
        <v>3</v>
      </c>
      <c r="V1117" t="inlineStr">
        <is>
          <t>1996-02-26</t>
        </is>
      </c>
      <c r="W1117" t="inlineStr">
        <is>
          <t>1991-06-21</t>
        </is>
      </c>
      <c r="X1117" t="inlineStr">
        <is>
          <t>1991-06-21</t>
        </is>
      </c>
      <c r="Y1117" t="n">
        <v>1370</v>
      </c>
      <c r="Z1117" t="n">
        <v>1264</v>
      </c>
      <c r="AA1117" t="n">
        <v>1711</v>
      </c>
      <c r="AB1117" t="n">
        <v>11</v>
      </c>
      <c r="AC1117" t="n">
        <v>18</v>
      </c>
      <c r="AD1117" t="n">
        <v>53</v>
      </c>
      <c r="AE1117" t="n">
        <v>68</v>
      </c>
      <c r="AF1117" t="n">
        <v>24</v>
      </c>
      <c r="AG1117" t="n">
        <v>29</v>
      </c>
      <c r="AH1117" t="n">
        <v>8</v>
      </c>
      <c r="AI1117" t="n">
        <v>11</v>
      </c>
      <c r="AJ1117" t="n">
        <v>25</v>
      </c>
      <c r="AK1117" t="n">
        <v>28</v>
      </c>
      <c r="AL1117" t="n">
        <v>9</v>
      </c>
      <c r="AM1117" t="n">
        <v>14</v>
      </c>
      <c r="AN1117" t="n">
        <v>0</v>
      </c>
      <c r="AO1117" t="n">
        <v>0</v>
      </c>
      <c r="AP1117" t="inlineStr">
        <is>
          <t>No</t>
        </is>
      </c>
      <c r="AQ1117" t="inlineStr">
        <is>
          <t>Yes</t>
        </is>
      </c>
      <c r="AR1117">
        <f>HYPERLINK("http://catalog.hathitrust.org/Record/001411661","HathiTrust Record")</f>
        <v/>
      </c>
      <c r="AS1117">
        <f>HYPERLINK("https://creighton-primo.hosted.exlibrisgroup.com/primo-explore/search?tab=default_tab&amp;search_scope=EVERYTHING&amp;vid=01CRU&amp;lang=en_US&amp;offset=0&amp;query=any,contains,991002075049702656","Catalog Record")</f>
        <v/>
      </c>
      <c r="AT1117">
        <f>HYPERLINK("http://www.worldcat.org/oclc/263839","WorldCat Record")</f>
        <v/>
      </c>
      <c r="AU1117" t="inlineStr">
        <is>
          <t>4663589854:eng</t>
        </is>
      </c>
      <c r="AV1117" t="inlineStr">
        <is>
          <t>263839</t>
        </is>
      </c>
      <c r="AW1117" t="inlineStr">
        <is>
          <t>991002075049702656</t>
        </is>
      </c>
      <c r="AX1117" t="inlineStr">
        <is>
          <t>991002075049702656</t>
        </is>
      </c>
      <c r="AY1117" t="inlineStr">
        <is>
          <t>2268580930002656</t>
        </is>
      </c>
      <c r="AZ1117" t="inlineStr">
        <is>
          <t>BOOK</t>
        </is>
      </c>
      <c r="BC1117" t="inlineStr">
        <is>
          <t>32285000688068</t>
        </is>
      </c>
      <c r="BD1117" t="inlineStr">
        <is>
          <t>893721266</t>
        </is>
      </c>
    </row>
    <row r="1118">
      <c r="A1118" t="inlineStr">
        <is>
          <t>No</t>
        </is>
      </c>
      <c r="B1118" t="inlineStr">
        <is>
          <t>BT75.B286 W43 1995</t>
        </is>
      </c>
      <c r="C1118" t="inlineStr">
        <is>
          <t>0                      BT 0075000B  286                W  43          1995</t>
        </is>
      </c>
      <c r="D1118" t="inlineStr">
        <is>
          <t>Barth's ethics of reconciliation / John Webster.</t>
        </is>
      </c>
      <c r="F1118" t="inlineStr">
        <is>
          <t>No</t>
        </is>
      </c>
      <c r="G1118" t="inlineStr">
        <is>
          <t>1</t>
        </is>
      </c>
      <c r="H1118" t="inlineStr">
        <is>
          <t>No</t>
        </is>
      </c>
      <c r="I1118" t="inlineStr">
        <is>
          <t>No</t>
        </is>
      </c>
      <c r="J1118" t="inlineStr">
        <is>
          <t>0</t>
        </is>
      </c>
      <c r="K1118" t="inlineStr">
        <is>
          <t>Webster, John, 1955-2016.</t>
        </is>
      </c>
      <c r="L1118" t="inlineStr">
        <is>
          <t>Cambridge ; New York : Cambridge University Press, 1995.</t>
        </is>
      </c>
      <c r="M1118" t="inlineStr">
        <is>
          <t>1995</t>
        </is>
      </c>
      <c r="O1118" t="inlineStr">
        <is>
          <t>eng</t>
        </is>
      </c>
      <c r="P1118" t="inlineStr">
        <is>
          <t>enk</t>
        </is>
      </c>
      <c r="R1118" t="inlineStr">
        <is>
          <t xml:space="preserve">BT </t>
        </is>
      </c>
      <c r="S1118" t="n">
        <v>4</v>
      </c>
      <c r="T1118" t="n">
        <v>4</v>
      </c>
      <c r="U1118" t="inlineStr">
        <is>
          <t>1996-11-02</t>
        </is>
      </c>
      <c r="V1118" t="inlineStr">
        <is>
          <t>1996-11-02</t>
        </is>
      </c>
      <c r="W1118" t="inlineStr">
        <is>
          <t>1996-03-06</t>
        </is>
      </c>
      <c r="X1118" t="inlineStr">
        <is>
          <t>1996-03-06</t>
        </is>
      </c>
      <c r="Y1118" t="n">
        <v>325</v>
      </c>
      <c r="Z1118" t="n">
        <v>230</v>
      </c>
      <c r="AA1118" t="n">
        <v>235</v>
      </c>
      <c r="AB1118" t="n">
        <v>2</v>
      </c>
      <c r="AC1118" t="n">
        <v>2</v>
      </c>
      <c r="AD1118" t="n">
        <v>17</v>
      </c>
      <c r="AE1118" t="n">
        <v>17</v>
      </c>
      <c r="AF1118" t="n">
        <v>6</v>
      </c>
      <c r="AG1118" t="n">
        <v>6</v>
      </c>
      <c r="AH1118" t="n">
        <v>4</v>
      </c>
      <c r="AI1118" t="n">
        <v>4</v>
      </c>
      <c r="AJ1118" t="n">
        <v>11</v>
      </c>
      <c r="AK1118" t="n">
        <v>11</v>
      </c>
      <c r="AL1118" t="n">
        <v>1</v>
      </c>
      <c r="AM1118" t="n">
        <v>1</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HYPERLINK("https://creighton-primo.hosted.exlibrisgroup.com/primo-explore/search?tab=default_tab&amp;search_scope=EVERYTHING&amp;vid=01CRU&amp;lang=en_US&amp;offset=0&amp;query=any,contains,991002393659702656","Catalog Record")</f>
        <v/>
      </c>
      <c r="AT1118">
        <f>HYPERLINK("http://www.worldcat.org/oclc/31077237","WorldCat Record")</f>
        <v/>
      </c>
      <c r="AU1118" t="inlineStr">
        <is>
          <t>33031703:eng</t>
        </is>
      </c>
      <c r="AV1118" t="inlineStr">
        <is>
          <t>31077237</t>
        </is>
      </c>
      <c r="AW1118" t="inlineStr">
        <is>
          <t>991002393659702656</t>
        </is>
      </c>
      <c r="AX1118" t="inlineStr">
        <is>
          <t>991002393659702656</t>
        </is>
      </c>
      <c r="AY1118" t="inlineStr">
        <is>
          <t>2272150790002656</t>
        </is>
      </c>
      <c r="AZ1118" t="inlineStr">
        <is>
          <t>BOOK</t>
        </is>
      </c>
      <c r="BB1118" t="inlineStr">
        <is>
          <t>9780521474993</t>
        </is>
      </c>
      <c r="BC1118" t="inlineStr">
        <is>
          <t>32285002140522</t>
        </is>
      </c>
      <c r="BD1118" t="inlineStr">
        <is>
          <t>893898709</t>
        </is>
      </c>
    </row>
    <row r="1119">
      <c r="A1119" t="inlineStr">
        <is>
          <t>No</t>
        </is>
      </c>
      <c r="B1119" t="inlineStr">
        <is>
          <t>BT75.B78 C4</t>
        </is>
      </c>
      <c r="C1119" t="inlineStr">
        <is>
          <t>0                      BT 0075000B  78                 C  4</t>
        </is>
      </c>
      <c r="D1119" t="inlineStr">
        <is>
          <t>Dogmatics / Emil Brunner. Translated by Olive Wyon.</t>
        </is>
      </c>
      <c r="E1119" t="inlineStr">
        <is>
          <t>V.1</t>
        </is>
      </c>
      <c r="F1119" t="inlineStr">
        <is>
          <t>Yes</t>
        </is>
      </c>
      <c r="G1119" t="inlineStr">
        <is>
          <t>1</t>
        </is>
      </c>
      <c r="H1119" t="inlineStr">
        <is>
          <t>No</t>
        </is>
      </c>
      <c r="I1119" t="inlineStr">
        <is>
          <t>No</t>
        </is>
      </c>
      <c r="J1119" t="inlineStr">
        <is>
          <t>0</t>
        </is>
      </c>
      <c r="K1119" t="inlineStr">
        <is>
          <t>Brunner, Emil, 1889-1966.</t>
        </is>
      </c>
      <c r="L1119" t="inlineStr">
        <is>
          <t>Philadelphia, Westminster Press [1950-79]</t>
        </is>
      </c>
      <c r="M1119" t="inlineStr">
        <is>
          <t>1950</t>
        </is>
      </c>
      <c r="O1119" t="inlineStr">
        <is>
          <t>eng</t>
        </is>
      </c>
      <c r="P1119" t="inlineStr">
        <is>
          <t>pau</t>
        </is>
      </c>
      <c r="R1119" t="inlineStr">
        <is>
          <t xml:space="preserve">BT </t>
        </is>
      </c>
      <c r="S1119" t="n">
        <v>4</v>
      </c>
      <c r="T1119" t="n">
        <v>4</v>
      </c>
      <c r="U1119" t="inlineStr">
        <is>
          <t>2010-12-11</t>
        </is>
      </c>
      <c r="V1119" t="inlineStr">
        <is>
          <t>2010-12-11</t>
        </is>
      </c>
      <c r="W1119" t="inlineStr">
        <is>
          <t>1991-06-21</t>
        </is>
      </c>
      <c r="X1119" t="inlineStr">
        <is>
          <t>1991-06-21</t>
        </is>
      </c>
      <c r="Y1119" t="n">
        <v>721</v>
      </c>
      <c r="Z1119" t="n">
        <v>686</v>
      </c>
      <c r="AA1119" t="n">
        <v>731</v>
      </c>
      <c r="AB1119" t="n">
        <v>6</v>
      </c>
      <c r="AC1119" t="n">
        <v>6</v>
      </c>
      <c r="AD1119" t="n">
        <v>40</v>
      </c>
      <c r="AE1119" t="n">
        <v>41</v>
      </c>
      <c r="AF1119" t="n">
        <v>15</v>
      </c>
      <c r="AG1119" t="n">
        <v>15</v>
      </c>
      <c r="AH1119" t="n">
        <v>8</v>
      </c>
      <c r="AI1119" t="n">
        <v>9</v>
      </c>
      <c r="AJ1119" t="n">
        <v>23</v>
      </c>
      <c r="AK1119" t="n">
        <v>24</v>
      </c>
      <c r="AL1119" t="n">
        <v>5</v>
      </c>
      <c r="AM1119" t="n">
        <v>5</v>
      </c>
      <c r="AN1119" t="n">
        <v>0</v>
      </c>
      <c r="AO1119" t="n">
        <v>0</v>
      </c>
      <c r="AP1119" t="inlineStr">
        <is>
          <t>No</t>
        </is>
      </c>
      <c r="AQ1119" t="inlineStr">
        <is>
          <t>Yes</t>
        </is>
      </c>
      <c r="AR1119">
        <f>HYPERLINK("http://catalog.hathitrust.org/Record/007887576","HathiTrust Record")</f>
        <v/>
      </c>
      <c r="AS1119">
        <f>HYPERLINK("https://creighton-primo.hosted.exlibrisgroup.com/primo-explore/search?tab=default_tab&amp;search_scope=EVERYTHING&amp;vid=01CRU&amp;lang=en_US&amp;offset=0&amp;query=any,contains,991002648149702656","Catalog Record")</f>
        <v/>
      </c>
      <c r="AT1119">
        <f>HYPERLINK("http://www.worldcat.org/oclc/386350","WorldCat Record")</f>
        <v/>
      </c>
      <c r="AU1119" t="inlineStr">
        <is>
          <t>3372229473:eng</t>
        </is>
      </c>
      <c r="AV1119" t="inlineStr">
        <is>
          <t>386350</t>
        </is>
      </c>
      <c r="AW1119" t="inlineStr">
        <is>
          <t>991002648149702656</t>
        </is>
      </c>
      <c r="AX1119" t="inlineStr">
        <is>
          <t>991002648149702656</t>
        </is>
      </c>
      <c r="AY1119" t="inlineStr">
        <is>
          <t>2259451790002656</t>
        </is>
      </c>
      <c r="AZ1119" t="inlineStr">
        <is>
          <t>BOOK</t>
        </is>
      </c>
      <c r="BC1119" t="inlineStr">
        <is>
          <t>32285000687623</t>
        </is>
      </c>
      <c r="BD1119" t="inlineStr">
        <is>
          <t>893704316</t>
        </is>
      </c>
    </row>
    <row r="1120">
      <c r="A1120" t="inlineStr">
        <is>
          <t>No</t>
        </is>
      </c>
      <c r="B1120" t="inlineStr">
        <is>
          <t>BT75.B78 C4</t>
        </is>
      </c>
      <c r="C1120" t="inlineStr">
        <is>
          <t>0                      BT 0075000B  78                 C  4</t>
        </is>
      </c>
      <c r="D1120" t="inlineStr">
        <is>
          <t>Dogmatics / Emil Brunner. Translated by Olive Wyon.</t>
        </is>
      </c>
      <c r="E1120" t="inlineStr">
        <is>
          <t>V.2</t>
        </is>
      </c>
      <c r="F1120" t="inlineStr">
        <is>
          <t>Yes</t>
        </is>
      </c>
      <c r="G1120" t="inlineStr">
        <is>
          <t>1</t>
        </is>
      </c>
      <c r="H1120" t="inlineStr">
        <is>
          <t>No</t>
        </is>
      </c>
      <c r="I1120" t="inlineStr">
        <is>
          <t>No</t>
        </is>
      </c>
      <c r="J1120" t="inlineStr">
        <is>
          <t>0</t>
        </is>
      </c>
      <c r="K1120" t="inlineStr">
        <is>
          <t>Brunner, Emil, 1889-1966.</t>
        </is>
      </c>
      <c r="L1120" t="inlineStr">
        <is>
          <t>Philadelphia, Westminster Press [1950-79]</t>
        </is>
      </c>
      <c r="M1120" t="inlineStr">
        <is>
          <t>1950</t>
        </is>
      </c>
      <c r="O1120" t="inlineStr">
        <is>
          <t>eng</t>
        </is>
      </c>
      <c r="P1120" t="inlineStr">
        <is>
          <t>pau</t>
        </is>
      </c>
      <c r="R1120" t="inlineStr">
        <is>
          <t xml:space="preserve">BT </t>
        </is>
      </c>
      <c r="S1120" t="n">
        <v>0</v>
      </c>
      <c r="T1120" t="n">
        <v>4</v>
      </c>
      <c r="V1120" t="inlineStr">
        <is>
          <t>2010-12-11</t>
        </is>
      </c>
      <c r="W1120" t="inlineStr">
        <is>
          <t>1991-06-21</t>
        </is>
      </c>
      <c r="X1120" t="inlineStr">
        <is>
          <t>1991-06-21</t>
        </is>
      </c>
      <c r="Y1120" t="n">
        <v>721</v>
      </c>
      <c r="Z1120" t="n">
        <v>686</v>
      </c>
      <c r="AA1120" t="n">
        <v>731</v>
      </c>
      <c r="AB1120" t="n">
        <v>6</v>
      </c>
      <c r="AC1120" t="n">
        <v>6</v>
      </c>
      <c r="AD1120" t="n">
        <v>40</v>
      </c>
      <c r="AE1120" t="n">
        <v>41</v>
      </c>
      <c r="AF1120" t="n">
        <v>15</v>
      </c>
      <c r="AG1120" t="n">
        <v>15</v>
      </c>
      <c r="AH1120" t="n">
        <v>8</v>
      </c>
      <c r="AI1120" t="n">
        <v>9</v>
      </c>
      <c r="AJ1120" t="n">
        <v>23</v>
      </c>
      <c r="AK1120" t="n">
        <v>24</v>
      </c>
      <c r="AL1120" t="n">
        <v>5</v>
      </c>
      <c r="AM1120" t="n">
        <v>5</v>
      </c>
      <c r="AN1120" t="n">
        <v>0</v>
      </c>
      <c r="AO1120" t="n">
        <v>0</v>
      </c>
      <c r="AP1120" t="inlineStr">
        <is>
          <t>No</t>
        </is>
      </c>
      <c r="AQ1120" t="inlineStr">
        <is>
          <t>Yes</t>
        </is>
      </c>
      <c r="AR1120">
        <f>HYPERLINK("http://catalog.hathitrust.org/Record/007887576","HathiTrust Record")</f>
        <v/>
      </c>
      <c r="AS1120">
        <f>HYPERLINK("https://creighton-primo.hosted.exlibrisgroup.com/primo-explore/search?tab=default_tab&amp;search_scope=EVERYTHING&amp;vid=01CRU&amp;lang=en_US&amp;offset=0&amp;query=any,contains,991002648149702656","Catalog Record")</f>
        <v/>
      </c>
      <c r="AT1120">
        <f>HYPERLINK("http://www.worldcat.org/oclc/386350","WorldCat Record")</f>
        <v/>
      </c>
      <c r="AU1120" t="inlineStr">
        <is>
          <t>3372229473:eng</t>
        </is>
      </c>
      <c r="AV1120" t="inlineStr">
        <is>
          <t>386350</t>
        </is>
      </c>
      <c r="AW1120" t="inlineStr">
        <is>
          <t>991002648149702656</t>
        </is>
      </c>
      <c r="AX1120" t="inlineStr">
        <is>
          <t>991002648149702656</t>
        </is>
      </c>
      <c r="AY1120" t="inlineStr">
        <is>
          <t>2259451790002656</t>
        </is>
      </c>
      <c r="AZ1120" t="inlineStr">
        <is>
          <t>BOOK</t>
        </is>
      </c>
      <c r="BC1120" t="inlineStr">
        <is>
          <t>32285000687631</t>
        </is>
      </c>
      <c r="BD1120" t="inlineStr">
        <is>
          <t>893691835</t>
        </is>
      </c>
    </row>
    <row r="1121">
      <c r="A1121" t="inlineStr">
        <is>
          <t>No</t>
        </is>
      </c>
      <c r="B1121" t="inlineStr">
        <is>
          <t>BT75.B78 C4</t>
        </is>
      </c>
      <c r="C1121" t="inlineStr">
        <is>
          <t>0                      BT 0075000B  78                 C  4</t>
        </is>
      </c>
      <c r="D1121" t="inlineStr">
        <is>
          <t>Dogmatics / Emil Brunner. Translated by Olive Wyon.</t>
        </is>
      </c>
      <c r="E1121" t="inlineStr">
        <is>
          <t>V.3</t>
        </is>
      </c>
      <c r="F1121" t="inlineStr">
        <is>
          <t>Yes</t>
        </is>
      </c>
      <c r="G1121" t="inlineStr">
        <is>
          <t>1</t>
        </is>
      </c>
      <c r="H1121" t="inlineStr">
        <is>
          <t>No</t>
        </is>
      </c>
      <c r="I1121" t="inlineStr">
        <is>
          <t>No</t>
        </is>
      </c>
      <c r="J1121" t="inlineStr">
        <is>
          <t>0</t>
        </is>
      </c>
      <c r="K1121" t="inlineStr">
        <is>
          <t>Brunner, Emil, 1889-1966.</t>
        </is>
      </c>
      <c r="L1121" t="inlineStr">
        <is>
          <t>Philadelphia, Westminster Press [1950-79]</t>
        </is>
      </c>
      <c r="M1121" t="inlineStr">
        <is>
          <t>1950</t>
        </is>
      </c>
      <c r="O1121" t="inlineStr">
        <is>
          <t>eng</t>
        </is>
      </c>
      <c r="P1121" t="inlineStr">
        <is>
          <t>pau</t>
        </is>
      </c>
      <c r="R1121" t="inlineStr">
        <is>
          <t xml:space="preserve">BT </t>
        </is>
      </c>
      <c r="S1121" t="n">
        <v>0</v>
      </c>
      <c r="T1121" t="n">
        <v>4</v>
      </c>
      <c r="V1121" t="inlineStr">
        <is>
          <t>2010-12-11</t>
        </is>
      </c>
      <c r="W1121" t="inlineStr">
        <is>
          <t>1991-06-21</t>
        </is>
      </c>
      <c r="X1121" t="inlineStr">
        <is>
          <t>1991-06-21</t>
        </is>
      </c>
      <c r="Y1121" t="n">
        <v>721</v>
      </c>
      <c r="Z1121" t="n">
        <v>686</v>
      </c>
      <c r="AA1121" t="n">
        <v>731</v>
      </c>
      <c r="AB1121" t="n">
        <v>6</v>
      </c>
      <c r="AC1121" t="n">
        <v>6</v>
      </c>
      <c r="AD1121" t="n">
        <v>40</v>
      </c>
      <c r="AE1121" t="n">
        <v>41</v>
      </c>
      <c r="AF1121" t="n">
        <v>15</v>
      </c>
      <c r="AG1121" t="n">
        <v>15</v>
      </c>
      <c r="AH1121" t="n">
        <v>8</v>
      </c>
      <c r="AI1121" t="n">
        <v>9</v>
      </c>
      <c r="AJ1121" t="n">
        <v>23</v>
      </c>
      <c r="AK1121" t="n">
        <v>24</v>
      </c>
      <c r="AL1121" t="n">
        <v>5</v>
      </c>
      <c r="AM1121" t="n">
        <v>5</v>
      </c>
      <c r="AN1121" t="n">
        <v>0</v>
      </c>
      <c r="AO1121" t="n">
        <v>0</v>
      </c>
      <c r="AP1121" t="inlineStr">
        <is>
          <t>No</t>
        </is>
      </c>
      <c r="AQ1121" t="inlineStr">
        <is>
          <t>Yes</t>
        </is>
      </c>
      <c r="AR1121">
        <f>HYPERLINK("http://catalog.hathitrust.org/Record/007887576","HathiTrust Record")</f>
        <v/>
      </c>
      <c r="AS1121">
        <f>HYPERLINK("https://creighton-primo.hosted.exlibrisgroup.com/primo-explore/search?tab=default_tab&amp;search_scope=EVERYTHING&amp;vid=01CRU&amp;lang=en_US&amp;offset=0&amp;query=any,contains,991002648149702656","Catalog Record")</f>
        <v/>
      </c>
      <c r="AT1121">
        <f>HYPERLINK("http://www.worldcat.org/oclc/386350","WorldCat Record")</f>
        <v/>
      </c>
      <c r="AU1121" t="inlineStr">
        <is>
          <t>3372229473:eng</t>
        </is>
      </c>
      <c r="AV1121" t="inlineStr">
        <is>
          <t>386350</t>
        </is>
      </c>
      <c r="AW1121" t="inlineStr">
        <is>
          <t>991002648149702656</t>
        </is>
      </c>
      <c r="AX1121" t="inlineStr">
        <is>
          <t>991002648149702656</t>
        </is>
      </c>
      <c r="AY1121" t="inlineStr">
        <is>
          <t>2259451790002656</t>
        </is>
      </c>
      <c r="AZ1121" t="inlineStr">
        <is>
          <t>BOOK</t>
        </is>
      </c>
      <c r="BC1121" t="inlineStr">
        <is>
          <t>32285000687649</t>
        </is>
      </c>
      <c r="BD1121" t="inlineStr">
        <is>
          <t>893710507</t>
        </is>
      </c>
    </row>
    <row r="1122">
      <c r="A1122" t="inlineStr">
        <is>
          <t>No</t>
        </is>
      </c>
      <c r="B1122" t="inlineStr">
        <is>
          <t>BT751.2 .F68 1999</t>
        </is>
      </c>
      <c r="C1122" t="inlineStr">
        <is>
          <t>0                      BT 0751200F  68          1999</t>
        </is>
      </c>
      <c r="D1122" t="inlineStr">
        <is>
          <t>Self and salvation : being transformed / David F. Ford.</t>
        </is>
      </c>
      <c r="F1122" t="inlineStr">
        <is>
          <t>No</t>
        </is>
      </c>
      <c r="G1122" t="inlineStr">
        <is>
          <t>1</t>
        </is>
      </c>
      <c r="H1122" t="inlineStr">
        <is>
          <t>No</t>
        </is>
      </c>
      <c r="I1122" t="inlineStr">
        <is>
          <t>No</t>
        </is>
      </c>
      <c r="J1122" t="inlineStr">
        <is>
          <t>0</t>
        </is>
      </c>
      <c r="K1122" t="inlineStr">
        <is>
          <t>Ford, David F., 1948-</t>
        </is>
      </c>
      <c r="L1122" t="inlineStr">
        <is>
          <t>Cambridge ; New York : Cambridge University Press, 1999.</t>
        </is>
      </c>
      <c r="M1122" t="inlineStr">
        <is>
          <t>1999</t>
        </is>
      </c>
      <c r="O1122" t="inlineStr">
        <is>
          <t>eng</t>
        </is>
      </c>
      <c r="P1122" t="inlineStr">
        <is>
          <t>enk</t>
        </is>
      </c>
      <c r="Q1122" t="inlineStr">
        <is>
          <t>Cambridge studies in Christian doctrine</t>
        </is>
      </c>
      <c r="R1122" t="inlineStr">
        <is>
          <t xml:space="preserve">BT </t>
        </is>
      </c>
      <c r="S1122" t="n">
        <v>3</v>
      </c>
      <c r="T1122" t="n">
        <v>3</v>
      </c>
      <c r="U1122" t="inlineStr">
        <is>
          <t>2003-04-04</t>
        </is>
      </c>
      <c r="V1122" t="inlineStr">
        <is>
          <t>2003-04-04</t>
        </is>
      </c>
      <c r="W1122" t="inlineStr">
        <is>
          <t>2000-07-18</t>
        </is>
      </c>
      <c r="X1122" t="inlineStr">
        <is>
          <t>2000-07-18</t>
        </is>
      </c>
      <c r="Y1122" t="n">
        <v>329</v>
      </c>
      <c r="Z1122" t="n">
        <v>232</v>
      </c>
      <c r="AA1122" t="n">
        <v>233</v>
      </c>
      <c r="AB1122" t="n">
        <v>2</v>
      </c>
      <c r="AC1122" t="n">
        <v>2</v>
      </c>
      <c r="AD1122" t="n">
        <v>19</v>
      </c>
      <c r="AE1122" t="n">
        <v>19</v>
      </c>
      <c r="AF1122" t="n">
        <v>9</v>
      </c>
      <c r="AG1122" t="n">
        <v>9</v>
      </c>
      <c r="AH1122" t="n">
        <v>2</v>
      </c>
      <c r="AI1122" t="n">
        <v>2</v>
      </c>
      <c r="AJ1122" t="n">
        <v>11</v>
      </c>
      <c r="AK1122" t="n">
        <v>11</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HYPERLINK("https://creighton-primo.hosted.exlibrisgroup.com/primo-explore/search?tab=default_tab&amp;search_scope=EVERYTHING&amp;vid=01CRU&amp;lang=en_US&amp;offset=0&amp;query=any,contains,991003204759702656","Catalog Record")</f>
        <v/>
      </c>
      <c r="AT1122">
        <f>HYPERLINK("http://www.worldcat.org/oclc/38478574","WorldCat Record")</f>
        <v/>
      </c>
      <c r="AU1122" t="inlineStr">
        <is>
          <t>204627809:eng</t>
        </is>
      </c>
      <c r="AV1122" t="inlineStr">
        <is>
          <t>38478574</t>
        </is>
      </c>
      <c r="AW1122" t="inlineStr">
        <is>
          <t>991003204759702656</t>
        </is>
      </c>
      <c r="AX1122" t="inlineStr">
        <is>
          <t>991003204759702656</t>
        </is>
      </c>
      <c r="AY1122" t="inlineStr">
        <is>
          <t>2257616700002656</t>
        </is>
      </c>
      <c r="AZ1122" t="inlineStr">
        <is>
          <t>BOOK</t>
        </is>
      </c>
      <c r="BB1122" t="inlineStr">
        <is>
          <t>9780521416078</t>
        </is>
      </c>
      <c r="BC1122" t="inlineStr">
        <is>
          <t>32285003740205</t>
        </is>
      </c>
      <c r="BD1122" t="inlineStr">
        <is>
          <t>893793407</t>
        </is>
      </c>
    </row>
    <row r="1123">
      <c r="A1123" t="inlineStr">
        <is>
          <t>No</t>
        </is>
      </c>
      <c r="B1123" t="inlineStr">
        <is>
          <t>BT751.2 .P73</t>
        </is>
      </c>
      <c r="C1123" t="inlineStr">
        <is>
          <t>0                      BT 0751200P  73</t>
        </is>
      </c>
      <c r="D1123" t="inlineStr">
        <is>
          <t>I'm saved, you're saved--maybe / Jack Renard Pressau.</t>
        </is>
      </c>
      <c r="F1123" t="inlineStr">
        <is>
          <t>No</t>
        </is>
      </c>
      <c r="G1123" t="inlineStr">
        <is>
          <t>1</t>
        </is>
      </c>
      <c r="H1123" t="inlineStr">
        <is>
          <t>No</t>
        </is>
      </c>
      <c r="I1123" t="inlineStr">
        <is>
          <t>No</t>
        </is>
      </c>
      <c r="J1123" t="inlineStr">
        <is>
          <t>0</t>
        </is>
      </c>
      <c r="K1123" t="inlineStr">
        <is>
          <t>Presseau, Jack Renard, 1933-</t>
        </is>
      </c>
      <c r="L1123" t="inlineStr">
        <is>
          <t>Atlanta : John Knox Press, c1977.</t>
        </is>
      </c>
      <c r="M1123" t="inlineStr">
        <is>
          <t>1977</t>
        </is>
      </c>
      <c r="O1123" t="inlineStr">
        <is>
          <t>eng</t>
        </is>
      </c>
      <c r="P1123" t="inlineStr">
        <is>
          <t>gau</t>
        </is>
      </c>
      <c r="R1123" t="inlineStr">
        <is>
          <t xml:space="preserve">BT </t>
        </is>
      </c>
      <c r="S1123" t="n">
        <v>2</v>
      </c>
      <c r="T1123" t="n">
        <v>2</v>
      </c>
      <c r="U1123" t="inlineStr">
        <is>
          <t>2003-04-04</t>
        </is>
      </c>
      <c r="V1123" t="inlineStr">
        <is>
          <t>2003-04-04</t>
        </is>
      </c>
      <c r="W1123" t="inlineStr">
        <is>
          <t>1991-10-07</t>
        </is>
      </c>
      <c r="X1123" t="inlineStr">
        <is>
          <t>1991-10-07</t>
        </is>
      </c>
      <c r="Y1123" t="n">
        <v>180</v>
      </c>
      <c r="Z1123" t="n">
        <v>167</v>
      </c>
      <c r="AA1123" t="n">
        <v>168</v>
      </c>
      <c r="AB1123" t="n">
        <v>1</v>
      </c>
      <c r="AC1123" t="n">
        <v>1</v>
      </c>
      <c r="AD1123" t="n">
        <v>5</v>
      </c>
      <c r="AE1123" t="n">
        <v>5</v>
      </c>
      <c r="AF1123" t="n">
        <v>2</v>
      </c>
      <c r="AG1123" t="n">
        <v>2</v>
      </c>
      <c r="AH1123" t="n">
        <v>0</v>
      </c>
      <c r="AI1123" t="n">
        <v>0</v>
      </c>
      <c r="AJ1123" t="n">
        <v>3</v>
      </c>
      <c r="AK1123" t="n">
        <v>3</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HYPERLINK("https://creighton-primo.hosted.exlibrisgroup.com/primo-explore/search?tab=default_tab&amp;search_scope=EVERYTHING&amp;vid=01CRU&amp;lang=en_US&amp;offset=0&amp;query=any,contains,991004321269702656","Catalog Record")</f>
        <v/>
      </c>
      <c r="AT1123">
        <f>HYPERLINK("http://www.worldcat.org/oclc/3018015","WorldCat Record")</f>
        <v/>
      </c>
      <c r="AU1123" t="inlineStr">
        <is>
          <t>10360311038:eng</t>
        </is>
      </c>
      <c r="AV1123" t="inlineStr">
        <is>
          <t>3018015</t>
        </is>
      </c>
      <c r="AW1123" t="inlineStr">
        <is>
          <t>991004321269702656</t>
        </is>
      </c>
      <c r="AX1123" t="inlineStr">
        <is>
          <t>991004321269702656</t>
        </is>
      </c>
      <c r="AY1123" t="inlineStr">
        <is>
          <t>2272033810002656</t>
        </is>
      </c>
      <c r="AZ1123" t="inlineStr">
        <is>
          <t>BOOK</t>
        </is>
      </c>
      <c r="BB1123" t="inlineStr">
        <is>
          <t>9780804208321</t>
        </is>
      </c>
      <c r="BC1123" t="inlineStr">
        <is>
          <t>32285000805506</t>
        </is>
      </c>
      <c r="BD1123" t="inlineStr">
        <is>
          <t>893882337</t>
        </is>
      </c>
    </row>
    <row r="1124">
      <c r="A1124" t="inlineStr">
        <is>
          <t>No</t>
        </is>
      </c>
      <c r="B1124" t="inlineStr">
        <is>
          <t>BT755 .E45 1973</t>
        </is>
      </c>
      <c r="C1124" t="inlineStr">
        <is>
          <t>0                      BT 0755000E  45          1973</t>
        </is>
      </c>
      <c r="D1124" t="inlineStr">
        <is>
          <t>The mystery of salvation : a theological study of its biblical, historical, social and existential aspects / by Maurice Eminyan.</t>
        </is>
      </c>
      <c r="F1124" t="inlineStr">
        <is>
          <t>No</t>
        </is>
      </c>
      <c r="G1124" t="inlineStr">
        <is>
          <t>1</t>
        </is>
      </c>
      <c r="H1124" t="inlineStr">
        <is>
          <t>No</t>
        </is>
      </c>
      <c r="I1124" t="inlineStr">
        <is>
          <t>No</t>
        </is>
      </c>
      <c r="J1124" t="inlineStr">
        <is>
          <t>0</t>
        </is>
      </c>
      <c r="K1124" t="inlineStr">
        <is>
          <t>Eminyan, Maurice.</t>
        </is>
      </c>
      <c r="L1124" t="inlineStr">
        <is>
          <t>Valleta : Malta University Press, 1973.</t>
        </is>
      </c>
      <c r="M1124" t="inlineStr">
        <is>
          <t>1973</t>
        </is>
      </c>
      <c r="O1124" t="inlineStr">
        <is>
          <t>eng</t>
        </is>
      </c>
      <c r="P1124" t="inlineStr">
        <is>
          <t>___</t>
        </is>
      </c>
      <c r="R1124" t="inlineStr">
        <is>
          <t xml:space="preserve">BT </t>
        </is>
      </c>
      <c r="S1124" t="n">
        <v>7</v>
      </c>
      <c r="T1124" t="n">
        <v>7</v>
      </c>
      <c r="U1124" t="inlineStr">
        <is>
          <t>2005-12-21</t>
        </is>
      </c>
      <c r="V1124" t="inlineStr">
        <is>
          <t>2005-12-21</t>
        </is>
      </c>
      <c r="W1124" t="inlineStr">
        <is>
          <t>1990-03-05</t>
        </is>
      </c>
      <c r="X1124" t="inlineStr">
        <is>
          <t>1990-03-05</t>
        </is>
      </c>
      <c r="Y1124" t="n">
        <v>36</v>
      </c>
      <c r="Z1124" t="n">
        <v>30</v>
      </c>
      <c r="AA1124" t="n">
        <v>30</v>
      </c>
      <c r="AB1124" t="n">
        <v>1</v>
      </c>
      <c r="AC1124" t="n">
        <v>1</v>
      </c>
      <c r="AD1124" t="n">
        <v>8</v>
      </c>
      <c r="AE1124" t="n">
        <v>8</v>
      </c>
      <c r="AF1124" t="n">
        <v>0</v>
      </c>
      <c r="AG1124" t="n">
        <v>0</v>
      </c>
      <c r="AH1124" t="n">
        <v>2</v>
      </c>
      <c r="AI1124" t="n">
        <v>2</v>
      </c>
      <c r="AJ1124" t="n">
        <v>8</v>
      </c>
      <c r="AK1124" t="n">
        <v>8</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HYPERLINK("https://creighton-primo.hosted.exlibrisgroup.com/primo-explore/search?tab=default_tab&amp;search_scope=EVERYTHING&amp;vid=01CRU&amp;lang=en_US&amp;offset=0&amp;query=any,contains,991003158189702656","Catalog Record")</f>
        <v/>
      </c>
      <c r="AT1124">
        <f>HYPERLINK("http://www.worldcat.org/oclc/697482","WorldCat Record")</f>
        <v/>
      </c>
      <c r="AU1124" t="inlineStr">
        <is>
          <t>1824034:eng</t>
        </is>
      </c>
      <c r="AV1124" t="inlineStr">
        <is>
          <t>697482</t>
        </is>
      </c>
      <c r="AW1124" t="inlineStr">
        <is>
          <t>991003158189702656</t>
        </is>
      </c>
      <c r="AX1124" t="inlineStr">
        <is>
          <t>991003158189702656</t>
        </is>
      </c>
      <c r="AY1124" t="inlineStr">
        <is>
          <t>2264582090002656</t>
        </is>
      </c>
      <c r="AZ1124" t="inlineStr">
        <is>
          <t>BOOK</t>
        </is>
      </c>
      <c r="BC1124" t="inlineStr">
        <is>
          <t>32285000076504</t>
        </is>
      </c>
      <c r="BD1124" t="inlineStr">
        <is>
          <t>893524474</t>
        </is>
      </c>
    </row>
    <row r="1125">
      <c r="A1125" t="inlineStr">
        <is>
          <t>No</t>
        </is>
      </c>
      <c r="B1125" t="inlineStr">
        <is>
          <t>BT755 .E5</t>
        </is>
      </c>
      <c r="C1125" t="inlineStr">
        <is>
          <t>0                      BT 0755000E  5</t>
        </is>
      </c>
      <c r="D1125" t="inlineStr">
        <is>
          <t>The theology of salvation / by Maurice Eminyan.</t>
        </is>
      </c>
      <c r="F1125" t="inlineStr">
        <is>
          <t>No</t>
        </is>
      </c>
      <c r="G1125" t="inlineStr">
        <is>
          <t>1</t>
        </is>
      </c>
      <c r="H1125" t="inlineStr">
        <is>
          <t>No</t>
        </is>
      </c>
      <c r="I1125" t="inlineStr">
        <is>
          <t>No</t>
        </is>
      </c>
      <c r="J1125" t="inlineStr">
        <is>
          <t>0</t>
        </is>
      </c>
      <c r="K1125" t="inlineStr">
        <is>
          <t>Eminyan, Maurice.</t>
        </is>
      </c>
      <c r="L1125" t="inlineStr">
        <is>
          <t>[Boston] : St. Paul Editions, [1960]</t>
        </is>
      </c>
      <c r="M1125" t="inlineStr">
        <is>
          <t>1960</t>
        </is>
      </c>
      <c r="O1125" t="inlineStr">
        <is>
          <t>eng</t>
        </is>
      </c>
      <c r="P1125" t="inlineStr">
        <is>
          <t>___</t>
        </is>
      </c>
      <c r="R1125" t="inlineStr">
        <is>
          <t xml:space="preserve">BT </t>
        </is>
      </c>
      <c r="S1125" t="n">
        <v>7</v>
      </c>
      <c r="T1125" t="n">
        <v>7</v>
      </c>
      <c r="U1125" t="inlineStr">
        <is>
          <t>2002-11-25</t>
        </is>
      </c>
      <c r="V1125" t="inlineStr">
        <is>
          <t>2002-11-25</t>
        </is>
      </c>
      <c r="W1125" t="inlineStr">
        <is>
          <t>1991-10-07</t>
        </is>
      </c>
      <c r="X1125" t="inlineStr">
        <is>
          <t>1991-10-07</t>
        </is>
      </c>
      <c r="Y1125" t="n">
        <v>144</v>
      </c>
      <c r="Z1125" t="n">
        <v>126</v>
      </c>
      <c r="AA1125" t="n">
        <v>126</v>
      </c>
      <c r="AB1125" t="n">
        <v>1</v>
      </c>
      <c r="AC1125" t="n">
        <v>1</v>
      </c>
      <c r="AD1125" t="n">
        <v>26</v>
      </c>
      <c r="AE1125" t="n">
        <v>26</v>
      </c>
      <c r="AF1125" t="n">
        <v>9</v>
      </c>
      <c r="AG1125" t="n">
        <v>9</v>
      </c>
      <c r="AH1125" t="n">
        <v>6</v>
      </c>
      <c r="AI1125" t="n">
        <v>6</v>
      </c>
      <c r="AJ1125" t="n">
        <v>21</v>
      </c>
      <c r="AK1125" t="n">
        <v>21</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HYPERLINK("https://creighton-primo.hosted.exlibrisgroup.com/primo-explore/search?tab=default_tab&amp;search_scope=EVERYTHING&amp;vid=01CRU&amp;lang=en_US&amp;offset=0&amp;query=any,contains,991002123169702656","Catalog Record")</f>
        <v/>
      </c>
      <c r="AT1125">
        <f>HYPERLINK("http://www.worldcat.org/oclc/269002","WorldCat Record")</f>
        <v/>
      </c>
      <c r="AU1125" t="inlineStr">
        <is>
          <t>1393666:eng</t>
        </is>
      </c>
      <c r="AV1125" t="inlineStr">
        <is>
          <t>269002</t>
        </is>
      </c>
      <c r="AW1125" t="inlineStr">
        <is>
          <t>991002123169702656</t>
        </is>
      </c>
      <c r="AX1125" t="inlineStr">
        <is>
          <t>991002123169702656</t>
        </is>
      </c>
      <c r="AY1125" t="inlineStr">
        <is>
          <t>2267295070002656</t>
        </is>
      </c>
      <c r="AZ1125" t="inlineStr">
        <is>
          <t>BOOK</t>
        </is>
      </c>
      <c r="BC1125" t="inlineStr">
        <is>
          <t>32285000805555</t>
        </is>
      </c>
      <c r="BD1125" t="inlineStr">
        <is>
          <t>893439796</t>
        </is>
      </c>
    </row>
    <row r="1126">
      <c r="A1126" t="inlineStr">
        <is>
          <t>No</t>
        </is>
      </c>
      <c r="B1126" t="inlineStr">
        <is>
          <t>BT755 .L62 1956</t>
        </is>
      </c>
      <c r="C1126" t="inlineStr">
        <is>
          <t>0                      BT 0755000L  62          1956</t>
        </is>
      </c>
      <c r="D1126" t="inlineStr">
        <is>
          <t>The salvation of the unbeliever / [Translated from the Italian by Dorothy M. White.]</t>
        </is>
      </c>
      <c r="F1126" t="inlineStr">
        <is>
          <t>No</t>
        </is>
      </c>
      <c r="G1126" t="inlineStr">
        <is>
          <t>1</t>
        </is>
      </c>
      <c r="H1126" t="inlineStr">
        <is>
          <t>No</t>
        </is>
      </c>
      <c r="I1126" t="inlineStr">
        <is>
          <t>No</t>
        </is>
      </c>
      <c r="J1126" t="inlineStr">
        <is>
          <t>0</t>
        </is>
      </c>
      <c r="K1126" t="inlineStr">
        <is>
          <t>Lombardi, Riccardo.</t>
        </is>
      </c>
      <c r="L1126" t="inlineStr">
        <is>
          <t>Westminster, Md. : Newman Press, [1956]</t>
        </is>
      </c>
      <c r="M1126" t="inlineStr">
        <is>
          <t>1956</t>
        </is>
      </c>
      <c r="O1126" t="inlineStr">
        <is>
          <t>eng</t>
        </is>
      </c>
      <c r="P1126" t="inlineStr">
        <is>
          <t>mdu</t>
        </is>
      </c>
      <c r="R1126" t="inlineStr">
        <is>
          <t xml:space="preserve">BT </t>
        </is>
      </c>
      <c r="S1126" t="n">
        <v>1</v>
      </c>
      <c r="T1126" t="n">
        <v>1</v>
      </c>
      <c r="U1126" t="inlineStr">
        <is>
          <t>1993-04-20</t>
        </is>
      </c>
      <c r="V1126" t="inlineStr">
        <is>
          <t>1993-04-20</t>
        </is>
      </c>
      <c r="W1126" t="inlineStr">
        <is>
          <t>1991-10-07</t>
        </is>
      </c>
      <c r="X1126" t="inlineStr">
        <is>
          <t>1991-10-07</t>
        </is>
      </c>
      <c r="Y1126" t="n">
        <v>152</v>
      </c>
      <c r="Z1126" t="n">
        <v>141</v>
      </c>
      <c r="AA1126" t="n">
        <v>160</v>
      </c>
      <c r="AB1126" t="n">
        <v>3</v>
      </c>
      <c r="AC1126" t="n">
        <v>3</v>
      </c>
      <c r="AD1126" t="n">
        <v>23</v>
      </c>
      <c r="AE1126" t="n">
        <v>25</v>
      </c>
      <c r="AF1126" t="n">
        <v>6</v>
      </c>
      <c r="AG1126" t="n">
        <v>8</v>
      </c>
      <c r="AH1126" t="n">
        <v>6</v>
      </c>
      <c r="AI1126" t="n">
        <v>6</v>
      </c>
      <c r="AJ1126" t="n">
        <v>20</v>
      </c>
      <c r="AK1126" t="n">
        <v>22</v>
      </c>
      <c r="AL1126" t="n">
        <v>0</v>
      </c>
      <c r="AM1126" t="n">
        <v>0</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HYPERLINK("https://creighton-primo.hosted.exlibrisgroup.com/primo-explore/search?tab=default_tab&amp;search_scope=EVERYTHING&amp;vid=01CRU&amp;lang=en_US&amp;offset=0&amp;query=any,contains,991003107889702656","Catalog Record")</f>
        <v/>
      </c>
      <c r="AT1126">
        <f>HYPERLINK("http://www.worldcat.org/oclc/655010","WorldCat Record")</f>
        <v/>
      </c>
      <c r="AU1126" t="inlineStr">
        <is>
          <t>431570097:eng</t>
        </is>
      </c>
      <c r="AV1126" t="inlineStr">
        <is>
          <t>655010</t>
        </is>
      </c>
      <c r="AW1126" t="inlineStr">
        <is>
          <t>991003107889702656</t>
        </is>
      </c>
      <c r="AX1126" t="inlineStr">
        <is>
          <t>991003107889702656</t>
        </is>
      </c>
      <c r="AY1126" t="inlineStr">
        <is>
          <t>2260847960002656</t>
        </is>
      </c>
      <c r="AZ1126" t="inlineStr">
        <is>
          <t>BOOK</t>
        </is>
      </c>
      <c r="BC1126" t="inlineStr">
        <is>
          <t>32285000805571</t>
        </is>
      </c>
      <c r="BD1126" t="inlineStr">
        <is>
          <t>893805434</t>
        </is>
      </c>
    </row>
    <row r="1127">
      <c r="A1127" t="inlineStr">
        <is>
          <t>No</t>
        </is>
      </c>
      <c r="B1127" t="inlineStr">
        <is>
          <t>BT755 .T45 1976</t>
        </is>
      </c>
      <c r="C1127" t="inlineStr">
        <is>
          <t>0                      BT 0755000T  45          1976</t>
        </is>
      </c>
      <c r="D1127" t="inlineStr">
        <is>
          <t>The ultimate church and the promise of salvation / by Jerome P. Theisen, O.S.B. ; foreword by Kilian Mc Donnell, O.S.B.</t>
        </is>
      </c>
      <c r="F1127" t="inlineStr">
        <is>
          <t>No</t>
        </is>
      </c>
      <c r="G1127" t="inlineStr">
        <is>
          <t>1</t>
        </is>
      </c>
      <c r="H1127" t="inlineStr">
        <is>
          <t>No</t>
        </is>
      </c>
      <c r="I1127" t="inlineStr">
        <is>
          <t>No</t>
        </is>
      </c>
      <c r="J1127" t="inlineStr">
        <is>
          <t>0</t>
        </is>
      </c>
      <c r="K1127" t="inlineStr">
        <is>
          <t>Theisen, Jerome P., 1930-1995.</t>
        </is>
      </c>
      <c r="L1127" t="inlineStr">
        <is>
          <t>Collegeville, Minn. : St. John's University Press, 1976.</t>
        </is>
      </c>
      <c r="M1127" t="inlineStr">
        <is>
          <t>1976</t>
        </is>
      </c>
      <c r="O1127" t="inlineStr">
        <is>
          <t>eng</t>
        </is>
      </c>
      <c r="P1127" t="inlineStr">
        <is>
          <t>mnu</t>
        </is>
      </c>
      <c r="R1127" t="inlineStr">
        <is>
          <t xml:space="preserve">BT </t>
        </is>
      </c>
      <c r="S1127" t="n">
        <v>2</v>
      </c>
      <c r="T1127" t="n">
        <v>2</v>
      </c>
      <c r="U1127" t="inlineStr">
        <is>
          <t>1999-08-26</t>
        </is>
      </c>
      <c r="V1127" t="inlineStr">
        <is>
          <t>1999-08-26</t>
        </is>
      </c>
      <c r="W1127" t="inlineStr">
        <is>
          <t>1990-03-05</t>
        </is>
      </c>
      <c r="X1127" t="inlineStr">
        <is>
          <t>1990-03-05</t>
        </is>
      </c>
      <c r="Y1127" t="n">
        <v>142</v>
      </c>
      <c r="Z1127" t="n">
        <v>114</v>
      </c>
      <c r="AA1127" t="n">
        <v>114</v>
      </c>
      <c r="AB1127" t="n">
        <v>1</v>
      </c>
      <c r="AC1127" t="n">
        <v>1</v>
      </c>
      <c r="AD1127" t="n">
        <v>13</v>
      </c>
      <c r="AE1127" t="n">
        <v>13</v>
      </c>
      <c r="AF1127" t="n">
        <v>3</v>
      </c>
      <c r="AG1127" t="n">
        <v>3</v>
      </c>
      <c r="AH1127" t="n">
        <v>2</v>
      </c>
      <c r="AI1127" t="n">
        <v>2</v>
      </c>
      <c r="AJ1127" t="n">
        <v>12</v>
      </c>
      <c r="AK1127" t="n">
        <v>12</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HYPERLINK("https://creighton-primo.hosted.exlibrisgroup.com/primo-explore/search?tab=default_tab&amp;search_scope=EVERYTHING&amp;vid=01CRU&amp;lang=en_US&amp;offset=0&amp;query=any,contains,991004332649702656","Catalog Record")</f>
        <v/>
      </c>
      <c r="AT1127">
        <f>HYPERLINK("http://www.worldcat.org/oclc/3066461","WorldCat Record")</f>
        <v/>
      </c>
      <c r="AU1127" t="inlineStr">
        <is>
          <t>7320159:eng</t>
        </is>
      </c>
      <c r="AV1127" t="inlineStr">
        <is>
          <t>3066461</t>
        </is>
      </c>
      <c r="AW1127" t="inlineStr">
        <is>
          <t>991004332649702656</t>
        </is>
      </c>
      <c r="AX1127" t="inlineStr">
        <is>
          <t>991004332649702656</t>
        </is>
      </c>
      <c r="AY1127" t="inlineStr">
        <is>
          <t>2264513570002656</t>
        </is>
      </c>
      <c r="AZ1127" t="inlineStr">
        <is>
          <t>BOOK</t>
        </is>
      </c>
      <c r="BC1127" t="inlineStr">
        <is>
          <t>32285000076512</t>
        </is>
      </c>
      <c r="BD1127" t="inlineStr">
        <is>
          <t>893417499</t>
        </is>
      </c>
    </row>
    <row r="1128">
      <c r="A1128" t="inlineStr">
        <is>
          <t>No</t>
        </is>
      </c>
      <c r="B1128" t="inlineStr">
        <is>
          <t>BT759 .B8313 1982</t>
        </is>
      </c>
      <c r="C1128" t="inlineStr">
        <is>
          <t>0                      BT 0759000B  8313        1982</t>
        </is>
      </c>
      <c r="D1128" t="inlineStr">
        <is>
          <t>God's chosen peoples / Walbert Bühlmann ; translated from the German by Robert R. Barr.</t>
        </is>
      </c>
      <c r="F1128" t="inlineStr">
        <is>
          <t>No</t>
        </is>
      </c>
      <c r="G1128" t="inlineStr">
        <is>
          <t>1</t>
        </is>
      </c>
      <c r="H1128" t="inlineStr">
        <is>
          <t>No</t>
        </is>
      </c>
      <c r="I1128" t="inlineStr">
        <is>
          <t>No</t>
        </is>
      </c>
      <c r="J1128" t="inlineStr">
        <is>
          <t>0</t>
        </is>
      </c>
      <c r="K1128" t="inlineStr">
        <is>
          <t>Bühlmann, Walbert.</t>
        </is>
      </c>
      <c r="L1128" t="inlineStr">
        <is>
          <t>Maryknoll, N.Y. : Orbis Books, 1982.</t>
        </is>
      </c>
      <c r="M1128" t="inlineStr">
        <is>
          <t>1982</t>
        </is>
      </c>
      <c r="N1128" t="inlineStr">
        <is>
          <t>U.S. ed.</t>
        </is>
      </c>
      <c r="O1128" t="inlineStr">
        <is>
          <t>eng</t>
        </is>
      </c>
      <c r="P1128" t="inlineStr">
        <is>
          <t>nyu</t>
        </is>
      </c>
      <c r="R1128" t="inlineStr">
        <is>
          <t xml:space="preserve">BT </t>
        </is>
      </c>
      <c r="S1128" t="n">
        <v>4</v>
      </c>
      <c r="T1128" t="n">
        <v>4</v>
      </c>
      <c r="U1128" t="inlineStr">
        <is>
          <t>2002-11-25</t>
        </is>
      </c>
      <c r="V1128" t="inlineStr">
        <is>
          <t>2002-11-25</t>
        </is>
      </c>
      <c r="W1128" t="inlineStr">
        <is>
          <t>1991-10-07</t>
        </is>
      </c>
      <c r="X1128" t="inlineStr">
        <is>
          <t>1991-10-07</t>
        </is>
      </c>
      <c r="Y1128" t="n">
        <v>271</v>
      </c>
      <c r="Z1128" t="n">
        <v>237</v>
      </c>
      <c r="AA1128" t="n">
        <v>243</v>
      </c>
      <c r="AB1128" t="n">
        <v>1</v>
      </c>
      <c r="AC1128" t="n">
        <v>1</v>
      </c>
      <c r="AD1128" t="n">
        <v>23</v>
      </c>
      <c r="AE1128" t="n">
        <v>23</v>
      </c>
      <c r="AF1128" t="n">
        <v>9</v>
      </c>
      <c r="AG1128" t="n">
        <v>9</v>
      </c>
      <c r="AH1128" t="n">
        <v>6</v>
      </c>
      <c r="AI1128" t="n">
        <v>6</v>
      </c>
      <c r="AJ1128" t="n">
        <v>15</v>
      </c>
      <c r="AK1128" t="n">
        <v>15</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HYPERLINK("https://creighton-primo.hosted.exlibrisgroup.com/primo-explore/search?tab=default_tab&amp;search_scope=EVERYTHING&amp;vid=01CRU&amp;lang=en_US&amp;offset=0&amp;query=any,contains,991000045959702656","Catalog Record")</f>
        <v/>
      </c>
      <c r="AT1128">
        <f>HYPERLINK("http://www.worldcat.org/oclc/8668881","WorldCat Record")</f>
        <v/>
      </c>
      <c r="AU1128" t="inlineStr">
        <is>
          <t>3858797797:eng</t>
        </is>
      </c>
      <c r="AV1128" t="inlineStr">
        <is>
          <t>8668881</t>
        </is>
      </c>
      <c r="AW1128" t="inlineStr">
        <is>
          <t>991000045959702656</t>
        </is>
      </c>
      <c r="AX1128" t="inlineStr">
        <is>
          <t>991000045959702656</t>
        </is>
      </c>
      <c r="AY1128" t="inlineStr">
        <is>
          <t>2270375850002656</t>
        </is>
      </c>
      <c r="AZ1128" t="inlineStr">
        <is>
          <t>BOOK</t>
        </is>
      </c>
      <c r="BB1128" t="inlineStr">
        <is>
          <t>9780883441503</t>
        </is>
      </c>
      <c r="BC1128" t="inlineStr">
        <is>
          <t>32285000805589</t>
        </is>
      </c>
      <c r="BD1128" t="inlineStr">
        <is>
          <t>893413025</t>
        </is>
      </c>
    </row>
    <row r="1129">
      <c r="A1129" t="inlineStr">
        <is>
          <t>No</t>
        </is>
      </c>
      <c r="B1129" t="inlineStr">
        <is>
          <t>BT759 .C66 1993</t>
        </is>
      </c>
      <c r="C1129" t="inlineStr">
        <is>
          <t>0                      BT 0759000C  66          1993</t>
        </is>
      </c>
      <c r="D1129" t="inlineStr">
        <is>
          <t>The anonymous Christian - a relativised Christianity? : an evaluation of Hans Urs von Balthasar's criticisms of Karl Rahner's theory of the anonymous Christian / Eamonn Conway.</t>
        </is>
      </c>
      <c r="F1129" t="inlineStr">
        <is>
          <t>No</t>
        </is>
      </c>
      <c r="G1129" t="inlineStr">
        <is>
          <t>1</t>
        </is>
      </c>
      <c r="H1129" t="inlineStr">
        <is>
          <t>No</t>
        </is>
      </c>
      <c r="I1129" t="inlineStr">
        <is>
          <t>No</t>
        </is>
      </c>
      <c r="J1129" t="inlineStr">
        <is>
          <t>0</t>
        </is>
      </c>
      <c r="K1129" t="inlineStr">
        <is>
          <t>Conway, Eamonn, 1962-</t>
        </is>
      </c>
      <c r="L1129" t="inlineStr">
        <is>
          <t>Frankfurt am Main ; New York : P. Lang, 1993.</t>
        </is>
      </c>
      <c r="M1129" t="inlineStr">
        <is>
          <t>1993</t>
        </is>
      </c>
      <c r="O1129" t="inlineStr">
        <is>
          <t>eng</t>
        </is>
      </c>
      <c r="P1129" t="inlineStr">
        <is>
          <t xml:space="preserve">gw </t>
        </is>
      </c>
      <c r="Q1129" t="inlineStr">
        <is>
          <t>European university studies. Series XXIII, Theology ; vol. 485 = Europäische Hochschulschriften. Reihe XXIII, Theologie ; Bd. 485 = Publications universitaires européennes. Série XXIII, Théologie ; vol. 485</t>
        </is>
      </c>
      <c r="R1129" t="inlineStr">
        <is>
          <t xml:space="preserve">BT </t>
        </is>
      </c>
      <c r="S1129" t="n">
        <v>0</v>
      </c>
      <c r="T1129" t="n">
        <v>0</v>
      </c>
      <c r="U1129" t="inlineStr">
        <is>
          <t>2001-05-03</t>
        </is>
      </c>
      <c r="V1129" t="inlineStr">
        <is>
          <t>2001-05-03</t>
        </is>
      </c>
      <c r="W1129" t="inlineStr">
        <is>
          <t>1998-08-11</t>
        </is>
      </c>
      <c r="X1129" t="inlineStr">
        <is>
          <t>1998-08-11</t>
        </is>
      </c>
      <c r="Y1129" t="n">
        <v>88</v>
      </c>
      <c r="Z1129" t="n">
        <v>50</v>
      </c>
      <c r="AA1129" t="n">
        <v>50</v>
      </c>
      <c r="AB1129" t="n">
        <v>1</v>
      </c>
      <c r="AC1129" t="n">
        <v>1</v>
      </c>
      <c r="AD1129" t="n">
        <v>6</v>
      </c>
      <c r="AE1129" t="n">
        <v>6</v>
      </c>
      <c r="AF1129" t="n">
        <v>0</v>
      </c>
      <c r="AG1129" t="n">
        <v>0</v>
      </c>
      <c r="AH1129" t="n">
        <v>2</v>
      </c>
      <c r="AI1129" t="n">
        <v>2</v>
      </c>
      <c r="AJ1129" t="n">
        <v>5</v>
      </c>
      <c r="AK1129" t="n">
        <v>5</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HYPERLINK("https://creighton-primo.hosted.exlibrisgroup.com/primo-explore/search?tab=default_tab&amp;search_scope=EVERYTHING&amp;vid=01CRU&amp;lang=en_US&amp;offset=0&amp;query=any,contains,991002232619702656","Catalog Record")</f>
        <v/>
      </c>
      <c r="AT1129">
        <f>HYPERLINK("http://www.worldcat.org/oclc/28770882","WorldCat Record")</f>
        <v/>
      </c>
      <c r="AU1129" t="inlineStr">
        <is>
          <t>1088649:eng</t>
        </is>
      </c>
      <c r="AV1129" t="inlineStr">
        <is>
          <t>28770882</t>
        </is>
      </c>
      <c r="AW1129" t="inlineStr">
        <is>
          <t>991002232619702656</t>
        </is>
      </c>
      <c r="AX1129" t="inlineStr">
        <is>
          <t>991002232619702656</t>
        </is>
      </c>
      <c r="AY1129" t="inlineStr">
        <is>
          <t>2263803140002656</t>
        </is>
      </c>
      <c r="AZ1129" t="inlineStr">
        <is>
          <t>BOOK</t>
        </is>
      </c>
      <c r="BB1129" t="inlineStr">
        <is>
          <t>9783631462096</t>
        </is>
      </c>
      <c r="BC1129" t="inlineStr">
        <is>
          <t>32285003451803</t>
        </is>
      </c>
      <c r="BD1129" t="inlineStr">
        <is>
          <t>893250975</t>
        </is>
      </c>
    </row>
    <row r="1130">
      <c r="A1130" t="inlineStr">
        <is>
          <t>No</t>
        </is>
      </c>
      <c r="B1130" t="inlineStr">
        <is>
          <t>BT759 .S29 1992</t>
        </is>
      </c>
      <c r="C1130" t="inlineStr">
        <is>
          <t>0                      BT 0759000S  29          1992</t>
        </is>
      </c>
      <c r="D1130" t="inlineStr">
        <is>
          <t>No other name : an investigation into the destiny of the unevangelized / John Sanders.</t>
        </is>
      </c>
      <c r="F1130" t="inlineStr">
        <is>
          <t>No</t>
        </is>
      </c>
      <c r="G1130" t="inlineStr">
        <is>
          <t>1</t>
        </is>
      </c>
      <c r="H1130" t="inlineStr">
        <is>
          <t>No</t>
        </is>
      </c>
      <c r="I1130" t="inlineStr">
        <is>
          <t>No</t>
        </is>
      </c>
      <c r="J1130" t="inlineStr">
        <is>
          <t>0</t>
        </is>
      </c>
      <c r="K1130" t="inlineStr">
        <is>
          <t>Sanders, John, 1956-</t>
        </is>
      </c>
      <c r="L1130" t="inlineStr">
        <is>
          <t>Grand Rapids, Mich. : W.B. Eerdmans, c1992.</t>
        </is>
      </c>
      <c r="M1130" t="inlineStr">
        <is>
          <t>1992</t>
        </is>
      </c>
      <c r="O1130" t="inlineStr">
        <is>
          <t>eng</t>
        </is>
      </c>
      <c r="P1130" t="inlineStr">
        <is>
          <t>miu</t>
        </is>
      </c>
      <c r="R1130" t="inlineStr">
        <is>
          <t xml:space="preserve">BT </t>
        </is>
      </c>
      <c r="S1130" t="n">
        <v>1</v>
      </c>
      <c r="T1130" t="n">
        <v>1</v>
      </c>
      <c r="U1130" t="inlineStr">
        <is>
          <t>2007-03-28</t>
        </is>
      </c>
      <c r="V1130" t="inlineStr">
        <is>
          <t>2007-03-28</t>
        </is>
      </c>
      <c r="W1130" t="inlineStr">
        <is>
          <t>1992-10-13</t>
        </is>
      </c>
      <c r="X1130" t="inlineStr">
        <is>
          <t>1992-10-13</t>
        </is>
      </c>
      <c r="Y1130" t="n">
        <v>315</v>
      </c>
      <c r="Z1130" t="n">
        <v>256</v>
      </c>
      <c r="AA1130" t="n">
        <v>267</v>
      </c>
      <c r="AB1130" t="n">
        <v>2</v>
      </c>
      <c r="AC1130" t="n">
        <v>2</v>
      </c>
      <c r="AD1130" t="n">
        <v>15</v>
      </c>
      <c r="AE1130" t="n">
        <v>16</v>
      </c>
      <c r="AF1130" t="n">
        <v>6</v>
      </c>
      <c r="AG1130" t="n">
        <v>6</v>
      </c>
      <c r="AH1130" t="n">
        <v>3</v>
      </c>
      <c r="AI1130" t="n">
        <v>4</v>
      </c>
      <c r="AJ1130" t="n">
        <v>6</v>
      </c>
      <c r="AK1130" t="n">
        <v>7</v>
      </c>
      <c r="AL1130" t="n">
        <v>1</v>
      </c>
      <c r="AM1130" t="n">
        <v>1</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HYPERLINK("https://creighton-primo.hosted.exlibrisgroup.com/primo-explore/search?tab=default_tab&amp;search_scope=EVERYTHING&amp;vid=01CRU&amp;lang=en_US&amp;offset=0&amp;query=any,contains,991001956909702656","Catalog Record")</f>
        <v/>
      </c>
      <c r="AT1130">
        <f>HYPERLINK("http://www.worldcat.org/oclc/24792409","WorldCat Record")</f>
        <v/>
      </c>
      <c r="AU1130" t="inlineStr">
        <is>
          <t>788290:eng</t>
        </is>
      </c>
      <c r="AV1130" t="inlineStr">
        <is>
          <t>24792409</t>
        </is>
      </c>
      <c r="AW1130" t="inlineStr">
        <is>
          <t>991001956909702656</t>
        </is>
      </c>
      <c r="AX1130" t="inlineStr">
        <is>
          <t>991001956909702656</t>
        </is>
      </c>
      <c r="AY1130" t="inlineStr">
        <is>
          <t>2261415480002656</t>
        </is>
      </c>
      <c r="AZ1130" t="inlineStr">
        <is>
          <t>BOOK</t>
        </is>
      </c>
      <c r="BB1130" t="inlineStr">
        <is>
          <t>9780802806154</t>
        </is>
      </c>
      <c r="BC1130" t="inlineStr">
        <is>
          <t>32285001317162</t>
        </is>
      </c>
      <c r="BD1130" t="inlineStr">
        <is>
          <t>893503860</t>
        </is>
      </c>
    </row>
    <row r="1131">
      <c r="A1131" t="inlineStr">
        <is>
          <t>No</t>
        </is>
      </c>
      <c r="B1131" t="inlineStr">
        <is>
          <t>BT761 .J6 1920</t>
        </is>
      </c>
      <c r="C1131" t="inlineStr">
        <is>
          <t>0                      BT 0761000J  6           1920</t>
        </is>
      </c>
      <c r="D1131" t="inlineStr">
        <is>
          <t>The Catholic doctrine of grace / by G. H. Joyce.</t>
        </is>
      </c>
      <c r="F1131" t="inlineStr">
        <is>
          <t>No</t>
        </is>
      </c>
      <c r="G1131" t="inlineStr">
        <is>
          <t>1</t>
        </is>
      </c>
      <c r="H1131" t="inlineStr">
        <is>
          <t>No</t>
        </is>
      </c>
      <c r="I1131" t="inlineStr">
        <is>
          <t>No</t>
        </is>
      </c>
      <c r="J1131" t="inlineStr">
        <is>
          <t>0</t>
        </is>
      </c>
      <c r="K1131" t="inlineStr">
        <is>
          <t>Joyce, George Hayward, 1864-1943.</t>
        </is>
      </c>
      <c r="L1131" t="inlineStr">
        <is>
          <t>New York : Benziger Bros., 1920.</t>
        </is>
      </c>
      <c r="M1131" t="inlineStr">
        <is>
          <t>1920</t>
        </is>
      </c>
      <c r="O1131" t="inlineStr">
        <is>
          <t>eng</t>
        </is>
      </c>
      <c r="P1131" t="inlineStr">
        <is>
          <t>|||</t>
        </is>
      </c>
      <c r="R1131" t="inlineStr">
        <is>
          <t xml:space="preserve">BT </t>
        </is>
      </c>
      <c r="S1131" t="n">
        <v>2</v>
      </c>
      <c r="T1131" t="n">
        <v>2</v>
      </c>
      <c r="U1131" t="inlineStr">
        <is>
          <t>1996-11-21</t>
        </is>
      </c>
      <c r="V1131" t="inlineStr">
        <is>
          <t>1996-11-21</t>
        </is>
      </c>
      <c r="W1131" t="inlineStr">
        <is>
          <t>1991-10-08</t>
        </is>
      </c>
      <c r="X1131" t="inlineStr">
        <is>
          <t>1991-10-08</t>
        </is>
      </c>
      <c r="Y1131" t="n">
        <v>10</v>
      </c>
      <c r="Z1131" t="n">
        <v>10</v>
      </c>
      <c r="AA1131" t="n">
        <v>158</v>
      </c>
      <c r="AB1131" t="n">
        <v>1</v>
      </c>
      <c r="AC1131" t="n">
        <v>2</v>
      </c>
      <c r="AD1131" t="n">
        <v>4</v>
      </c>
      <c r="AE1131" t="n">
        <v>26</v>
      </c>
      <c r="AF1131" t="n">
        <v>0</v>
      </c>
      <c r="AG1131" t="n">
        <v>8</v>
      </c>
      <c r="AH1131" t="n">
        <v>1</v>
      </c>
      <c r="AI1131" t="n">
        <v>8</v>
      </c>
      <c r="AJ1131" t="n">
        <v>3</v>
      </c>
      <c r="AK1131" t="n">
        <v>20</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HYPERLINK("https://creighton-primo.hosted.exlibrisgroup.com/primo-explore/search?tab=default_tab&amp;search_scope=EVERYTHING&amp;vid=01CRU&amp;lang=en_US&amp;offset=0&amp;query=any,contains,991003307529702656","Catalog Record")</f>
        <v/>
      </c>
      <c r="AT1131">
        <f>HYPERLINK("http://www.worldcat.org/oclc/831061","WorldCat Record")</f>
        <v/>
      </c>
      <c r="AU1131" t="inlineStr">
        <is>
          <t>1741656:eng</t>
        </is>
      </c>
      <c r="AV1131" t="inlineStr">
        <is>
          <t>831061</t>
        </is>
      </c>
      <c r="AW1131" t="inlineStr">
        <is>
          <t>991003307529702656</t>
        </is>
      </c>
      <c r="AX1131" t="inlineStr">
        <is>
          <t>991003307529702656</t>
        </is>
      </c>
      <c r="AY1131" t="inlineStr">
        <is>
          <t>2272324200002656</t>
        </is>
      </c>
      <c r="AZ1131" t="inlineStr">
        <is>
          <t>BOOK</t>
        </is>
      </c>
      <c r="BC1131" t="inlineStr">
        <is>
          <t>32285000805654</t>
        </is>
      </c>
      <c r="BD1131" t="inlineStr">
        <is>
          <t>893598462</t>
        </is>
      </c>
    </row>
    <row r="1132">
      <c r="A1132" t="inlineStr">
        <is>
          <t>No</t>
        </is>
      </c>
      <c r="B1132" t="inlineStr">
        <is>
          <t>BT761 .M3 1950</t>
        </is>
      </c>
      <c r="C1132" t="inlineStr">
        <is>
          <t>0                      BT 0761000M  3           1950</t>
        </is>
      </c>
      <c r="D1132" t="inlineStr">
        <is>
          <t>Actual grace and the spiritual life / by John V. Matthews.</t>
        </is>
      </c>
      <c r="F1132" t="inlineStr">
        <is>
          <t>No</t>
        </is>
      </c>
      <c r="G1132" t="inlineStr">
        <is>
          <t>1</t>
        </is>
      </c>
      <c r="H1132" t="inlineStr">
        <is>
          <t>No</t>
        </is>
      </c>
      <c r="I1132" t="inlineStr">
        <is>
          <t>No</t>
        </is>
      </c>
      <c r="J1132" t="inlineStr">
        <is>
          <t>0</t>
        </is>
      </c>
      <c r="K1132" t="inlineStr">
        <is>
          <t>Matthews, John Vincent, 1895-</t>
        </is>
      </c>
      <c r="L1132" t="inlineStr">
        <is>
          <t>Cork : Mercier Press, 1950.</t>
        </is>
      </c>
      <c r="M1132" t="inlineStr">
        <is>
          <t>1950</t>
        </is>
      </c>
      <c r="O1132" t="inlineStr">
        <is>
          <t>eng</t>
        </is>
      </c>
      <c r="P1132" t="inlineStr">
        <is>
          <t xml:space="preserve">ie </t>
        </is>
      </c>
      <c r="R1132" t="inlineStr">
        <is>
          <t xml:space="preserve">BT </t>
        </is>
      </c>
      <c r="S1132" t="n">
        <v>2</v>
      </c>
      <c r="T1132" t="n">
        <v>2</v>
      </c>
      <c r="U1132" t="inlineStr">
        <is>
          <t>1994-02-01</t>
        </is>
      </c>
      <c r="V1132" t="inlineStr">
        <is>
          <t>1994-02-01</t>
        </is>
      </c>
      <c r="W1132" t="inlineStr">
        <is>
          <t>1991-10-08</t>
        </is>
      </c>
      <c r="X1132" t="inlineStr">
        <is>
          <t>1991-10-08</t>
        </is>
      </c>
      <c r="Y1132" t="n">
        <v>39</v>
      </c>
      <c r="Z1132" t="n">
        <v>31</v>
      </c>
      <c r="AA1132" t="n">
        <v>31</v>
      </c>
      <c r="AB1132" t="n">
        <v>1</v>
      </c>
      <c r="AC1132" t="n">
        <v>1</v>
      </c>
      <c r="AD1132" t="n">
        <v>11</v>
      </c>
      <c r="AE1132" t="n">
        <v>11</v>
      </c>
      <c r="AF1132" t="n">
        <v>2</v>
      </c>
      <c r="AG1132" t="n">
        <v>2</v>
      </c>
      <c r="AH1132" t="n">
        <v>2</v>
      </c>
      <c r="AI1132" t="n">
        <v>2</v>
      </c>
      <c r="AJ1132" t="n">
        <v>10</v>
      </c>
      <c r="AK1132" t="n">
        <v>10</v>
      </c>
      <c r="AL1132" t="n">
        <v>0</v>
      </c>
      <c r="AM1132" t="n">
        <v>0</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HYPERLINK("https://creighton-primo.hosted.exlibrisgroup.com/primo-explore/search?tab=default_tab&amp;search_scope=EVERYTHING&amp;vid=01CRU&amp;lang=en_US&amp;offset=0&amp;query=any,contains,991004763599702656","Catalog Record")</f>
        <v/>
      </c>
      <c r="AT1132">
        <f>HYPERLINK("http://www.worldcat.org/oclc/5017410","WorldCat Record")</f>
        <v/>
      </c>
      <c r="AU1132" t="inlineStr">
        <is>
          <t>497043364:eng</t>
        </is>
      </c>
      <c r="AV1132" t="inlineStr">
        <is>
          <t>5017410</t>
        </is>
      </c>
      <c r="AW1132" t="inlineStr">
        <is>
          <t>991004763599702656</t>
        </is>
      </c>
      <c r="AX1132" t="inlineStr">
        <is>
          <t>991004763599702656</t>
        </is>
      </c>
      <c r="AY1132" t="inlineStr">
        <is>
          <t>2271374020002656</t>
        </is>
      </c>
      <c r="AZ1132" t="inlineStr">
        <is>
          <t>BOOK</t>
        </is>
      </c>
      <c r="BC1132" t="inlineStr">
        <is>
          <t>32285000805670</t>
        </is>
      </c>
      <c r="BD1132" t="inlineStr">
        <is>
          <t>893688119</t>
        </is>
      </c>
    </row>
    <row r="1133">
      <c r="A1133" t="inlineStr">
        <is>
          <t>No</t>
        </is>
      </c>
      <c r="B1133" t="inlineStr">
        <is>
          <t>BT761 .S33 1886</t>
        </is>
      </c>
      <c r="C1133" t="inlineStr">
        <is>
          <t>0                      BT 0761000S  33          1886</t>
        </is>
      </c>
      <c r="D1133" t="inlineStr">
        <is>
          <t>The glories of divine grace : a free rendering of the original treatise of P. Eusebius Nieremberg / by M. Jos. Scheeben ; translated from the fourth revised German edition by a Benedictine monk of St. Meinrad's Abbey, Ind.</t>
        </is>
      </c>
      <c r="F1133" t="inlineStr">
        <is>
          <t>No</t>
        </is>
      </c>
      <c r="G1133" t="inlineStr">
        <is>
          <t>1</t>
        </is>
      </c>
      <c r="H1133" t="inlineStr">
        <is>
          <t>No</t>
        </is>
      </c>
      <c r="I1133" t="inlineStr">
        <is>
          <t>No</t>
        </is>
      </c>
      <c r="J1133" t="inlineStr">
        <is>
          <t>0</t>
        </is>
      </c>
      <c r="K1133" t="inlineStr">
        <is>
          <t>Scheeben, Matthias Joseph, 1835-1888.</t>
        </is>
      </c>
      <c r="L1133" t="inlineStr">
        <is>
          <t>New York : Benziger, c1886, 1898 printing.</t>
        </is>
      </c>
      <c r="M1133" t="inlineStr">
        <is>
          <t>1886</t>
        </is>
      </c>
      <c r="N1133" t="inlineStr">
        <is>
          <t>3d. ed.</t>
        </is>
      </c>
      <c r="O1133" t="inlineStr">
        <is>
          <t>eng</t>
        </is>
      </c>
      <c r="P1133" t="inlineStr">
        <is>
          <t>nyu</t>
        </is>
      </c>
      <c r="R1133" t="inlineStr">
        <is>
          <t xml:space="preserve">BT </t>
        </is>
      </c>
      <c r="S1133" t="n">
        <v>1</v>
      </c>
      <c r="T1133" t="n">
        <v>1</v>
      </c>
      <c r="U1133" t="inlineStr">
        <is>
          <t>2003-01-14</t>
        </is>
      </c>
      <c r="V1133" t="inlineStr">
        <is>
          <t>2003-01-14</t>
        </is>
      </c>
      <c r="W1133" t="inlineStr">
        <is>
          <t>1992-06-18</t>
        </is>
      </c>
      <c r="X1133" t="inlineStr">
        <is>
          <t>1992-06-18</t>
        </is>
      </c>
      <c r="Y1133" t="n">
        <v>29</v>
      </c>
      <c r="Z1133" t="n">
        <v>29</v>
      </c>
      <c r="AA1133" t="n">
        <v>128</v>
      </c>
      <c r="AB1133" t="n">
        <v>1</v>
      </c>
      <c r="AC1133" t="n">
        <v>2</v>
      </c>
      <c r="AD1133" t="n">
        <v>6</v>
      </c>
      <c r="AE1133" t="n">
        <v>16</v>
      </c>
      <c r="AF1133" t="n">
        <v>0</v>
      </c>
      <c r="AG1133" t="n">
        <v>2</v>
      </c>
      <c r="AH1133" t="n">
        <v>1</v>
      </c>
      <c r="AI1133" t="n">
        <v>4</v>
      </c>
      <c r="AJ1133" t="n">
        <v>5</v>
      </c>
      <c r="AK1133" t="n">
        <v>11</v>
      </c>
      <c r="AL1133" t="n">
        <v>0</v>
      </c>
      <c r="AM1133" t="n">
        <v>1</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HYPERLINK("https://creighton-primo.hosted.exlibrisgroup.com/primo-explore/search?tab=default_tab&amp;search_scope=EVERYTHING&amp;vid=01CRU&amp;lang=en_US&amp;offset=0&amp;query=any,contains,991004763629702656","Catalog Record")</f>
        <v/>
      </c>
      <c r="AT1133">
        <f>HYPERLINK("http://www.worldcat.org/oclc/5018787","WorldCat Record")</f>
        <v/>
      </c>
      <c r="AU1133" t="inlineStr">
        <is>
          <t>4436069:eng</t>
        </is>
      </c>
      <c r="AV1133" t="inlineStr">
        <is>
          <t>5018787</t>
        </is>
      </c>
      <c r="AW1133" t="inlineStr">
        <is>
          <t>991004763629702656</t>
        </is>
      </c>
      <c r="AX1133" t="inlineStr">
        <is>
          <t>991004763629702656</t>
        </is>
      </c>
      <c r="AY1133" t="inlineStr">
        <is>
          <t>2262701630002656</t>
        </is>
      </c>
      <c r="AZ1133" t="inlineStr">
        <is>
          <t>BOOK</t>
        </is>
      </c>
      <c r="BC1133" t="inlineStr">
        <is>
          <t>32285001132819</t>
        </is>
      </c>
      <c r="BD1133" t="inlineStr">
        <is>
          <t>893795254</t>
        </is>
      </c>
    </row>
    <row r="1134">
      <c r="A1134" t="inlineStr">
        <is>
          <t>No</t>
        </is>
      </c>
      <c r="B1134" t="inlineStr">
        <is>
          <t>BT761 .S335 1954</t>
        </is>
      </c>
      <c r="C1134" t="inlineStr">
        <is>
          <t>0                      BT 0761000S  335         1954</t>
        </is>
      </c>
      <c r="D1134" t="inlineStr">
        <is>
          <t>Nature and grace / Matthias Joseph Scheeben ; translated by Cyril Vollert.</t>
        </is>
      </c>
      <c r="F1134" t="inlineStr">
        <is>
          <t>No</t>
        </is>
      </c>
      <c r="G1134" t="inlineStr">
        <is>
          <t>1</t>
        </is>
      </c>
      <c r="H1134" t="inlineStr">
        <is>
          <t>No</t>
        </is>
      </c>
      <c r="I1134" t="inlineStr">
        <is>
          <t>No</t>
        </is>
      </c>
      <c r="J1134" t="inlineStr">
        <is>
          <t>0</t>
        </is>
      </c>
      <c r="K1134" t="inlineStr">
        <is>
          <t>Scheeben, Matthias Joseph, 1835-1888.</t>
        </is>
      </c>
      <c r="L1134" t="inlineStr">
        <is>
          <t>St. Louis : B. Herder Book Co., [1954]</t>
        </is>
      </c>
      <c r="M1134" t="inlineStr">
        <is>
          <t>1954</t>
        </is>
      </c>
      <c r="O1134" t="inlineStr">
        <is>
          <t>eng</t>
        </is>
      </c>
      <c r="P1134" t="inlineStr">
        <is>
          <t>|||</t>
        </is>
      </c>
      <c r="R1134" t="inlineStr">
        <is>
          <t xml:space="preserve">BT </t>
        </is>
      </c>
      <c r="S1134" t="n">
        <v>9</v>
      </c>
      <c r="T1134" t="n">
        <v>9</v>
      </c>
      <c r="U1134" t="inlineStr">
        <is>
          <t>2007-08-22</t>
        </is>
      </c>
      <c r="V1134" t="inlineStr">
        <is>
          <t>2007-08-22</t>
        </is>
      </c>
      <c r="W1134" t="inlineStr">
        <is>
          <t>1992-09-28</t>
        </is>
      </c>
      <c r="X1134" t="inlineStr">
        <is>
          <t>1992-09-28</t>
        </is>
      </c>
      <c r="Y1134" t="n">
        <v>225</v>
      </c>
      <c r="Z1134" t="n">
        <v>191</v>
      </c>
      <c r="AA1134" t="n">
        <v>207</v>
      </c>
      <c r="AB1134" t="n">
        <v>3</v>
      </c>
      <c r="AC1134" t="n">
        <v>4</v>
      </c>
      <c r="AD1134" t="n">
        <v>28</v>
      </c>
      <c r="AE1134" t="n">
        <v>30</v>
      </c>
      <c r="AF1134" t="n">
        <v>7</v>
      </c>
      <c r="AG1134" t="n">
        <v>8</v>
      </c>
      <c r="AH1134" t="n">
        <v>7</v>
      </c>
      <c r="AI1134" t="n">
        <v>8</v>
      </c>
      <c r="AJ1134" t="n">
        <v>24</v>
      </c>
      <c r="AK1134" t="n">
        <v>24</v>
      </c>
      <c r="AL1134" t="n">
        <v>0</v>
      </c>
      <c r="AM1134" t="n">
        <v>1</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HYPERLINK("https://creighton-primo.hosted.exlibrisgroup.com/primo-explore/search?tab=default_tab&amp;search_scope=EVERYTHING&amp;vid=01CRU&amp;lang=en_US&amp;offset=0&amp;query=any,contains,991003138029702656","Catalog Record")</f>
        <v/>
      </c>
      <c r="AT1134">
        <f>HYPERLINK("http://www.worldcat.org/oclc/679546","WorldCat Record")</f>
        <v/>
      </c>
      <c r="AU1134" t="inlineStr">
        <is>
          <t>3373622947:eng</t>
        </is>
      </c>
      <c r="AV1134" t="inlineStr">
        <is>
          <t>679546</t>
        </is>
      </c>
      <c r="AW1134" t="inlineStr">
        <is>
          <t>991003138029702656</t>
        </is>
      </c>
      <c r="AX1134" t="inlineStr">
        <is>
          <t>991003138029702656</t>
        </is>
      </c>
      <c r="AY1134" t="inlineStr">
        <is>
          <t>2269708830002656</t>
        </is>
      </c>
      <c r="AZ1134" t="inlineStr">
        <is>
          <t>BOOK</t>
        </is>
      </c>
      <c r="BC1134" t="inlineStr">
        <is>
          <t>32285001321289</t>
        </is>
      </c>
      <c r="BD1134" t="inlineStr">
        <is>
          <t>893252068</t>
        </is>
      </c>
    </row>
    <row r="1135">
      <c r="A1135" t="inlineStr">
        <is>
          <t>No</t>
        </is>
      </c>
      <c r="B1135" t="inlineStr">
        <is>
          <t>BT761.2 .C34 1988</t>
        </is>
      </c>
      <c r="C1135" t="inlineStr">
        <is>
          <t>0                      BT 0761200C  34          1988</t>
        </is>
      </c>
      <c r="D1135" t="inlineStr">
        <is>
          <t>Nature and grace : toward an integral perspective / James A. Carpenter.</t>
        </is>
      </c>
      <c r="F1135" t="inlineStr">
        <is>
          <t>No</t>
        </is>
      </c>
      <c r="G1135" t="inlineStr">
        <is>
          <t>1</t>
        </is>
      </c>
      <c r="H1135" t="inlineStr">
        <is>
          <t>No</t>
        </is>
      </c>
      <c r="I1135" t="inlineStr">
        <is>
          <t>No</t>
        </is>
      </c>
      <c r="J1135" t="inlineStr">
        <is>
          <t>0</t>
        </is>
      </c>
      <c r="K1135" t="inlineStr">
        <is>
          <t>Carpenter, James A., 1928-</t>
        </is>
      </c>
      <c r="L1135" t="inlineStr">
        <is>
          <t>New York : Crossroad, 1988.</t>
        </is>
      </c>
      <c r="M1135" t="inlineStr">
        <is>
          <t>1988</t>
        </is>
      </c>
      <c r="O1135" t="inlineStr">
        <is>
          <t>eng</t>
        </is>
      </c>
      <c r="P1135" t="inlineStr">
        <is>
          <t>nyu</t>
        </is>
      </c>
      <c r="R1135" t="inlineStr">
        <is>
          <t xml:space="preserve">BT </t>
        </is>
      </c>
      <c r="S1135" t="n">
        <v>8</v>
      </c>
      <c r="T1135" t="n">
        <v>8</v>
      </c>
      <c r="U1135" t="inlineStr">
        <is>
          <t>1996-01-24</t>
        </is>
      </c>
      <c r="V1135" t="inlineStr">
        <is>
          <t>1996-01-24</t>
        </is>
      </c>
      <c r="W1135" t="inlineStr">
        <is>
          <t>1990-03-28</t>
        </is>
      </c>
      <c r="X1135" t="inlineStr">
        <is>
          <t>1990-03-28</t>
        </is>
      </c>
      <c r="Y1135" t="n">
        <v>278</v>
      </c>
      <c r="Z1135" t="n">
        <v>236</v>
      </c>
      <c r="AA1135" t="n">
        <v>238</v>
      </c>
      <c r="AB1135" t="n">
        <v>3</v>
      </c>
      <c r="AC1135" t="n">
        <v>3</v>
      </c>
      <c r="AD1135" t="n">
        <v>22</v>
      </c>
      <c r="AE1135" t="n">
        <v>22</v>
      </c>
      <c r="AF1135" t="n">
        <v>7</v>
      </c>
      <c r="AG1135" t="n">
        <v>7</v>
      </c>
      <c r="AH1135" t="n">
        <v>7</v>
      </c>
      <c r="AI1135" t="n">
        <v>7</v>
      </c>
      <c r="AJ1135" t="n">
        <v>14</v>
      </c>
      <c r="AK1135" t="n">
        <v>14</v>
      </c>
      <c r="AL1135" t="n">
        <v>2</v>
      </c>
      <c r="AM1135" t="n">
        <v>2</v>
      </c>
      <c r="AN1135" t="n">
        <v>0</v>
      </c>
      <c r="AO1135" t="n">
        <v>0</v>
      </c>
      <c r="AP1135" t="inlineStr">
        <is>
          <t>No</t>
        </is>
      </c>
      <c r="AQ1135" t="inlineStr">
        <is>
          <t>Yes</t>
        </is>
      </c>
      <c r="AR1135">
        <f>HYPERLINK("http://catalog.hathitrust.org/Record/000928675","HathiTrust Record")</f>
        <v/>
      </c>
      <c r="AS1135">
        <f>HYPERLINK("https://creighton-primo.hosted.exlibrisgroup.com/primo-explore/search?tab=default_tab&amp;search_scope=EVERYTHING&amp;vid=01CRU&amp;lang=en_US&amp;offset=0&amp;query=any,contains,991001199469702656","Catalog Record")</f>
        <v/>
      </c>
      <c r="AT1135">
        <f>HYPERLINK("http://www.worldcat.org/oclc/17300291","WorldCat Record")</f>
        <v/>
      </c>
      <c r="AU1135" t="inlineStr">
        <is>
          <t>441447271:eng</t>
        </is>
      </c>
      <c r="AV1135" t="inlineStr">
        <is>
          <t>17300291</t>
        </is>
      </c>
      <c r="AW1135" t="inlineStr">
        <is>
          <t>991001199469702656</t>
        </is>
      </c>
      <c r="AX1135" t="inlineStr">
        <is>
          <t>991001199469702656</t>
        </is>
      </c>
      <c r="AY1135" t="inlineStr">
        <is>
          <t>2267639390002656</t>
        </is>
      </c>
      <c r="AZ1135" t="inlineStr">
        <is>
          <t>BOOK</t>
        </is>
      </c>
      <c r="BB1135" t="inlineStr">
        <is>
          <t>9780824508586</t>
        </is>
      </c>
      <c r="BC1135" t="inlineStr">
        <is>
          <t>32285000091024</t>
        </is>
      </c>
      <c r="BD1135" t="inlineStr">
        <is>
          <t>893614861</t>
        </is>
      </c>
    </row>
    <row r="1136">
      <c r="A1136" t="inlineStr">
        <is>
          <t>No</t>
        </is>
      </c>
      <c r="B1136" t="inlineStr">
        <is>
          <t>BT761.2 .C63 1979</t>
        </is>
      </c>
      <c r="C1136" t="inlineStr">
        <is>
          <t>0                      BT 0761200C  63          1979</t>
        </is>
      </c>
      <c r="D1136" t="inlineStr">
        <is>
          <t>Grace : the gift of the Holy Spirit / David Coffey.</t>
        </is>
      </c>
      <c r="F1136" t="inlineStr">
        <is>
          <t>No</t>
        </is>
      </c>
      <c r="G1136" t="inlineStr">
        <is>
          <t>1</t>
        </is>
      </c>
      <c r="H1136" t="inlineStr">
        <is>
          <t>No</t>
        </is>
      </c>
      <c r="I1136" t="inlineStr">
        <is>
          <t>No</t>
        </is>
      </c>
      <c r="J1136" t="inlineStr">
        <is>
          <t>0</t>
        </is>
      </c>
      <c r="K1136" t="inlineStr">
        <is>
          <t>Coffey, David.</t>
        </is>
      </c>
      <c r="L1136" t="inlineStr">
        <is>
          <t>Manly : Catholic Institute of Sydney, 1979.</t>
        </is>
      </c>
      <c r="M1136" t="inlineStr">
        <is>
          <t>1979</t>
        </is>
      </c>
      <c r="O1136" t="inlineStr">
        <is>
          <t>eng</t>
        </is>
      </c>
      <c r="P1136" t="inlineStr">
        <is>
          <t xml:space="preserve">at </t>
        </is>
      </c>
      <c r="Q1136" t="inlineStr">
        <is>
          <t>Faith and culture, 0156-1960 ; no. 2</t>
        </is>
      </c>
      <c r="R1136" t="inlineStr">
        <is>
          <t xml:space="preserve">BT </t>
        </is>
      </c>
      <c r="S1136" t="n">
        <v>1</v>
      </c>
      <c r="T1136" t="n">
        <v>1</v>
      </c>
      <c r="U1136" t="inlineStr">
        <is>
          <t>1992-06-09</t>
        </is>
      </c>
      <c r="V1136" t="inlineStr">
        <is>
          <t>1992-06-09</t>
        </is>
      </c>
      <c r="W1136" t="inlineStr">
        <is>
          <t>1991-10-08</t>
        </is>
      </c>
      <c r="X1136" t="inlineStr">
        <is>
          <t>1991-10-08</t>
        </is>
      </c>
      <c r="Y1136" t="n">
        <v>69</v>
      </c>
      <c r="Z1136" t="n">
        <v>44</v>
      </c>
      <c r="AA1136" t="n">
        <v>473</v>
      </c>
      <c r="AB1136" t="n">
        <v>1</v>
      </c>
      <c r="AC1136" t="n">
        <v>5</v>
      </c>
      <c r="AD1136" t="n">
        <v>6</v>
      </c>
      <c r="AE1136" t="n">
        <v>27</v>
      </c>
      <c r="AF1136" t="n">
        <v>1</v>
      </c>
      <c r="AG1136" t="n">
        <v>8</v>
      </c>
      <c r="AH1136" t="n">
        <v>2</v>
      </c>
      <c r="AI1136" t="n">
        <v>7</v>
      </c>
      <c r="AJ1136" t="n">
        <v>5</v>
      </c>
      <c r="AK1136" t="n">
        <v>12</v>
      </c>
      <c r="AL1136" t="n">
        <v>0</v>
      </c>
      <c r="AM1136" t="n">
        <v>4</v>
      </c>
      <c r="AN1136" t="n">
        <v>0</v>
      </c>
      <c r="AO1136" t="n">
        <v>1</v>
      </c>
      <c r="AP1136" t="inlineStr">
        <is>
          <t>No</t>
        </is>
      </c>
      <c r="AQ1136" t="inlineStr">
        <is>
          <t>No</t>
        </is>
      </c>
      <c r="AS1136">
        <f>HYPERLINK("https://creighton-primo.hosted.exlibrisgroup.com/primo-explore/search?tab=default_tab&amp;search_scope=EVERYTHING&amp;vid=01CRU&amp;lang=en_US&amp;offset=0&amp;query=any,contains,991004954299702656","Catalog Record")</f>
        <v/>
      </c>
      <c r="AT1136">
        <f>HYPERLINK("http://www.worldcat.org/oclc/6273851","WorldCat Record")</f>
        <v/>
      </c>
      <c r="AU1136" t="inlineStr">
        <is>
          <t>820674601:eng</t>
        </is>
      </c>
      <c r="AV1136" t="inlineStr">
        <is>
          <t>6273851</t>
        </is>
      </c>
      <c r="AW1136" t="inlineStr">
        <is>
          <t>991004954299702656</t>
        </is>
      </c>
      <c r="AX1136" t="inlineStr">
        <is>
          <t>991004954299702656</t>
        </is>
      </c>
      <c r="AY1136" t="inlineStr">
        <is>
          <t>2260469660002656</t>
        </is>
      </c>
      <c r="AZ1136" t="inlineStr">
        <is>
          <t>BOOK</t>
        </is>
      </c>
      <c r="BB1136" t="inlineStr">
        <is>
          <t>9780908224005</t>
        </is>
      </c>
      <c r="BC1136" t="inlineStr">
        <is>
          <t>32285000805712</t>
        </is>
      </c>
      <c r="BD1136" t="inlineStr">
        <is>
          <t>893694547</t>
        </is>
      </c>
    </row>
    <row r="1137">
      <c r="A1137" t="inlineStr">
        <is>
          <t>No</t>
        </is>
      </c>
      <c r="B1137" t="inlineStr">
        <is>
          <t>BT761.2 .D4</t>
        </is>
      </c>
      <c r="C1137" t="inlineStr">
        <is>
          <t>0                      BT 0761200D  4</t>
        </is>
      </c>
      <c r="D1137" t="inlineStr">
        <is>
          <t>The theology of grace of Theodore of Mopsuestia.</t>
        </is>
      </c>
      <c r="F1137" t="inlineStr">
        <is>
          <t>No</t>
        </is>
      </c>
      <c r="G1137" t="inlineStr">
        <is>
          <t>1</t>
        </is>
      </c>
      <c r="H1137" t="inlineStr">
        <is>
          <t>No</t>
        </is>
      </c>
      <c r="I1137" t="inlineStr">
        <is>
          <t>No</t>
        </is>
      </c>
      <c r="J1137" t="inlineStr">
        <is>
          <t>0</t>
        </is>
      </c>
      <c r="K1137" t="inlineStr">
        <is>
          <t>Dewart, Joanne E. McWilliam.</t>
        </is>
      </c>
      <c r="L1137" t="inlineStr">
        <is>
          <t>Washington, D.C., Catholic University of America Press, 1971.</t>
        </is>
      </c>
      <c r="M1137" t="inlineStr">
        <is>
          <t>1971</t>
        </is>
      </c>
      <c r="O1137" t="inlineStr">
        <is>
          <t>eng</t>
        </is>
      </c>
      <c r="P1137" t="inlineStr">
        <is>
          <t>___</t>
        </is>
      </c>
      <c r="Q1137" t="inlineStr">
        <is>
          <t>Catholic University of America. Studies in Christian antiquity.</t>
        </is>
      </c>
      <c r="R1137" t="inlineStr">
        <is>
          <t xml:space="preserve">BT </t>
        </is>
      </c>
      <c r="S1137" t="n">
        <v>7</v>
      </c>
      <c r="T1137" t="n">
        <v>7</v>
      </c>
      <c r="U1137" t="inlineStr">
        <is>
          <t>2010-04-06</t>
        </is>
      </c>
      <c r="V1137" t="inlineStr">
        <is>
          <t>2010-04-06</t>
        </is>
      </c>
      <c r="W1137" t="inlineStr">
        <is>
          <t>1991-10-08</t>
        </is>
      </c>
      <c r="X1137" t="inlineStr">
        <is>
          <t>1991-10-08</t>
        </is>
      </c>
      <c r="Y1137" t="n">
        <v>231</v>
      </c>
      <c r="Z1137" t="n">
        <v>181</v>
      </c>
      <c r="AA1137" t="n">
        <v>181</v>
      </c>
      <c r="AB1137" t="n">
        <v>3</v>
      </c>
      <c r="AC1137" t="n">
        <v>3</v>
      </c>
      <c r="AD1137" t="n">
        <v>17</v>
      </c>
      <c r="AE1137" t="n">
        <v>17</v>
      </c>
      <c r="AF1137" t="n">
        <v>3</v>
      </c>
      <c r="AG1137" t="n">
        <v>3</v>
      </c>
      <c r="AH1137" t="n">
        <v>5</v>
      </c>
      <c r="AI1137" t="n">
        <v>5</v>
      </c>
      <c r="AJ1137" t="n">
        <v>12</v>
      </c>
      <c r="AK1137" t="n">
        <v>12</v>
      </c>
      <c r="AL1137" t="n">
        <v>2</v>
      </c>
      <c r="AM1137" t="n">
        <v>2</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HYPERLINK("https://creighton-primo.hosted.exlibrisgroup.com/primo-explore/search?tab=default_tab&amp;search_scope=EVERYTHING&amp;vid=01CRU&amp;lang=en_US&amp;offset=0&amp;query=any,contains,991003071529702656","Catalog Record")</f>
        <v/>
      </c>
      <c r="AT1137">
        <f>HYPERLINK("http://www.worldcat.org/oclc/625926","WorldCat Record")</f>
        <v/>
      </c>
      <c r="AU1137" t="inlineStr">
        <is>
          <t>1718872:eng</t>
        </is>
      </c>
      <c r="AV1137" t="inlineStr">
        <is>
          <t>625926</t>
        </is>
      </c>
      <c r="AW1137" t="inlineStr">
        <is>
          <t>991003071529702656</t>
        </is>
      </c>
      <c r="AX1137" t="inlineStr">
        <is>
          <t>991003071529702656</t>
        </is>
      </c>
      <c r="AY1137" t="inlineStr">
        <is>
          <t>2259484190002656</t>
        </is>
      </c>
      <c r="AZ1137" t="inlineStr">
        <is>
          <t>BOOK</t>
        </is>
      </c>
      <c r="BC1137" t="inlineStr">
        <is>
          <t>32285000805738</t>
        </is>
      </c>
      <c r="BD1137" t="inlineStr">
        <is>
          <t>893799359</t>
        </is>
      </c>
    </row>
    <row r="1138">
      <c r="A1138" t="inlineStr">
        <is>
          <t>No</t>
        </is>
      </c>
      <c r="B1138" t="inlineStr">
        <is>
          <t>BT761.2 .D56 1977</t>
        </is>
      </c>
      <c r="C1138" t="inlineStr">
        <is>
          <t>0                      BT 0761200D  56          1977</t>
        </is>
      </c>
      <c r="D1138" t="inlineStr">
        <is>
          <t>Grace in experience and theology / Harold H. Ditmanson.</t>
        </is>
      </c>
      <c r="F1138" t="inlineStr">
        <is>
          <t>No</t>
        </is>
      </c>
      <c r="G1138" t="inlineStr">
        <is>
          <t>1</t>
        </is>
      </c>
      <c r="H1138" t="inlineStr">
        <is>
          <t>No</t>
        </is>
      </c>
      <c r="I1138" t="inlineStr">
        <is>
          <t>No</t>
        </is>
      </c>
      <c r="J1138" t="inlineStr">
        <is>
          <t>0</t>
        </is>
      </c>
      <c r="K1138" t="inlineStr">
        <is>
          <t>Ditmanson, Harold H.</t>
        </is>
      </c>
      <c r="L1138" t="inlineStr">
        <is>
          <t>Minneapolis : Augsburg Pub. House, c1977.</t>
        </is>
      </c>
      <c r="M1138" t="inlineStr">
        <is>
          <t>1977</t>
        </is>
      </c>
      <c r="O1138" t="inlineStr">
        <is>
          <t>eng</t>
        </is>
      </c>
      <c r="P1138" t="inlineStr">
        <is>
          <t>mnu</t>
        </is>
      </c>
      <c r="R1138" t="inlineStr">
        <is>
          <t xml:space="preserve">BT </t>
        </is>
      </c>
      <c r="S1138" t="n">
        <v>4</v>
      </c>
      <c r="T1138" t="n">
        <v>4</v>
      </c>
      <c r="U1138" t="inlineStr">
        <is>
          <t>1997-02-23</t>
        </is>
      </c>
      <c r="V1138" t="inlineStr">
        <is>
          <t>1997-02-23</t>
        </is>
      </c>
      <c r="W1138" t="inlineStr">
        <is>
          <t>1991-10-08</t>
        </is>
      </c>
      <c r="X1138" t="inlineStr">
        <is>
          <t>1991-10-08</t>
        </is>
      </c>
      <c r="Y1138" t="n">
        <v>253</v>
      </c>
      <c r="Z1138" t="n">
        <v>213</v>
      </c>
      <c r="AA1138" t="n">
        <v>219</v>
      </c>
      <c r="AB1138" t="n">
        <v>3</v>
      </c>
      <c r="AC1138" t="n">
        <v>3</v>
      </c>
      <c r="AD1138" t="n">
        <v>10</v>
      </c>
      <c r="AE1138" t="n">
        <v>10</v>
      </c>
      <c r="AF1138" t="n">
        <v>4</v>
      </c>
      <c r="AG1138" t="n">
        <v>4</v>
      </c>
      <c r="AH1138" t="n">
        <v>0</v>
      </c>
      <c r="AI1138" t="n">
        <v>0</v>
      </c>
      <c r="AJ1138" t="n">
        <v>7</v>
      </c>
      <c r="AK1138" t="n">
        <v>7</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HYPERLINK("https://creighton-primo.hosted.exlibrisgroup.com/primo-explore/search?tab=default_tab&amp;search_scope=EVERYTHING&amp;vid=01CRU&amp;lang=en_US&amp;offset=0&amp;query=any,contains,991004324999702656","Catalog Record")</f>
        <v/>
      </c>
      <c r="AT1138">
        <f>HYPERLINK("http://www.worldcat.org/oclc/3034166","WorldCat Record")</f>
        <v/>
      </c>
      <c r="AU1138" t="inlineStr">
        <is>
          <t>7697643:eng</t>
        </is>
      </c>
      <c r="AV1138" t="inlineStr">
        <is>
          <t>3034166</t>
        </is>
      </c>
      <c r="AW1138" t="inlineStr">
        <is>
          <t>991004324999702656</t>
        </is>
      </c>
      <c r="AX1138" t="inlineStr">
        <is>
          <t>991004324999702656</t>
        </is>
      </c>
      <c r="AY1138" t="inlineStr">
        <is>
          <t>2261343480002656</t>
        </is>
      </c>
      <c r="AZ1138" t="inlineStr">
        <is>
          <t>BOOK</t>
        </is>
      </c>
      <c r="BB1138" t="inlineStr">
        <is>
          <t>9780806615875</t>
        </is>
      </c>
      <c r="BC1138" t="inlineStr">
        <is>
          <t>32285000805746</t>
        </is>
      </c>
      <c r="BD1138" t="inlineStr">
        <is>
          <t>893593547</t>
        </is>
      </c>
    </row>
    <row r="1139">
      <c r="A1139" t="inlineStr">
        <is>
          <t>No</t>
        </is>
      </c>
      <c r="B1139" t="inlineStr">
        <is>
          <t>BT761.2 .D84 1992</t>
        </is>
      </c>
      <c r="C1139" t="inlineStr">
        <is>
          <t>0                      BT 0761200D  84          1992</t>
        </is>
      </c>
      <c r="D1139" t="inlineStr">
        <is>
          <t>The graced horizon : nature and grace in modern Catholic thought / Stephen J. Duffy.</t>
        </is>
      </c>
      <c r="F1139" t="inlineStr">
        <is>
          <t>No</t>
        </is>
      </c>
      <c r="G1139" t="inlineStr">
        <is>
          <t>1</t>
        </is>
      </c>
      <c r="H1139" t="inlineStr">
        <is>
          <t>No</t>
        </is>
      </c>
      <c r="I1139" t="inlineStr">
        <is>
          <t>No</t>
        </is>
      </c>
      <c r="J1139" t="inlineStr">
        <is>
          <t>0</t>
        </is>
      </c>
      <c r="K1139" t="inlineStr">
        <is>
          <t>Duffy, Stephen.</t>
        </is>
      </c>
      <c r="L1139" t="inlineStr">
        <is>
          <t>Collegeville, Minn. : Liturgical Press, c1992.</t>
        </is>
      </c>
      <c r="M1139" t="inlineStr">
        <is>
          <t>1992</t>
        </is>
      </c>
      <c r="O1139" t="inlineStr">
        <is>
          <t>eng</t>
        </is>
      </c>
      <c r="P1139" t="inlineStr">
        <is>
          <t>mnu</t>
        </is>
      </c>
      <c r="Q1139" t="inlineStr">
        <is>
          <t>Theology and life series ; v. 37</t>
        </is>
      </c>
      <c r="R1139" t="inlineStr">
        <is>
          <t xml:space="preserve">BT </t>
        </is>
      </c>
      <c r="S1139" t="n">
        <v>9</v>
      </c>
      <c r="T1139" t="n">
        <v>9</v>
      </c>
      <c r="U1139" t="inlineStr">
        <is>
          <t>2006-12-08</t>
        </is>
      </c>
      <c r="V1139" t="inlineStr">
        <is>
          <t>2006-12-08</t>
        </is>
      </c>
      <c r="W1139" t="inlineStr">
        <is>
          <t>1993-12-22</t>
        </is>
      </c>
      <c r="X1139" t="inlineStr">
        <is>
          <t>1993-12-22</t>
        </is>
      </c>
      <c r="Y1139" t="n">
        <v>206</v>
      </c>
      <c r="Z1139" t="n">
        <v>158</v>
      </c>
      <c r="AA1139" t="n">
        <v>160</v>
      </c>
      <c r="AB1139" t="n">
        <v>2</v>
      </c>
      <c r="AC1139" t="n">
        <v>2</v>
      </c>
      <c r="AD1139" t="n">
        <v>28</v>
      </c>
      <c r="AE1139" t="n">
        <v>28</v>
      </c>
      <c r="AF1139" t="n">
        <v>9</v>
      </c>
      <c r="AG1139" t="n">
        <v>9</v>
      </c>
      <c r="AH1139" t="n">
        <v>7</v>
      </c>
      <c r="AI1139" t="n">
        <v>7</v>
      </c>
      <c r="AJ1139" t="n">
        <v>21</v>
      </c>
      <c r="AK1139" t="n">
        <v>21</v>
      </c>
      <c r="AL1139" t="n">
        <v>1</v>
      </c>
      <c r="AM1139" t="n">
        <v>1</v>
      </c>
      <c r="AN1139" t="n">
        <v>0</v>
      </c>
      <c r="AO1139" t="n">
        <v>0</v>
      </c>
      <c r="AP1139" t="inlineStr">
        <is>
          <t>No</t>
        </is>
      </c>
      <c r="AQ1139" t="inlineStr">
        <is>
          <t>Yes</t>
        </is>
      </c>
      <c r="AR1139">
        <f>HYPERLINK("http://catalog.hathitrust.org/Record/002903412","HathiTrust Record")</f>
        <v/>
      </c>
      <c r="AS1139">
        <f>HYPERLINK("https://creighton-primo.hosted.exlibrisgroup.com/primo-explore/search?tab=default_tab&amp;search_scope=EVERYTHING&amp;vid=01CRU&amp;lang=en_US&amp;offset=0&amp;query=any,contains,991002027919702656","Catalog Record")</f>
        <v/>
      </c>
      <c r="AT1139">
        <f>HYPERLINK("http://www.worldcat.org/oclc/25789796","WorldCat Record")</f>
        <v/>
      </c>
      <c r="AU1139" t="inlineStr">
        <is>
          <t>28928665:eng</t>
        </is>
      </c>
      <c r="AV1139" t="inlineStr">
        <is>
          <t>25789796</t>
        </is>
      </c>
      <c r="AW1139" t="inlineStr">
        <is>
          <t>991002027919702656</t>
        </is>
      </c>
      <c r="AX1139" t="inlineStr">
        <is>
          <t>991002027919702656</t>
        </is>
      </c>
      <c r="AY1139" t="inlineStr">
        <is>
          <t>2256652940002656</t>
        </is>
      </c>
      <c r="AZ1139" t="inlineStr">
        <is>
          <t>BOOK</t>
        </is>
      </c>
      <c r="BB1139" t="inlineStr">
        <is>
          <t>9780814657058</t>
        </is>
      </c>
      <c r="BC1139" t="inlineStr">
        <is>
          <t>32285001817260</t>
        </is>
      </c>
      <c r="BD1139" t="inlineStr">
        <is>
          <t>893779338</t>
        </is>
      </c>
    </row>
    <row r="1140">
      <c r="A1140" t="inlineStr">
        <is>
          <t>No</t>
        </is>
      </c>
      <c r="B1140" t="inlineStr">
        <is>
          <t>BT761.2 .F713 1962</t>
        </is>
      </c>
      <c r="C1140" t="inlineStr">
        <is>
          <t>0                      BT 0761200F  713         1962</t>
        </is>
      </c>
      <c r="D1140" t="inlineStr">
        <is>
          <t>Divine grace and man / Peter Fransen.</t>
        </is>
      </c>
      <c r="F1140" t="inlineStr">
        <is>
          <t>No</t>
        </is>
      </c>
      <c r="G1140" t="inlineStr">
        <is>
          <t>1</t>
        </is>
      </c>
      <c r="H1140" t="inlineStr">
        <is>
          <t>No</t>
        </is>
      </c>
      <c r="I1140" t="inlineStr">
        <is>
          <t>No</t>
        </is>
      </c>
      <c r="J1140" t="inlineStr">
        <is>
          <t>0</t>
        </is>
      </c>
      <c r="K1140" t="inlineStr">
        <is>
          <t>Fransen, Piet F. (Piet Frans)</t>
        </is>
      </c>
      <c r="L1140" t="inlineStr">
        <is>
          <t>New York : Desclee Co., 1962.</t>
        </is>
      </c>
      <c r="M1140" t="inlineStr">
        <is>
          <t>1962</t>
        </is>
      </c>
      <c r="O1140" t="inlineStr">
        <is>
          <t>eng</t>
        </is>
      </c>
      <c r="P1140" t="inlineStr">
        <is>
          <t>nyu</t>
        </is>
      </c>
      <c r="R1140" t="inlineStr">
        <is>
          <t xml:space="preserve">BT </t>
        </is>
      </c>
      <c r="S1140" t="n">
        <v>3</v>
      </c>
      <c r="T1140" t="n">
        <v>3</v>
      </c>
      <c r="U1140" t="inlineStr">
        <is>
          <t>1999-07-20</t>
        </is>
      </c>
      <c r="V1140" t="inlineStr">
        <is>
          <t>1999-07-20</t>
        </is>
      </c>
      <c r="W1140" t="inlineStr">
        <is>
          <t>1991-10-08</t>
        </is>
      </c>
      <c r="X1140" t="inlineStr">
        <is>
          <t>1991-10-08</t>
        </is>
      </c>
      <c r="Y1140" t="n">
        <v>215</v>
      </c>
      <c r="Z1140" t="n">
        <v>186</v>
      </c>
      <c r="AA1140" t="n">
        <v>273</v>
      </c>
      <c r="AB1140" t="n">
        <v>1</v>
      </c>
      <c r="AC1140" t="n">
        <v>2</v>
      </c>
      <c r="AD1140" t="n">
        <v>23</v>
      </c>
      <c r="AE1140" t="n">
        <v>30</v>
      </c>
      <c r="AF1140" t="n">
        <v>5</v>
      </c>
      <c r="AG1140" t="n">
        <v>9</v>
      </c>
      <c r="AH1140" t="n">
        <v>7</v>
      </c>
      <c r="AI1140" t="n">
        <v>9</v>
      </c>
      <c r="AJ1140" t="n">
        <v>19</v>
      </c>
      <c r="AK1140" t="n">
        <v>23</v>
      </c>
      <c r="AL1140" t="n">
        <v>0</v>
      </c>
      <c r="AM1140" t="n">
        <v>0</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HYPERLINK("https://creighton-primo.hosted.exlibrisgroup.com/primo-explore/search?tab=default_tab&amp;search_scope=EVERYTHING&amp;vid=01CRU&amp;lang=en_US&amp;offset=0&amp;query=any,contains,991003980309702656","Catalog Record")</f>
        <v/>
      </c>
      <c r="AT1140">
        <f>HYPERLINK("http://www.worldcat.org/oclc/2019577","WorldCat Record")</f>
        <v/>
      </c>
      <c r="AU1140" t="inlineStr">
        <is>
          <t>1891556:eng</t>
        </is>
      </c>
      <c r="AV1140" t="inlineStr">
        <is>
          <t>2019577</t>
        </is>
      </c>
      <c r="AW1140" t="inlineStr">
        <is>
          <t>991003980309702656</t>
        </is>
      </c>
      <c r="AX1140" t="inlineStr">
        <is>
          <t>991003980309702656</t>
        </is>
      </c>
      <c r="AY1140" t="inlineStr">
        <is>
          <t>2260138960002656</t>
        </is>
      </c>
      <c r="AZ1140" t="inlineStr">
        <is>
          <t>BOOK</t>
        </is>
      </c>
      <c r="BC1140" t="inlineStr">
        <is>
          <t>32285000805753</t>
        </is>
      </c>
      <c r="BD1140" t="inlineStr">
        <is>
          <t>893343321</t>
        </is>
      </c>
    </row>
    <row r="1141">
      <c r="A1141" t="inlineStr">
        <is>
          <t>No</t>
        </is>
      </c>
      <c r="B1141" t="inlineStr">
        <is>
          <t>BT761.2 .G45 1988</t>
        </is>
      </c>
      <c r="C1141" t="inlineStr">
        <is>
          <t>0                      BT 0761200G  45          1988</t>
        </is>
      </c>
      <c r="D1141" t="inlineStr">
        <is>
          <t>Grace as transmuted experience and social process : and other essays in North American theology / Donald L. Gelpi.</t>
        </is>
      </c>
      <c r="F1141" t="inlineStr">
        <is>
          <t>No</t>
        </is>
      </c>
      <c r="G1141" t="inlineStr">
        <is>
          <t>1</t>
        </is>
      </c>
      <c r="H1141" t="inlineStr">
        <is>
          <t>No</t>
        </is>
      </c>
      <c r="I1141" t="inlineStr">
        <is>
          <t>No</t>
        </is>
      </c>
      <c r="J1141" t="inlineStr">
        <is>
          <t>0</t>
        </is>
      </c>
      <c r="K1141" t="inlineStr">
        <is>
          <t>Gelpi, Donald L., 1934-2011.</t>
        </is>
      </c>
      <c r="L1141" t="inlineStr">
        <is>
          <t>Lanham : University Press of America, c1988.</t>
        </is>
      </c>
      <c r="M1141" t="inlineStr">
        <is>
          <t>1988</t>
        </is>
      </c>
      <c r="O1141" t="inlineStr">
        <is>
          <t>eng</t>
        </is>
      </c>
      <c r="P1141" t="inlineStr">
        <is>
          <t>mdu</t>
        </is>
      </c>
      <c r="R1141" t="inlineStr">
        <is>
          <t xml:space="preserve">BT </t>
        </is>
      </c>
      <c r="S1141" t="n">
        <v>3</v>
      </c>
      <c r="T1141" t="n">
        <v>3</v>
      </c>
      <c r="U1141" t="inlineStr">
        <is>
          <t>1999-10-13</t>
        </is>
      </c>
      <c r="V1141" t="inlineStr">
        <is>
          <t>1999-10-13</t>
        </is>
      </c>
      <c r="W1141" t="inlineStr">
        <is>
          <t>1991-10-08</t>
        </is>
      </c>
      <c r="X1141" t="inlineStr">
        <is>
          <t>1991-10-08</t>
        </is>
      </c>
      <c r="Y1141" t="n">
        <v>127</v>
      </c>
      <c r="Z1141" t="n">
        <v>102</v>
      </c>
      <c r="AA1141" t="n">
        <v>106</v>
      </c>
      <c r="AB1141" t="n">
        <v>2</v>
      </c>
      <c r="AC1141" t="n">
        <v>2</v>
      </c>
      <c r="AD1141" t="n">
        <v>14</v>
      </c>
      <c r="AE1141" t="n">
        <v>14</v>
      </c>
      <c r="AF1141" t="n">
        <v>4</v>
      </c>
      <c r="AG1141" t="n">
        <v>4</v>
      </c>
      <c r="AH1141" t="n">
        <v>2</v>
      </c>
      <c r="AI1141" t="n">
        <v>2</v>
      </c>
      <c r="AJ1141" t="n">
        <v>12</v>
      </c>
      <c r="AK1141" t="n">
        <v>12</v>
      </c>
      <c r="AL1141" t="n">
        <v>1</v>
      </c>
      <c r="AM1141" t="n">
        <v>1</v>
      </c>
      <c r="AN1141" t="n">
        <v>0</v>
      </c>
      <c r="AO1141" t="n">
        <v>0</v>
      </c>
      <c r="AP1141" t="inlineStr">
        <is>
          <t>No</t>
        </is>
      </c>
      <c r="AQ1141" t="inlineStr">
        <is>
          <t>Yes</t>
        </is>
      </c>
      <c r="AR1141">
        <f>HYPERLINK("http://catalog.hathitrust.org/Record/000903767","HathiTrust Record")</f>
        <v/>
      </c>
      <c r="AS1141">
        <f>HYPERLINK("https://creighton-primo.hosted.exlibrisgroup.com/primo-explore/search?tab=default_tab&amp;search_scope=EVERYTHING&amp;vid=01CRU&amp;lang=en_US&amp;offset=0&amp;query=any,contains,991001026619702656","Catalog Record")</f>
        <v/>
      </c>
      <c r="AT1141">
        <f>HYPERLINK("http://www.worldcat.org/oclc/15486386","WorldCat Record")</f>
        <v/>
      </c>
      <c r="AU1141" t="inlineStr">
        <is>
          <t>152276500:eng</t>
        </is>
      </c>
      <c r="AV1141" t="inlineStr">
        <is>
          <t>15486386</t>
        </is>
      </c>
      <c r="AW1141" t="inlineStr">
        <is>
          <t>991001026619702656</t>
        </is>
      </c>
      <c r="AX1141" t="inlineStr">
        <is>
          <t>991001026619702656</t>
        </is>
      </c>
      <c r="AY1141" t="inlineStr">
        <is>
          <t>2272010860002656</t>
        </is>
      </c>
      <c r="AZ1141" t="inlineStr">
        <is>
          <t>BOOK</t>
        </is>
      </c>
      <c r="BB1141" t="inlineStr">
        <is>
          <t>9780819163677</t>
        </is>
      </c>
      <c r="BC1141" t="inlineStr">
        <is>
          <t>32285000805795</t>
        </is>
      </c>
      <c r="BD1141" t="inlineStr">
        <is>
          <t>893249908</t>
        </is>
      </c>
    </row>
    <row r="1142">
      <c r="A1142" t="inlineStr">
        <is>
          <t>No</t>
        </is>
      </c>
      <c r="B1142" t="inlineStr">
        <is>
          <t>BT761.2 .H38 1992</t>
        </is>
      </c>
      <c r="C1142" t="inlineStr">
        <is>
          <t>0                      BT 0761200H  38          1992</t>
        </is>
      </c>
      <c r="D1142" t="inlineStr">
        <is>
          <t>Grace and human freedom according to St. Gregory of Nyssa / Verna E.F. Harrison.</t>
        </is>
      </c>
      <c r="F1142" t="inlineStr">
        <is>
          <t>No</t>
        </is>
      </c>
      <c r="G1142" t="inlineStr">
        <is>
          <t>1</t>
        </is>
      </c>
      <c r="H1142" t="inlineStr">
        <is>
          <t>No</t>
        </is>
      </c>
      <c r="I1142" t="inlineStr">
        <is>
          <t>No</t>
        </is>
      </c>
      <c r="J1142" t="inlineStr">
        <is>
          <t>0</t>
        </is>
      </c>
      <c r="K1142" t="inlineStr">
        <is>
          <t>Harrison, Nonna Verna, 1953-</t>
        </is>
      </c>
      <c r="L1142" t="inlineStr">
        <is>
          <t>Lewiston, N.Y. : E. Mellen Press, c1992.</t>
        </is>
      </c>
      <c r="M1142" t="inlineStr">
        <is>
          <t>1992</t>
        </is>
      </c>
      <c r="O1142" t="inlineStr">
        <is>
          <t>eng</t>
        </is>
      </c>
      <c r="P1142" t="inlineStr">
        <is>
          <t>nyu</t>
        </is>
      </c>
      <c r="Q1142" t="inlineStr">
        <is>
          <t>Studies in the Bible and early Christianity ; v. 30</t>
        </is>
      </c>
      <c r="R1142" t="inlineStr">
        <is>
          <t xml:space="preserve">BT </t>
        </is>
      </c>
      <c r="S1142" t="n">
        <v>17</v>
      </c>
      <c r="T1142" t="n">
        <v>17</v>
      </c>
      <c r="U1142" t="inlineStr">
        <is>
          <t>2006-02-08</t>
        </is>
      </c>
      <c r="V1142" t="inlineStr">
        <is>
          <t>2006-02-08</t>
        </is>
      </c>
      <c r="W1142" t="inlineStr">
        <is>
          <t>1994-04-05</t>
        </is>
      </c>
      <c r="X1142" t="inlineStr">
        <is>
          <t>1994-04-05</t>
        </is>
      </c>
      <c r="Y1142" t="n">
        <v>156</v>
      </c>
      <c r="Z1142" t="n">
        <v>114</v>
      </c>
      <c r="AA1142" t="n">
        <v>114</v>
      </c>
      <c r="AB1142" t="n">
        <v>1</v>
      </c>
      <c r="AC1142" t="n">
        <v>1</v>
      </c>
      <c r="AD1142" t="n">
        <v>12</v>
      </c>
      <c r="AE1142" t="n">
        <v>12</v>
      </c>
      <c r="AF1142" t="n">
        <v>5</v>
      </c>
      <c r="AG1142" t="n">
        <v>5</v>
      </c>
      <c r="AH1142" t="n">
        <v>3</v>
      </c>
      <c r="AI1142" t="n">
        <v>3</v>
      </c>
      <c r="AJ1142" t="n">
        <v>8</v>
      </c>
      <c r="AK1142" t="n">
        <v>8</v>
      </c>
      <c r="AL1142" t="n">
        <v>0</v>
      </c>
      <c r="AM1142" t="n">
        <v>0</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HYPERLINK("https://creighton-primo.hosted.exlibrisgroup.com/primo-explore/search?tab=default_tab&amp;search_scope=EVERYTHING&amp;vid=01CRU&amp;lang=en_US&amp;offset=0&amp;query=any,contains,991002015429702656","Catalog Record")</f>
        <v/>
      </c>
      <c r="AT1142">
        <f>HYPERLINK("http://www.worldcat.org/oclc/25631388","WorldCat Record")</f>
        <v/>
      </c>
      <c r="AU1142" t="inlineStr">
        <is>
          <t>18315111:eng</t>
        </is>
      </c>
      <c r="AV1142" t="inlineStr">
        <is>
          <t>25631388</t>
        </is>
      </c>
      <c r="AW1142" t="inlineStr">
        <is>
          <t>991002015429702656</t>
        </is>
      </c>
      <c r="AX1142" t="inlineStr">
        <is>
          <t>991002015429702656</t>
        </is>
      </c>
      <c r="AY1142" t="inlineStr">
        <is>
          <t>2266513530002656</t>
        </is>
      </c>
      <c r="AZ1142" t="inlineStr">
        <is>
          <t>BOOK</t>
        </is>
      </c>
      <c r="BB1142" t="inlineStr">
        <is>
          <t>9780773495425</t>
        </is>
      </c>
      <c r="BC1142" t="inlineStr">
        <is>
          <t>32285001858611</t>
        </is>
      </c>
      <c r="BD1142" t="inlineStr">
        <is>
          <t>893773122</t>
        </is>
      </c>
    </row>
    <row r="1143">
      <c r="A1143" t="inlineStr">
        <is>
          <t>No</t>
        </is>
      </c>
      <c r="B1143" t="inlineStr">
        <is>
          <t>BT761.2 .H84 1988</t>
        </is>
      </c>
      <c r="C1143" t="inlineStr">
        <is>
          <t>0                      BT 0761200H  84          1988</t>
        </is>
      </c>
      <c r="D1143" t="inlineStr">
        <is>
          <t>A spirituality of wholeness : the new look at grace / Bill Huebsch</t>
        </is>
      </c>
      <c r="F1143" t="inlineStr">
        <is>
          <t>No</t>
        </is>
      </c>
      <c r="G1143" t="inlineStr">
        <is>
          <t>1</t>
        </is>
      </c>
      <c r="H1143" t="inlineStr">
        <is>
          <t>No</t>
        </is>
      </c>
      <c r="I1143" t="inlineStr">
        <is>
          <t>No</t>
        </is>
      </c>
      <c r="J1143" t="inlineStr">
        <is>
          <t>0</t>
        </is>
      </c>
      <c r="K1143" t="inlineStr">
        <is>
          <t>Huebsch, Bill.</t>
        </is>
      </c>
      <c r="L1143" t="inlineStr">
        <is>
          <t>Mystic, Ct. : Twenty-third Pub., c1988, 1989 printing.</t>
        </is>
      </c>
      <c r="M1143" t="inlineStr">
        <is>
          <t>1988</t>
        </is>
      </c>
      <c r="O1143" t="inlineStr">
        <is>
          <t>eng</t>
        </is>
      </c>
      <c r="P1143" t="inlineStr">
        <is>
          <t>ctu</t>
        </is>
      </c>
      <c r="R1143" t="inlineStr">
        <is>
          <t xml:space="preserve">BT </t>
        </is>
      </c>
      <c r="S1143" t="n">
        <v>3</v>
      </c>
      <c r="T1143" t="n">
        <v>3</v>
      </c>
      <c r="U1143" t="inlineStr">
        <is>
          <t>2006-11-08</t>
        </is>
      </c>
      <c r="V1143" t="inlineStr">
        <is>
          <t>2006-11-08</t>
        </is>
      </c>
      <c r="W1143" t="inlineStr">
        <is>
          <t>1990-03-30</t>
        </is>
      </c>
      <c r="X1143" t="inlineStr">
        <is>
          <t>1990-03-30</t>
        </is>
      </c>
      <c r="Y1143" t="n">
        <v>101</v>
      </c>
      <c r="Z1143" t="n">
        <v>87</v>
      </c>
      <c r="AA1143" t="n">
        <v>93</v>
      </c>
      <c r="AB1143" t="n">
        <v>2</v>
      </c>
      <c r="AC1143" t="n">
        <v>2</v>
      </c>
      <c r="AD1143" t="n">
        <v>10</v>
      </c>
      <c r="AE1143" t="n">
        <v>10</v>
      </c>
      <c r="AF1143" t="n">
        <v>4</v>
      </c>
      <c r="AG1143" t="n">
        <v>4</v>
      </c>
      <c r="AH1143" t="n">
        <v>3</v>
      </c>
      <c r="AI1143" t="n">
        <v>3</v>
      </c>
      <c r="AJ1143" t="n">
        <v>7</v>
      </c>
      <c r="AK1143" t="n">
        <v>7</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HYPERLINK("https://creighton-primo.hosted.exlibrisgroup.com/primo-explore/search?tab=default_tab&amp;search_scope=EVERYTHING&amp;vid=01CRU&amp;lang=en_US&amp;offset=0&amp;query=any,contains,991001319429702656","Catalog Record")</f>
        <v/>
      </c>
      <c r="AT1143">
        <f>HYPERLINK("http://www.worldcat.org/oclc/18215111","WorldCat Record")</f>
        <v/>
      </c>
      <c r="AU1143" t="inlineStr">
        <is>
          <t>17375194:eng</t>
        </is>
      </c>
      <c r="AV1143" t="inlineStr">
        <is>
          <t>18215111</t>
        </is>
      </c>
      <c r="AW1143" t="inlineStr">
        <is>
          <t>991001319429702656</t>
        </is>
      </c>
      <c r="AX1143" t="inlineStr">
        <is>
          <t>991001319429702656</t>
        </is>
      </c>
      <c r="AY1143" t="inlineStr">
        <is>
          <t>2264795700002656</t>
        </is>
      </c>
      <c r="AZ1143" t="inlineStr">
        <is>
          <t>BOOK</t>
        </is>
      </c>
      <c r="BB1143" t="inlineStr">
        <is>
          <t>9780896223554</t>
        </is>
      </c>
      <c r="BC1143" t="inlineStr">
        <is>
          <t>32285000090943</t>
        </is>
      </c>
      <c r="BD1143" t="inlineStr">
        <is>
          <t>893231905</t>
        </is>
      </c>
    </row>
    <row r="1144">
      <c r="A1144" t="inlineStr">
        <is>
          <t>No</t>
        </is>
      </c>
      <c r="B1144" t="inlineStr">
        <is>
          <t>BT761.2 .J653 1960</t>
        </is>
      </c>
      <c r="C1144" t="inlineStr">
        <is>
          <t>0                      BT 0761200J  653         1960</t>
        </is>
      </c>
      <c r="D1144" t="inlineStr">
        <is>
          <t>The meaning of grace / by Charles Journet ; [translated into English by A. V. Littledale]</t>
        </is>
      </c>
      <c r="F1144" t="inlineStr">
        <is>
          <t>No</t>
        </is>
      </c>
      <c r="G1144" t="inlineStr">
        <is>
          <t>1</t>
        </is>
      </c>
      <c r="H1144" t="inlineStr">
        <is>
          <t>No</t>
        </is>
      </c>
      <c r="I1144" t="inlineStr">
        <is>
          <t>No</t>
        </is>
      </c>
      <c r="J1144" t="inlineStr">
        <is>
          <t>0</t>
        </is>
      </c>
      <c r="K1144" t="inlineStr">
        <is>
          <t>Journet, Charles.</t>
        </is>
      </c>
      <c r="L1144" t="inlineStr">
        <is>
          <t>New York, P. J. Kenedy [1960]</t>
        </is>
      </c>
      <c r="M1144" t="inlineStr">
        <is>
          <t>1960</t>
        </is>
      </c>
      <c r="O1144" t="inlineStr">
        <is>
          <t>eng</t>
        </is>
      </c>
      <c r="P1144" t="inlineStr">
        <is>
          <t>nyu</t>
        </is>
      </c>
      <c r="R1144" t="inlineStr">
        <is>
          <t xml:space="preserve">BT </t>
        </is>
      </c>
      <c r="S1144" t="n">
        <v>7</v>
      </c>
      <c r="T1144" t="n">
        <v>7</v>
      </c>
      <c r="U1144" t="inlineStr">
        <is>
          <t>1997-02-23</t>
        </is>
      </c>
      <c r="V1144" t="inlineStr">
        <is>
          <t>1997-02-23</t>
        </is>
      </c>
      <c r="W1144" t="inlineStr">
        <is>
          <t>1992-09-28</t>
        </is>
      </c>
      <c r="X1144" t="inlineStr">
        <is>
          <t>1992-09-28</t>
        </is>
      </c>
      <c r="Y1144" t="n">
        <v>202</v>
      </c>
      <c r="Z1144" t="n">
        <v>180</v>
      </c>
      <c r="AA1144" t="n">
        <v>257</v>
      </c>
      <c r="AB1144" t="n">
        <v>3</v>
      </c>
      <c r="AC1144" t="n">
        <v>4</v>
      </c>
      <c r="AD1144" t="n">
        <v>28</v>
      </c>
      <c r="AE1144" t="n">
        <v>30</v>
      </c>
      <c r="AF1144" t="n">
        <v>7</v>
      </c>
      <c r="AG1144" t="n">
        <v>8</v>
      </c>
      <c r="AH1144" t="n">
        <v>7</v>
      </c>
      <c r="AI1144" t="n">
        <v>7</v>
      </c>
      <c r="AJ1144" t="n">
        <v>21</v>
      </c>
      <c r="AK1144" t="n">
        <v>22</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HYPERLINK("https://creighton-primo.hosted.exlibrisgroup.com/primo-explore/search?tab=default_tab&amp;search_scope=EVERYTHING&amp;vid=01CRU&amp;lang=en_US&amp;offset=0&amp;query=any,contains,991003980339702656","Catalog Record")</f>
        <v/>
      </c>
      <c r="AT1144">
        <f>HYPERLINK("http://www.worldcat.org/oclc/2019579","WorldCat Record")</f>
        <v/>
      </c>
      <c r="AU1144" t="inlineStr">
        <is>
          <t>657037:eng</t>
        </is>
      </c>
      <c r="AV1144" t="inlineStr">
        <is>
          <t>2019579</t>
        </is>
      </c>
      <c r="AW1144" t="inlineStr">
        <is>
          <t>991003980339702656</t>
        </is>
      </c>
      <c r="AX1144" t="inlineStr">
        <is>
          <t>991003980339702656</t>
        </is>
      </c>
      <c r="AY1144" t="inlineStr">
        <is>
          <t>2260137430002656</t>
        </is>
      </c>
      <c r="AZ1144" t="inlineStr">
        <is>
          <t>BOOK</t>
        </is>
      </c>
      <c r="BC1144" t="inlineStr">
        <is>
          <t>32285001321297</t>
        </is>
      </c>
      <c r="BD1144" t="inlineStr">
        <is>
          <t>893259168</t>
        </is>
      </c>
    </row>
    <row r="1145">
      <c r="A1145" t="inlineStr">
        <is>
          <t>No</t>
        </is>
      </c>
      <c r="B1145" t="inlineStr">
        <is>
          <t>BT761.2 .L277 1988</t>
        </is>
      </c>
      <c r="C1145" t="inlineStr">
        <is>
          <t>0                      BT 0761200L  277         1988</t>
        </is>
      </c>
      <c r="D1145" t="inlineStr">
        <is>
          <t>Patience and power : grace for the first world / Jean-Marc-Laporte.</t>
        </is>
      </c>
      <c r="F1145" t="inlineStr">
        <is>
          <t>No</t>
        </is>
      </c>
      <c r="G1145" t="inlineStr">
        <is>
          <t>1</t>
        </is>
      </c>
      <c r="H1145" t="inlineStr">
        <is>
          <t>No</t>
        </is>
      </c>
      <c r="I1145" t="inlineStr">
        <is>
          <t>No</t>
        </is>
      </c>
      <c r="J1145" t="inlineStr">
        <is>
          <t>0</t>
        </is>
      </c>
      <c r="K1145" t="inlineStr">
        <is>
          <t>Laporte, Jean-Marc, 1937-</t>
        </is>
      </c>
      <c r="L1145" t="inlineStr">
        <is>
          <t>New York : Paulist Press, c1988.</t>
        </is>
      </c>
      <c r="M1145" t="inlineStr">
        <is>
          <t>1988</t>
        </is>
      </c>
      <c r="O1145" t="inlineStr">
        <is>
          <t>eng</t>
        </is>
      </c>
      <c r="P1145" t="inlineStr">
        <is>
          <t>nyu</t>
        </is>
      </c>
      <c r="R1145" t="inlineStr">
        <is>
          <t xml:space="preserve">BT </t>
        </is>
      </c>
      <c r="S1145" t="n">
        <v>4</v>
      </c>
      <c r="T1145" t="n">
        <v>4</v>
      </c>
      <c r="U1145" t="inlineStr">
        <is>
          <t>1998-09-23</t>
        </is>
      </c>
      <c r="V1145" t="inlineStr">
        <is>
          <t>1998-09-23</t>
        </is>
      </c>
      <c r="W1145" t="inlineStr">
        <is>
          <t>1990-05-24</t>
        </is>
      </c>
      <c r="X1145" t="inlineStr">
        <is>
          <t>1990-05-24</t>
        </is>
      </c>
      <c r="Y1145" t="n">
        <v>171</v>
      </c>
      <c r="Z1145" t="n">
        <v>126</v>
      </c>
      <c r="AA1145" t="n">
        <v>126</v>
      </c>
      <c r="AB1145" t="n">
        <v>1</v>
      </c>
      <c r="AC1145" t="n">
        <v>1</v>
      </c>
      <c r="AD1145" t="n">
        <v>22</v>
      </c>
      <c r="AE1145" t="n">
        <v>22</v>
      </c>
      <c r="AF1145" t="n">
        <v>6</v>
      </c>
      <c r="AG1145" t="n">
        <v>6</v>
      </c>
      <c r="AH1145" t="n">
        <v>5</v>
      </c>
      <c r="AI1145" t="n">
        <v>5</v>
      </c>
      <c r="AJ1145" t="n">
        <v>18</v>
      </c>
      <c r="AK1145" t="n">
        <v>18</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HYPERLINK("https://creighton-primo.hosted.exlibrisgroup.com/primo-explore/search?tab=default_tab&amp;search_scope=EVERYTHING&amp;vid=01CRU&amp;lang=en_US&amp;offset=0&amp;query=any,contains,991001219599702656","Catalog Record")</f>
        <v/>
      </c>
      <c r="AT1145">
        <f>HYPERLINK("http://www.worldcat.org/oclc/17441601","WorldCat Record")</f>
        <v/>
      </c>
      <c r="AU1145" t="inlineStr">
        <is>
          <t>16078087:eng</t>
        </is>
      </c>
      <c r="AV1145" t="inlineStr">
        <is>
          <t>17441601</t>
        </is>
      </c>
      <c r="AW1145" t="inlineStr">
        <is>
          <t>991001219599702656</t>
        </is>
      </c>
      <c r="AX1145" t="inlineStr">
        <is>
          <t>991001219599702656</t>
        </is>
      </c>
      <c r="AY1145" t="inlineStr">
        <is>
          <t>2260631740002656</t>
        </is>
      </c>
      <c r="AZ1145" t="inlineStr">
        <is>
          <t>BOOK</t>
        </is>
      </c>
      <c r="BB1145" t="inlineStr">
        <is>
          <t>9780809129669</t>
        </is>
      </c>
      <c r="BC1145" t="inlineStr">
        <is>
          <t>32285000139401</t>
        </is>
      </c>
      <c r="BD1145" t="inlineStr">
        <is>
          <t>893237947</t>
        </is>
      </c>
    </row>
    <row r="1146">
      <c r="A1146" t="inlineStr">
        <is>
          <t>No</t>
        </is>
      </c>
      <c r="B1146" t="inlineStr">
        <is>
          <t>BT761.2 .L44 1983</t>
        </is>
      </c>
      <c r="C1146" t="inlineStr">
        <is>
          <t>0                      BT 0761200L  44          1983</t>
        </is>
      </c>
      <c r="D1146" t="inlineStr">
        <is>
          <t>The theology of grace and the American mind : a representation of Catholic doctrine / Daniel Liderbach.</t>
        </is>
      </c>
      <c r="F1146" t="inlineStr">
        <is>
          <t>No</t>
        </is>
      </c>
      <c r="G1146" t="inlineStr">
        <is>
          <t>1</t>
        </is>
      </c>
      <c r="H1146" t="inlineStr">
        <is>
          <t>No</t>
        </is>
      </c>
      <c r="I1146" t="inlineStr">
        <is>
          <t>No</t>
        </is>
      </c>
      <c r="J1146" t="inlineStr">
        <is>
          <t>0</t>
        </is>
      </c>
      <c r="K1146" t="inlineStr">
        <is>
          <t>Liderbach, Daniel, 1941-</t>
        </is>
      </c>
      <c r="L1146" t="inlineStr">
        <is>
          <t>New York : E. Mellen, c1983.</t>
        </is>
      </c>
      <c r="M1146" t="inlineStr">
        <is>
          <t>1983</t>
        </is>
      </c>
      <c r="O1146" t="inlineStr">
        <is>
          <t>eng</t>
        </is>
      </c>
      <c r="P1146" t="inlineStr">
        <is>
          <t>nyu</t>
        </is>
      </c>
      <c r="Q1146" t="inlineStr">
        <is>
          <t>Toronto studies in theology ; v. 15</t>
        </is>
      </c>
      <c r="R1146" t="inlineStr">
        <is>
          <t xml:space="preserve">BT </t>
        </is>
      </c>
      <c r="S1146" t="n">
        <v>3</v>
      </c>
      <c r="T1146" t="n">
        <v>3</v>
      </c>
      <c r="U1146" t="inlineStr">
        <is>
          <t>1997-02-23</t>
        </is>
      </c>
      <c r="V1146" t="inlineStr">
        <is>
          <t>1997-02-23</t>
        </is>
      </c>
      <c r="W1146" t="inlineStr">
        <is>
          <t>1991-10-08</t>
        </is>
      </c>
      <c r="X1146" t="inlineStr">
        <is>
          <t>1991-10-08</t>
        </is>
      </c>
      <c r="Y1146" t="n">
        <v>178</v>
      </c>
      <c r="Z1146" t="n">
        <v>155</v>
      </c>
      <c r="AA1146" t="n">
        <v>157</v>
      </c>
      <c r="AB1146" t="n">
        <v>1</v>
      </c>
      <c r="AC1146" t="n">
        <v>1</v>
      </c>
      <c r="AD1146" t="n">
        <v>18</v>
      </c>
      <c r="AE1146" t="n">
        <v>18</v>
      </c>
      <c r="AF1146" t="n">
        <v>4</v>
      </c>
      <c r="AG1146" t="n">
        <v>4</v>
      </c>
      <c r="AH1146" t="n">
        <v>5</v>
      </c>
      <c r="AI1146" t="n">
        <v>5</v>
      </c>
      <c r="AJ1146" t="n">
        <v>14</v>
      </c>
      <c r="AK1146" t="n">
        <v>14</v>
      </c>
      <c r="AL1146" t="n">
        <v>0</v>
      </c>
      <c r="AM1146" t="n">
        <v>0</v>
      </c>
      <c r="AN1146" t="n">
        <v>0</v>
      </c>
      <c r="AO1146" t="n">
        <v>0</v>
      </c>
      <c r="AP1146" t="inlineStr">
        <is>
          <t>No</t>
        </is>
      </c>
      <c r="AQ1146" t="inlineStr">
        <is>
          <t>Yes</t>
        </is>
      </c>
      <c r="AR1146">
        <f>HYPERLINK("http://catalog.hathitrust.org/Record/000248792","HathiTrust Record")</f>
        <v/>
      </c>
      <c r="AS1146">
        <f>HYPERLINK("https://creighton-primo.hosted.exlibrisgroup.com/primo-explore/search?tab=default_tab&amp;search_scope=EVERYTHING&amp;vid=01CRU&amp;lang=en_US&amp;offset=0&amp;query=any,contains,991000313699702656","Catalog Record")</f>
        <v/>
      </c>
      <c r="AT1146">
        <f>HYPERLINK("http://www.worldcat.org/oclc/10100892","WorldCat Record")</f>
        <v/>
      </c>
      <c r="AU1146" t="inlineStr">
        <is>
          <t>2840967:eng</t>
        </is>
      </c>
      <c r="AV1146" t="inlineStr">
        <is>
          <t>10100892</t>
        </is>
      </c>
      <c r="AW1146" t="inlineStr">
        <is>
          <t>991000313699702656</t>
        </is>
      </c>
      <c r="AX1146" t="inlineStr">
        <is>
          <t>991000313699702656</t>
        </is>
      </c>
      <c r="AY1146" t="inlineStr">
        <is>
          <t>2256102440002656</t>
        </is>
      </c>
      <c r="AZ1146" t="inlineStr">
        <is>
          <t>BOOK</t>
        </is>
      </c>
      <c r="BB1146" t="inlineStr">
        <is>
          <t>9780889467613</t>
        </is>
      </c>
      <c r="BC1146" t="inlineStr">
        <is>
          <t>32285000805829</t>
        </is>
      </c>
      <c r="BD1146" t="inlineStr">
        <is>
          <t>893607809</t>
        </is>
      </c>
    </row>
    <row r="1147">
      <c r="A1147" t="inlineStr">
        <is>
          <t>No</t>
        </is>
      </c>
      <c r="B1147" t="inlineStr">
        <is>
          <t>BT761.2 .M4</t>
        </is>
      </c>
      <c r="C1147" t="inlineStr">
        <is>
          <t>0                      BT 0761200M  4</t>
        </is>
      </c>
      <c r="D1147" t="inlineStr">
        <is>
          <t>Foundations for a psychology of grace / by William W. Meissner.</t>
        </is>
      </c>
      <c r="F1147" t="inlineStr">
        <is>
          <t>No</t>
        </is>
      </c>
      <c r="G1147" t="inlineStr">
        <is>
          <t>1</t>
        </is>
      </c>
      <c r="H1147" t="inlineStr">
        <is>
          <t>No</t>
        </is>
      </c>
      <c r="I1147" t="inlineStr">
        <is>
          <t>No</t>
        </is>
      </c>
      <c r="J1147" t="inlineStr">
        <is>
          <t>0</t>
        </is>
      </c>
      <c r="K1147" t="inlineStr">
        <is>
          <t>Meissner, W. W. (William W.), 1931-</t>
        </is>
      </c>
      <c r="L1147" t="inlineStr">
        <is>
          <t>Glen Rock, N. J. : Paulist Press, [1966]</t>
        </is>
      </c>
      <c r="M1147" t="inlineStr">
        <is>
          <t>1966</t>
        </is>
      </c>
      <c r="O1147" t="inlineStr">
        <is>
          <t>eng</t>
        </is>
      </c>
      <c r="P1147" t="inlineStr">
        <is>
          <t>nju</t>
        </is>
      </c>
      <c r="R1147" t="inlineStr">
        <is>
          <t xml:space="preserve">BT </t>
        </is>
      </c>
      <c r="S1147" t="n">
        <v>1</v>
      </c>
      <c r="T1147" t="n">
        <v>1</v>
      </c>
      <c r="U1147" t="inlineStr">
        <is>
          <t>2002-07-26</t>
        </is>
      </c>
      <c r="V1147" t="inlineStr">
        <is>
          <t>2002-07-26</t>
        </is>
      </c>
      <c r="W1147" t="inlineStr">
        <is>
          <t>1991-10-08</t>
        </is>
      </c>
      <c r="X1147" t="inlineStr">
        <is>
          <t>1991-10-08</t>
        </is>
      </c>
      <c r="Y1147" t="n">
        <v>329</v>
      </c>
      <c r="Z1147" t="n">
        <v>278</v>
      </c>
      <c r="AA1147" t="n">
        <v>283</v>
      </c>
      <c r="AB1147" t="n">
        <v>3</v>
      </c>
      <c r="AC1147" t="n">
        <v>3</v>
      </c>
      <c r="AD1147" t="n">
        <v>29</v>
      </c>
      <c r="AE1147" t="n">
        <v>29</v>
      </c>
      <c r="AF1147" t="n">
        <v>8</v>
      </c>
      <c r="AG1147" t="n">
        <v>8</v>
      </c>
      <c r="AH1147" t="n">
        <v>6</v>
      </c>
      <c r="AI1147" t="n">
        <v>6</v>
      </c>
      <c r="AJ1147" t="n">
        <v>24</v>
      </c>
      <c r="AK1147" t="n">
        <v>24</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HYPERLINK("https://creighton-primo.hosted.exlibrisgroup.com/primo-explore/search?tab=default_tab&amp;search_scope=EVERYTHING&amp;vid=01CRU&amp;lang=en_US&amp;offset=0&amp;query=any,contains,991003358539702656","Catalog Record")</f>
        <v/>
      </c>
      <c r="AT1147">
        <f>HYPERLINK("http://www.worldcat.org/oclc/893696","WorldCat Record")</f>
        <v/>
      </c>
      <c r="AU1147" t="inlineStr">
        <is>
          <t>212783:eng</t>
        </is>
      </c>
      <c r="AV1147" t="inlineStr">
        <is>
          <t>893696</t>
        </is>
      </c>
      <c r="AW1147" t="inlineStr">
        <is>
          <t>991003358539702656</t>
        </is>
      </c>
      <c r="AX1147" t="inlineStr">
        <is>
          <t>991003358539702656</t>
        </is>
      </c>
      <c r="AY1147" t="inlineStr">
        <is>
          <t>2259979100002656</t>
        </is>
      </c>
      <c r="AZ1147" t="inlineStr">
        <is>
          <t>BOOK</t>
        </is>
      </c>
      <c r="BC1147" t="inlineStr">
        <is>
          <t>32285000805845</t>
        </is>
      </c>
      <c r="BD1147" t="inlineStr">
        <is>
          <t>893717585</t>
        </is>
      </c>
    </row>
    <row r="1148">
      <c r="A1148" t="inlineStr">
        <is>
          <t>No</t>
        </is>
      </c>
      <c r="B1148" t="inlineStr">
        <is>
          <t>BT761.2 .M47</t>
        </is>
      </c>
      <c r="C1148" t="inlineStr">
        <is>
          <t>0                      BT 0761200M  47</t>
        </is>
      </c>
      <c r="D1148" t="inlineStr">
        <is>
          <t>A contemporary theology of grace / by Charles R. Meyer.</t>
        </is>
      </c>
      <c r="F1148" t="inlineStr">
        <is>
          <t>No</t>
        </is>
      </c>
      <c r="G1148" t="inlineStr">
        <is>
          <t>1</t>
        </is>
      </c>
      <c r="H1148" t="inlineStr">
        <is>
          <t>No</t>
        </is>
      </c>
      <c r="I1148" t="inlineStr">
        <is>
          <t>No</t>
        </is>
      </c>
      <c r="J1148" t="inlineStr">
        <is>
          <t>0</t>
        </is>
      </c>
      <c r="K1148" t="inlineStr">
        <is>
          <t>Meyer, Charles R. (Charles Robert), 1920-</t>
        </is>
      </c>
      <c r="L1148" t="inlineStr">
        <is>
          <t>Staten Island, N.Y. : Alba House, [1971]</t>
        </is>
      </c>
      <c r="M1148" t="inlineStr">
        <is>
          <t>1971</t>
        </is>
      </c>
      <c r="O1148" t="inlineStr">
        <is>
          <t>eng</t>
        </is>
      </c>
      <c r="P1148" t="inlineStr">
        <is>
          <t>nyu</t>
        </is>
      </c>
      <c r="R1148" t="inlineStr">
        <is>
          <t xml:space="preserve">BT </t>
        </is>
      </c>
      <c r="S1148" t="n">
        <v>4</v>
      </c>
      <c r="T1148" t="n">
        <v>4</v>
      </c>
      <c r="U1148" t="inlineStr">
        <is>
          <t>1996-11-21</t>
        </is>
      </c>
      <c r="V1148" t="inlineStr">
        <is>
          <t>1996-11-21</t>
        </is>
      </c>
      <c r="W1148" t="inlineStr">
        <is>
          <t>1991-10-08</t>
        </is>
      </c>
      <c r="X1148" t="inlineStr">
        <is>
          <t>1991-10-08</t>
        </is>
      </c>
      <c r="Y1148" t="n">
        <v>257</v>
      </c>
      <c r="Z1148" t="n">
        <v>217</v>
      </c>
      <c r="AA1148" t="n">
        <v>228</v>
      </c>
      <c r="AB1148" t="n">
        <v>6</v>
      </c>
      <c r="AC1148" t="n">
        <v>6</v>
      </c>
      <c r="AD1148" t="n">
        <v>28</v>
      </c>
      <c r="AE1148" t="n">
        <v>29</v>
      </c>
      <c r="AF1148" t="n">
        <v>8</v>
      </c>
      <c r="AG1148" t="n">
        <v>9</v>
      </c>
      <c r="AH1148" t="n">
        <v>4</v>
      </c>
      <c r="AI1148" t="n">
        <v>5</v>
      </c>
      <c r="AJ1148" t="n">
        <v>22</v>
      </c>
      <c r="AK1148" t="n">
        <v>22</v>
      </c>
      <c r="AL1148" t="n">
        <v>4</v>
      </c>
      <c r="AM1148" t="n">
        <v>4</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HYPERLINK("https://creighton-primo.hosted.exlibrisgroup.com/primo-explore/search?tab=default_tab&amp;search_scope=EVERYTHING&amp;vid=01CRU&amp;lang=en_US&amp;offset=0&amp;query=any,contains,991000831909702656","Catalog Record")</f>
        <v/>
      </c>
      <c r="AT1148">
        <f>HYPERLINK("http://www.worldcat.org/oclc/148073","WorldCat Record")</f>
        <v/>
      </c>
      <c r="AU1148" t="inlineStr">
        <is>
          <t>1332598:eng</t>
        </is>
      </c>
      <c r="AV1148" t="inlineStr">
        <is>
          <t>148073</t>
        </is>
      </c>
      <c r="AW1148" t="inlineStr">
        <is>
          <t>991000831909702656</t>
        </is>
      </c>
      <c r="AX1148" t="inlineStr">
        <is>
          <t>991000831909702656</t>
        </is>
      </c>
      <c r="AY1148" t="inlineStr">
        <is>
          <t>2259940640002656</t>
        </is>
      </c>
      <c r="AZ1148" t="inlineStr">
        <is>
          <t>BOOK</t>
        </is>
      </c>
      <c r="BB1148" t="inlineStr">
        <is>
          <t>9780818902024</t>
        </is>
      </c>
      <c r="BC1148" t="inlineStr">
        <is>
          <t>32285000805860</t>
        </is>
      </c>
      <c r="BD1148" t="inlineStr">
        <is>
          <t>893502854</t>
        </is>
      </c>
    </row>
    <row r="1149">
      <c r="A1149" t="inlineStr">
        <is>
          <t>No</t>
        </is>
      </c>
      <c r="B1149" t="inlineStr">
        <is>
          <t>BT761.2 .O25 1993</t>
        </is>
      </c>
      <c r="C1149" t="inlineStr">
        <is>
          <t>0                      BT 0761200O  25          1993</t>
        </is>
      </c>
      <c r="D1149" t="inlineStr">
        <is>
          <t>The transforming power of grace/ Thomas C. Oden.</t>
        </is>
      </c>
      <c r="F1149" t="inlineStr">
        <is>
          <t>No</t>
        </is>
      </c>
      <c r="G1149" t="inlineStr">
        <is>
          <t>1</t>
        </is>
      </c>
      <c r="H1149" t="inlineStr">
        <is>
          <t>No</t>
        </is>
      </c>
      <c r="I1149" t="inlineStr">
        <is>
          <t>No</t>
        </is>
      </c>
      <c r="J1149" t="inlineStr">
        <is>
          <t>0</t>
        </is>
      </c>
      <c r="K1149" t="inlineStr">
        <is>
          <t>Oden, Thomas C.</t>
        </is>
      </c>
      <c r="L1149" t="inlineStr">
        <is>
          <t>Nashville : Abingdon Press, c1993.</t>
        </is>
      </c>
      <c r="M1149" t="inlineStr">
        <is>
          <t>1993</t>
        </is>
      </c>
      <c r="O1149" t="inlineStr">
        <is>
          <t>eng</t>
        </is>
      </c>
      <c r="P1149" t="inlineStr">
        <is>
          <t>tnu</t>
        </is>
      </c>
      <c r="R1149" t="inlineStr">
        <is>
          <t xml:space="preserve">BT </t>
        </is>
      </c>
      <c r="S1149" t="n">
        <v>7</v>
      </c>
      <c r="T1149" t="n">
        <v>7</v>
      </c>
      <c r="U1149" t="inlineStr">
        <is>
          <t>2005-02-22</t>
        </is>
      </c>
      <c r="V1149" t="inlineStr">
        <is>
          <t>2005-02-22</t>
        </is>
      </c>
      <c r="W1149" t="inlineStr">
        <is>
          <t>1995-01-04</t>
        </is>
      </c>
      <c r="X1149" t="inlineStr">
        <is>
          <t>1995-01-04</t>
        </is>
      </c>
      <c r="Y1149" t="n">
        <v>257</v>
      </c>
      <c r="Z1149" t="n">
        <v>214</v>
      </c>
      <c r="AA1149" t="n">
        <v>214</v>
      </c>
      <c r="AB1149" t="n">
        <v>2</v>
      </c>
      <c r="AC1149" t="n">
        <v>2</v>
      </c>
      <c r="AD1149" t="n">
        <v>13</v>
      </c>
      <c r="AE1149" t="n">
        <v>13</v>
      </c>
      <c r="AF1149" t="n">
        <v>5</v>
      </c>
      <c r="AG1149" t="n">
        <v>5</v>
      </c>
      <c r="AH1149" t="n">
        <v>4</v>
      </c>
      <c r="AI1149" t="n">
        <v>4</v>
      </c>
      <c r="AJ1149" t="n">
        <v>7</v>
      </c>
      <c r="AK1149" t="n">
        <v>7</v>
      </c>
      <c r="AL1149" t="n">
        <v>0</v>
      </c>
      <c r="AM1149" t="n">
        <v>0</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HYPERLINK("https://creighton-primo.hosted.exlibrisgroup.com/primo-explore/search?tab=default_tab&amp;search_scope=EVERYTHING&amp;vid=01CRU&amp;lang=en_US&amp;offset=0&amp;query=any,contains,991002087779702656","Catalog Record")</f>
        <v/>
      </c>
      <c r="AT1149">
        <f>HYPERLINK("http://www.worldcat.org/oclc/26799978","WorldCat Record")</f>
        <v/>
      </c>
      <c r="AU1149" t="inlineStr">
        <is>
          <t>29997382:eng</t>
        </is>
      </c>
      <c r="AV1149" t="inlineStr">
        <is>
          <t>26799978</t>
        </is>
      </c>
      <c r="AW1149" t="inlineStr">
        <is>
          <t>991002087779702656</t>
        </is>
      </c>
      <c r="AX1149" t="inlineStr">
        <is>
          <t>991002087779702656</t>
        </is>
      </c>
      <c r="AY1149" t="inlineStr">
        <is>
          <t>2255158230002656</t>
        </is>
      </c>
      <c r="AZ1149" t="inlineStr">
        <is>
          <t>BOOK</t>
        </is>
      </c>
      <c r="BB1149" t="inlineStr">
        <is>
          <t>9780687422609</t>
        </is>
      </c>
      <c r="BC1149" t="inlineStr">
        <is>
          <t>32285001990794</t>
        </is>
      </c>
      <c r="BD1149" t="inlineStr">
        <is>
          <t>893529528</t>
        </is>
      </c>
    </row>
    <row r="1150">
      <c r="A1150" t="inlineStr">
        <is>
          <t>No</t>
        </is>
      </c>
      <c r="B1150" t="inlineStr">
        <is>
          <t>BT761.2 .S63 1978</t>
        </is>
      </c>
      <c r="C1150" t="inlineStr">
        <is>
          <t>0                      BT 0761200S  63          1978</t>
        </is>
      </c>
      <c r="D1150" t="inlineStr">
        <is>
          <t>Is Christ the end of the law? / Gerard S. Sloyan.</t>
        </is>
      </c>
      <c r="F1150" t="inlineStr">
        <is>
          <t>No</t>
        </is>
      </c>
      <c r="G1150" t="inlineStr">
        <is>
          <t>1</t>
        </is>
      </c>
      <c r="H1150" t="inlineStr">
        <is>
          <t>No</t>
        </is>
      </c>
      <c r="I1150" t="inlineStr">
        <is>
          <t>No</t>
        </is>
      </c>
      <c r="J1150" t="inlineStr">
        <is>
          <t>0</t>
        </is>
      </c>
      <c r="K1150" t="inlineStr">
        <is>
          <t>Sloyan, Gerard S., 1919-</t>
        </is>
      </c>
      <c r="L1150" t="inlineStr">
        <is>
          <t>Philadelphia : Westminster Press, c1978.</t>
        </is>
      </c>
      <c r="M1150" t="inlineStr">
        <is>
          <t>1978</t>
        </is>
      </c>
      <c r="N1150" t="inlineStr">
        <is>
          <t>1st ed.</t>
        </is>
      </c>
      <c r="O1150" t="inlineStr">
        <is>
          <t>eng</t>
        </is>
      </c>
      <c r="P1150" t="inlineStr">
        <is>
          <t>pau</t>
        </is>
      </c>
      <c r="Q1150" t="inlineStr">
        <is>
          <t>Biblical perspectives on current issues</t>
        </is>
      </c>
      <c r="R1150" t="inlineStr">
        <is>
          <t xml:space="preserve">BT </t>
        </is>
      </c>
      <c r="S1150" t="n">
        <v>3</v>
      </c>
      <c r="T1150" t="n">
        <v>3</v>
      </c>
      <c r="U1150" t="inlineStr">
        <is>
          <t>2000-10-05</t>
        </is>
      </c>
      <c r="V1150" t="inlineStr">
        <is>
          <t>2000-10-05</t>
        </is>
      </c>
      <c r="W1150" t="inlineStr">
        <is>
          <t>1991-10-08</t>
        </is>
      </c>
      <c r="X1150" t="inlineStr">
        <is>
          <t>1991-10-08</t>
        </is>
      </c>
      <c r="Y1150" t="n">
        <v>405</v>
      </c>
      <c r="Z1150" t="n">
        <v>341</v>
      </c>
      <c r="AA1150" t="n">
        <v>341</v>
      </c>
      <c r="AB1150" t="n">
        <v>3</v>
      </c>
      <c r="AC1150" t="n">
        <v>3</v>
      </c>
      <c r="AD1150" t="n">
        <v>31</v>
      </c>
      <c r="AE1150" t="n">
        <v>31</v>
      </c>
      <c r="AF1150" t="n">
        <v>13</v>
      </c>
      <c r="AG1150" t="n">
        <v>13</v>
      </c>
      <c r="AH1150" t="n">
        <v>7</v>
      </c>
      <c r="AI1150" t="n">
        <v>7</v>
      </c>
      <c r="AJ1150" t="n">
        <v>19</v>
      </c>
      <c r="AK1150" t="n">
        <v>19</v>
      </c>
      <c r="AL1150" t="n">
        <v>2</v>
      </c>
      <c r="AM1150" t="n">
        <v>2</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HYPERLINK("https://creighton-primo.hosted.exlibrisgroup.com/primo-explore/search?tab=default_tab&amp;search_scope=EVERYTHING&amp;vid=01CRU&amp;lang=en_US&amp;offset=0&amp;query=any,contains,991004463919702656","Catalog Record")</f>
        <v/>
      </c>
      <c r="AT1150">
        <f>HYPERLINK("http://www.worldcat.org/oclc/3558748","WorldCat Record")</f>
        <v/>
      </c>
      <c r="AU1150" t="inlineStr">
        <is>
          <t>513621:eng</t>
        </is>
      </c>
      <c r="AV1150" t="inlineStr">
        <is>
          <t>3558748</t>
        </is>
      </c>
      <c r="AW1150" t="inlineStr">
        <is>
          <t>991004463919702656</t>
        </is>
      </c>
      <c r="AX1150" t="inlineStr">
        <is>
          <t>991004463919702656</t>
        </is>
      </c>
      <c r="AY1150" t="inlineStr">
        <is>
          <t>2262144850002656</t>
        </is>
      </c>
      <c r="AZ1150" t="inlineStr">
        <is>
          <t>BOOK</t>
        </is>
      </c>
      <c r="BB1150" t="inlineStr">
        <is>
          <t>9780664241902</t>
        </is>
      </c>
      <c r="BC1150" t="inlineStr">
        <is>
          <t>32285000805894</t>
        </is>
      </c>
      <c r="BD1150" t="inlineStr">
        <is>
          <t>893599863</t>
        </is>
      </c>
    </row>
    <row r="1151">
      <c r="A1151" t="inlineStr">
        <is>
          <t>No</t>
        </is>
      </c>
      <c r="B1151" t="inlineStr">
        <is>
          <t>BT761.2 .S77</t>
        </is>
      </c>
      <c r="C1151" t="inlineStr">
        <is>
          <t>0                      BT 0761200S  77</t>
        </is>
      </c>
      <c r="D1151" t="inlineStr">
        <is>
          <t>The life of grace / P. Gregory Stevens.</t>
        </is>
      </c>
      <c r="F1151" t="inlineStr">
        <is>
          <t>No</t>
        </is>
      </c>
      <c r="G1151" t="inlineStr">
        <is>
          <t>1</t>
        </is>
      </c>
      <c r="H1151" t="inlineStr">
        <is>
          <t>No</t>
        </is>
      </c>
      <c r="I1151" t="inlineStr">
        <is>
          <t>No</t>
        </is>
      </c>
      <c r="J1151" t="inlineStr">
        <is>
          <t>0</t>
        </is>
      </c>
      <c r="K1151" t="inlineStr">
        <is>
          <t>Stevens, Gregory.</t>
        </is>
      </c>
      <c r="L1151" t="inlineStr">
        <is>
          <t>Englewood Cliffs, N. J. : Prentice-Hall, [1963]</t>
        </is>
      </c>
      <c r="M1151" t="inlineStr">
        <is>
          <t>1963</t>
        </is>
      </c>
      <c r="O1151" t="inlineStr">
        <is>
          <t>eng</t>
        </is>
      </c>
      <c r="P1151" t="inlineStr">
        <is>
          <t>___</t>
        </is>
      </c>
      <c r="Q1151" t="inlineStr">
        <is>
          <t>Foundations of Catholic theology series</t>
        </is>
      </c>
      <c r="R1151" t="inlineStr">
        <is>
          <t xml:space="preserve">BT </t>
        </is>
      </c>
      <c r="S1151" t="n">
        <v>1</v>
      </c>
      <c r="T1151" t="n">
        <v>1</v>
      </c>
      <c r="U1151" t="inlineStr">
        <is>
          <t>2000-10-05</t>
        </is>
      </c>
      <c r="V1151" t="inlineStr">
        <is>
          <t>2000-10-05</t>
        </is>
      </c>
      <c r="W1151" t="inlineStr">
        <is>
          <t>1991-10-08</t>
        </is>
      </c>
      <c r="X1151" t="inlineStr">
        <is>
          <t>1991-10-08</t>
        </is>
      </c>
      <c r="Y1151" t="n">
        <v>311</v>
      </c>
      <c r="Z1151" t="n">
        <v>264</v>
      </c>
      <c r="AA1151" t="n">
        <v>269</v>
      </c>
      <c r="AB1151" t="n">
        <v>3</v>
      </c>
      <c r="AC1151" t="n">
        <v>3</v>
      </c>
      <c r="AD1151" t="n">
        <v>32</v>
      </c>
      <c r="AE1151" t="n">
        <v>32</v>
      </c>
      <c r="AF1151" t="n">
        <v>11</v>
      </c>
      <c r="AG1151" t="n">
        <v>11</v>
      </c>
      <c r="AH1151" t="n">
        <v>8</v>
      </c>
      <c r="AI1151" t="n">
        <v>8</v>
      </c>
      <c r="AJ1151" t="n">
        <v>25</v>
      </c>
      <c r="AK1151" t="n">
        <v>25</v>
      </c>
      <c r="AL1151" t="n">
        <v>1</v>
      </c>
      <c r="AM1151" t="n">
        <v>1</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HYPERLINK("https://creighton-primo.hosted.exlibrisgroup.com/primo-explore/search?tab=default_tab&amp;search_scope=EVERYTHING&amp;vid=01CRU&amp;lang=en_US&amp;offset=0&amp;query=any,contains,991002644279702656","Catalog Record")</f>
        <v/>
      </c>
      <c r="AT1151">
        <f>HYPERLINK("http://www.worldcat.org/oclc/385262","WorldCat Record")</f>
        <v/>
      </c>
      <c r="AU1151" t="inlineStr">
        <is>
          <t>1506768:eng</t>
        </is>
      </c>
      <c r="AV1151" t="inlineStr">
        <is>
          <t>385262</t>
        </is>
      </c>
      <c r="AW1151" t="inlineStr">
        <is>
          <t>991002644279702656</t>
        </is>
      </c>
      <c r="AX1151" t="inlineStr">
        <is>
          <t>991002644279702656</t>
        </is>
      </c>
      <c r="AY1151" t="inlineStr">
        <is>
          <t>2258928000002656</t>
        </is>
      </c>
      <c r="AZ1151" t="inlineStr">
        <is>
          <t>BOOK</t>
        </is>
      </c>
      <c r="BC1151" t="inlineStr">
        <is>
          <t>32285000805902</t>
        </is>
      </c>
      <c r="BD1151" t="inlineStr">
        <is>
          <t>893610090</t>
        </is>
      </c>
    </row>
    <row r="1152">
      <c r="A1152" t="inlineStr">
        <is>
          <t>No</t>
        </is>
      </c>
      <c r="B1152" t="inlineStr">
        <is>
          <t>BT761.2 .Y35 1997</t>
        </is>
      </c>
      <c r="C1152" t="inlineStr">
        <is>
          <t>0                      BT 0761200Y  35          1997</t>
        </is>
      </c>
      <c r="D1152" t="inlineStr">
        <is>
          <t>What's so amazing about grace? / Philip Yancey.</t>
        </is>
      </c>
      <c r="F1152" t="inlineStr">
        <is>
          <t>No</t>
        </is>
      </c>
      <c r="G1152" t="inlineStr">
        <is>
          <t>1</t>
        </is>
      </c>
      <c r="H1152" t="inlineStr">
        <is>
          <t>No</t>
        </is>
      </c>
      <c r="I1152" t="inlineStr">
        <is>
          <t>No</t>
        </is>
      </c>
      <c r="J1152" t="inlineStr">
        <is>
          <t>0</t>
        </is>
      </c>
      <c r="K1152" t="inlineStr">
        <is>
          <t>Yancey, Philip.</t>
        </is>
      </c>
      <c r="L1152" t="inlineStr">
        <is>
          <t>Grand Rapids, Mich. : Zondervan, c1997.</t>
        </is>
      </c>
      <c r="M1152" t="inlineStr">
        <is>
          <t>1997</t>
        </is>
      </c>
      <c r="O1152" t="inlineStr">
        <is>
          <t>eng</t>
        </is>
      </c>
      <c r="P1152" t="inlineStr">
        <is>
          <t>miu</t>
        </is>
      </c>
      <c r="R1152" t="inlineStr">
        <is>
          <t xml:space="preserve">BT </t>
        </is>
      </c>
      <c r="S1152" t="n">
        <v>2</v>
      </c>
      <c r="T1152" t="n">
        <v>2</v>
      </c>
      <c r="U1152" t="inlineStr">
        <is>
          <t>2001-03-27</t>
        </is>
      </c>
      <c r="V1152" t="inlineStr">
        <is>
          <t>2001-03-27</t>
        </is>
      </c>
      <c r="W1152" t="inlineStr">
        <is>
          <t>1998-07-16</t>
        </is>
      </c>
      <c r="X1152" t="inlineStr">
        <is>
          <t>1998-07-16</t>
        </is>
      </c>
      <c r="Y1152" t="n">
        <v>1473</v>
      </c>
      <c r="Z1152" t="n">
        <v>1374</v>
      </c>
      <c r="AA1152" t="n">
        <v>1603</v>
      </c>
      <c r="AB1152" t="n">
        <v>10</v>
      </c>
      <c r="AC1152" t="n">
        <v>11</v>
      </c>
      <c r="AD1152" t="n">
        <v>17</v>
      </c>
      <c r="AE1152" t="n">
        <v>19</v>
      </c>
      <c r="AF1152" t="n">
        <v>9</v>
      </c>
      <c r="AG1152" t="n">
        <v>10</v>
      </c>
      <c r="AH1152" t="n">
        <v>2</v>
      </c>
      <c r="AI1152" t="n">
        <v>3</v>
      </c>
      <c r="AJ1152" t="n">
        <v>7</v>
      </c>
      <c r="AK1152" t="n">
        <v>8</v>
      </c>
      <c r="AL1152" t="n">
        <v>4</v>
      </c>
      <c r="AM1152" t="n">
        <v>4</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HYPERLINK("https://creighton-primo.hosted.exlibrisgroup.com/primo-explore/search?tab=default_tab&amp;search_scope=EVERYTHING&amp;vid=01CRU&amp;lang=en_US&amp;offset=0&amp;query=any,contains,991002810539702656","Catalog Record")</f>
        <v/>
      </c>
      <c r="AT1152">
        <f>HYPERLINK("http://www.worldcat.org/oclc/36916929","WorldCat Record")</f>
        <v/>
      </c>
      <c r="AU1152" t="inlineStr">
        <is>
          <t>427821:eng</t>
        </is>
      </c>
      <c r="AV1152" t="inlineStr">
        <is>
          <t>36916929</t>
        </is>
      </c>
      <c r="AW1152" t="inlineStr">
        <is>
          <t>991002810539702656</t>
        </is>
      </c>
      <c r="AX1152" t="inlineStr">
        <is>
          <t>991002810539702656</t>
        </is>
      </c>
      <c r="AY1152" t="inlineStr">
        <is>
          <t>2258869580002656</t>
        </is>
      </c>
      <c r="AZ1152" t="inlineStr">
        <is>
          <t>BOOK</t>
        </is>
      </c>
      <c r="BB1152" t="inlineStr">
        <is>
          <t>9780310213277</t>
        </is>
      </c>
      <c r="BC1152" t="inlineStr">
        <is>
          <t>32285003432514</t>
        </is>
      </c>
      <c r="BD1152" t="inlineStr">
        <is>
          <t>893880454</t>
        </is>
      </c>
    </row>
    <row r="1153">
      <c r="A1153" t="inlineStr">
        <is>
          <t>No</t>
        </is>
      </c>
      <c r="B1153" t="inlineStr">
        <is>
          <t>BT764 .B4</t>
        </is>
      </c>
      <c r="C1153" t="inlineStr">
        <is>
          <t>0                      BT 0764000B  4</t>
        </is>
      </c>
      <c r="D1153" t="inlineStr">
        <is>
          <t>Faith and justification / G. C. Berkouwer. [Translated by Lewis B. Smedes]</t>
        </is>
      </c>
      <c r="F1153" t="inlineStr">
        <is>
          <t>No</t>
        </is>
      </c>
      <c r="G1153" t="inlineStr">
        <is>
          <t>1</t>
        </is>
      </c>
      <c r="H1153" t="inlineStr">
        <is>
          <t>No</t>
        </is>
      </c>
      <c r="I1153" t="inlineStr">
        <is>
          <t>No</t>
        </is>
      </c>
      <c r="J1153" t="inlineStr">
        <is>
          <t>0</t>
        </is>
      </c>
      <c r="K1153" t="inlineStr">
        <is>
          <t>Berkouwer, G. C. (Gerrit Cornelis), 1903-1996.</t>
        </is>
      </c>
      <c r="L1153" t="inlineStr">
        <is>
          <t>Grand Rapids : W. B. Eerdmans Pub. Co., c1954, 1979 printing.</t>
        </is>
      </c>
      <c r="M1153" t="inlineStr">
        <is>
          <t>1954</t>
        </is>
      </c>
      <c r="O1153" t="inlineStr">
        <is>
          <t>eng</t>
        </is>
      </c>
      <c r="P1153" t="inlineStr">
        <is>
          <t>___</t>
        </is>
      </c>
      <c r="Q1153" t="inlineStr">
        <is>
          <t>His studies in dogmatics</t>
        </is>
      </c>
      <c r="R1153" t="inlineStr">
        <is>
          <t xml:space="preserve">BT </t>
        </is>
      </c>
      <c r="S1153" t="n">
        <v>5</v>
      </c>
      <c r="T1153" t="n">
        <v>5</v>
      </c>
      <c r="U1153" t="inlineStr">
        <is>
          <t>2002-02-21</t>
        </is>
      </c>
      <c r="V1153" t="inlineStr">
        <is>
          <t>2002-02-21</t>
        </is>
      </c>
      <c r="W1153" t="inlineStr">
        <is>
          <t>1991-10-08</t>
        </is>
      </c>
      <c r="X1153" t="inlineStr">
        <is>
          <t>1991-10-08</t>
        </is>
      </c>
      <c r="Y1153" t="n">
        <v>362</v>
      </c>
      <c r="Z1153" t="n">
        <v>310</v>
      </c>
      <c r="AA1153" t="n">
        <v>340</v>
      </c>
      <c r="AB1153" t="n">
        <v>2</v>
      </c>
      <c r="AC1153" t="n">
        <v>2</v>
      </c>
      <c r="AD1153" t="n">
        <v>15</v>
      </c>
      <c r="AE1153" t="n">
        <v>15</v>
      </c>
      <c r="AF1153" t="n">
        <v>6</v>
      </c>
      <c r="AG1153" t="n">
        <v>6</v>
      </c>
      <c r="AH1153" t="n">
        <v>3</v>
      </c>
      <c r="AI1153" t="n">
        <v>3</v>
      </c>
      <c r="AJ1153" t="n">
        <v>7</v>
      </c>
      <c r="AK1153" t="n">
        <v>7</v>
      </c>
      <c r="AL1153" t="n">
        <v>1</v>
      </c>
      <c r="AM1153" t="n">
        <v>1</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HYPERLINK("https://creighton-primo.hosted.exlibrisgroup.com/primo-explore/search?tab=default_tab&amp;search_scope=EVERYTHING&amp;vid=01CRU&amp;lang=en_US&amp;offset=0&amp;query=any,contains,991002847249702656","Catalog Record")</f>
        <v/>
      </c>
      <c r="AT1153">
        <f>HYPERLINK("http://www.worldcat.org/oclc/485081","WorldCat Record")</f>
        <v/>
      </c>
      <c r="AU1153" t="inlineStr">
        <is>
          <t>578411:eng</t>
        </is>
      </c>
      <c r="AV1153" t="inlineStr">
        <is>
          <t>485081</t>
        </is>
      </c>
      <c r="AW1153" t="inlineStr">
        <is>
          <t>991002847249702656</t>
        </is>
      </c>
      <c r="AX1153" t="inlineStr">
        <is>
          <t>991002847249702656</t>
        </is>
      </c>
      <c r="AY1153" t="inlineStr">
        <is>
          <t>2257368400002656</t>
        </is>
      </c>
      <c r="AZ1153" t="inlineStr">
        <is>
          <t>BOOK</t>
        </is>
      </c>
      <c r="BC1153" t="inlineStr">
        <is>
          <t>32285000805928</t>
        </is>
      </c>
      <c r="BD1153" t="inlineStr">
        <is>
          <t>893886816</t>
        </is>
      </c>
    </row>
    <row r="1154">
      <c r="A1154" t="inlineStr">
        <is>
          <t>No</t>
        </is>
      </c>
      <c r="B1154" t="inlineStr">
        <is>
          <t>BT764 .M3</t>
        </is>
      </c>
      <c r="C1154" t="inlineStr">
        <is>
          <t>0                      BT 0764000M  3</t>
        </is>
      </c>
      <c r="D1154" t="inlineStr">
        <is>
          <t>The renewal of man : a twentieth century essay on justification by faith / by Alexander Miller.</t>
        </is>
      </c>
      <c r="F1154" t="inlineStr">
        <is>
          <t>No</t>
        </is>
      </c>
      <c r="G1154" t="inlineStr">
        <is>
          <t>1</t>
        </is>
      </c>
      <c r="H1154" t="inlineStr">
        <is>
          <t>No</t>
        </is>
      </c>
      <c r="I1154" t="inlineStr">
        <is>
          <t>No</t>
        </is>
      </c>
      <c r="J1154" t="inlineStr">
        <is>
          <t>0</t>
        </is>
      </c>
      <c r="K1154" t="inlineStr">
        <is>
          <t>Miller, Alexander, 1908-1960.</t>
        </is>
      </c>
      <c r="L1154" t="inlineStr">
        <is>
          <t>London : V. Gollanz, Ltd., 1956.</t>
        </is>
      </c>
      <c r="M1154" t="inlineStr">
        <is>
          <t>1956</t>
        </is>
      </c>
      <c r="O1154" t="inlineStr">
        <is>
          <t>eng</t>
        </is>
      </c>
      <c r="P1154" t="inlineStr">
        <is>
          <t xml:space="preserve">xx </t>
        </is>
      </c>
      <c r="Q1154" t="inlineStr">
        <is>
          <t>Christian faith series</t>
        </is>
      </c>
      <c r="R1154" t="inlineStr">
        <is>
          <t xml:space="preserve">BT </t>
        </is>
      </c>
      <c r="S1154" t="n">
        <v>1</v>
      </c>
      <c r="T1154" t="n">
        <v>1</v>
      </c>
      <c r="U1154" t="inlineStr">
        <is>
          <t>2002-02-21</t>
        </is>
      </c>
      <c r="V1154" t="inlineStr">
        <is>
          <t>2002-02-21</t>
        </is>
      </c>
      <c r="W1154" t="inlineStr">
        <is>
          <t>1991-10-08</t>
        </is>
      </c>
      <c r="X1154" t="inlineStr">
        <is>
          <t>1991-10-08</t>
        </is>
      </c>
      <c r="Y1154" t="n">
        <v>44</v>
      </c>
      <c r="Z1154" t="n">
        <v>35</v>
      </c>
      <c r="AA1154" t="n">
        <v>442</v>
      </c>
      <c r="AB1154" t="n">
        <v>1</v>
      </c>
      <c r="AC1154" t="n">
        <v>4</v>
      </c>
      <c r="AD1154" t="n">
        <v>0</v>
      </c>
      <c r="AE1154" t="n">
        <v>12</v>
      </c>
      <c r="AF1154" t="n">
        <v>0</v>
      </c>
      <c r="AG1154" t="n">
        <v>4</v>
      </c>
      <c r="AH1154" t="n">
        <v>0</v>
      </c>
      <c r="AI1154" t="n">
        <v>1</v>
      </c>
      <c r="AJ1154" t="n">
        <v>0</v>
      </c>
      <c r="AK1154" t="n">
        <v>6</v>
      </c>
      <c r="AL1154" t="n">
        <v>0</v>
      </c>
      <c r="AM1154" t="n">
        <v>3</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HYPERLINK("https://creighton-primo.hosted.exlibrisgroup.com/primo-explore/search?tab=default_tab&amp;search_scope=EVERYTHING&amp;vid=01CRU&amp;lang=en_US&amp;offset=0&amp;query=any,contains,991004024139702656","Catalog Record")</f>
        <v/>
      </c>
      <c r="AT1154">
        <f>HYPERLINK("http://www.worldcat.org/oclc/2131411","WorldCat Record")</f>
        <v/>
      </c>
      <c r="AU1154" t="inlineStr">
        <is>
          <t>1903177:eng</t>
        </is>
      </c>
      <c r="AV1154" t="inlineStr">
        <is>
          <t>2131411</t>
        </is>
      </c>
      <c r="AW1154" t="inlineStr">
        <is>
          <t>991004024139702656</t>
        </is>
      </c>
      <c r="AX1154" t="inlineStr">
        <is>
          <t>991004024139702656</t>
        </is>
      </c>
      <c r="AY1154" t="inlineStr">
        <is>
          <t>2258860050002656</t>
        </is>
      </c>
      <c r="AZ1154" t="inlineStr">
        <is>
          <t>BOOK</t>
        </is>
      </c>
      <c r="BC1154" t="inlineStr">
        <is>
          <t>32285000805936</t>
        </is>
      </c>
      <c r="BD1154" t="inlineStr">
        <is>
          <t>893263066</t>
        </is>
      </c>
    </row>
    <row r="1155">
      <c r="A1155" t="inlineStr">
        <is>
          <t>No</t>
        </is>
      </c>
      <c r="B1155" t="inlineStr">
        <is>
          <t>BT764.2 .H66</t>
        </is>
      </c>
      <c r="C1155" t="inlineStr">
        <is>
          <t>0                      BT 0764200H  66</t>
        </is>
      </c>
      <c r="D1155" t="inlineStr">
        <is>
          <t>Living by grace / by William Hordern.</t>
        </is>
      </c>
      <c r="F1155" t="inlineStr">
        <is>
          <t>No</t>
        </is>
      </c>
      <c r="G1155" t="inlineStr">
        <is>
          <t>1</t>
        </is>
      </c>
      <c r="H1155" t="inlineStr">
        <is>
          <t>No</t>
        </is>
      </c>
      <c r="I1155" t="inlineStr">
        <is>
          <t>No</t>
        </is>
      </c>
      <c r="J1155" t="inlineStr">
        <is>
          <t>0</t>
        </is>
      </c>
      <c r="K1155" t="inlineStr">
        <is>
          <t>Hordern, William.</t>
        </is>
      </c>
      <c r="L1155" t="inlineStr">
        <is>
          <t>Philadelphia : Westminster, [1975]</t>
        </is>
      </c>
      <c r="M1155" t="inlineStr">
        <is>
          <t>1975</t>
        </is>
      </c>
      <c r="O1155" t="inlineStr">
        <is>
          <t>eng</t>
        </is>
      </c>
      <c r="P1155" t="inlineStr">
        <is>
          <t>pau</t>
        </is>
      </c>
      <c r="R1155" t="inlineStr">
        <is>
          <t xml:space="preserve">BT </t>
        </is>
      </c>
      <c r="S1155" t="n">
        <v>1</v>
      </c>
      <c r="T1155" t="n">
        <v>1</v>
      </c>
      <c r="U1155" t="inlineStr">
        <is>
          <t>2009-12-10</t>
        </is>
      </c>
      <c r="V1155" t="inlineStr">
        <is>
          <t>2009-12-10</t>
        </is>
      </c>
      <c r="W1155" t="inlineStr">
        <is>
          <t>1991-10-08</t>
        </is>
      </c>
      <c r="X1155" t="inlineStr">
        <is>
          <t>1991-10-08</t>
        </is>
      </c>
      <c r="Y1155" t="n">
        <v>267</v>
      </c>
      <c r="Z1155" t="n">
        <v>232</v>
      </c>
      <c r="AA1155" t="n">
        <v>247</v>
      </c>
      <c r="AB1155" t="n">
        <v>2</v>
      </c>
      <c r="AC1155" t="n">
        <v>3</v>
      </c>
      <c r="AD1155" t="n">
        <v>7</v>
      </c>
      <c r="AE1155" t="n">
        <v>10</v>
      </c>
      <c r="AF1155" t="n">
        <v>2</v>
      </c>
      <c r="AG1155" t="n">
        <v>4</v>
      </c>
      <c r="AH1155" t="n">
        <v>0</v>
      </c>
      <c r="AI1155" t="n">
        <v>1</v>
      </c>
      <c r="AJ1155" t="n">
        <v>5</v>
      </c>
      <c r="AK1155" t="n">
        <v>5</v>
      </c>
      <c r="AL1155" t="n">
        <v>1</v>
      </c>
      <c r="AM1155" t="n">
        <v>2</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HYPERLINK("https://creighton-primo.hosted.exlibrisgroup.com/primo-explore/search?tab=default_tab&amp;search_scope=EVERYTHING&amp;vid=01CRU&amp;lang=en_US&amp;offset=0&amp;query=any,contains,991003637109702656","Catalog Record")</f>
        <v/>
      </c>
      <c r="AT1155">
        <f>HYPERLINK("http://www.worldcat.org/oclc/1230814","WorldCat Record")</f>
        <v/>
      </c>
      <c r="AU1155" t="inlineStr">
        <is>
          <t>2132679:eng</t>
        </is>
      </c>
      <c r="AV1155" t="inlineStr">
        <is>
          <t>1230814</t>
        </is>
      </c>
      <c r="AW1155" t="inlineStr">
        <is>
          <t>991003637109702656</t>
        </is>
      </c>
      <c r="AX1155" t="inlineStr">
        <is>
          <t>991003637109702656</t>
        </is>
      </c>
      <c r="AY1155" t="inlineStr">
        <is>
          <t>2261735130002656</t>
        </is>
      </c>
      <c r="AZ1155" t="inlineStr">
        <is>
          <t>BOOK</t>
        </is>
      </c>
      <c r="BB1155" t="inlineStr">
        <is>
          <t>9780664247638</t>
        </is>
      </c>
      <c r="BC1155" t="inlineStr">
        <is>
          <t>32285000805951</t>
        </is>
      </c>
      <c r="BD1155" t="inlineStr">
        <is>
          <t>893258646</t>
        </is>
      </c>
    </row>
    <row r="1156">
      <c r="A1156" t="inlineStr">
        <is>
          <t>No</t>
        </is>
      </c>
      <c r="B1156" t="inlineStr">
        <is>
          <t>BT764.2 .K813</t>
        </is>
      </c>
      <c r="C1156" t="inlineStr">
        <is>
          <t>0                      BT 0764200K  813</t>
        </is>
      </c>
      <c r="D1156" t="inlineStr">
        <is>
          <t>Justification : the doctrine of Karl Barth and a Catholic reflection / with a letter from Karl Barth, translation [from the 4th ed. German] made by Thomas Collins, Edmund E. Tolk and David Grandskou.</t>
        </is>
      </c>
      <c r="F1156" t="inlineStr">
        <is>
          <t>No</t>
        </is>
      </c>
      <c r="G1156" t="inlineStr">
        <is>
          <t>1</t>
        </is>
      </c>
      <c r="H1156" t="inlineStr">
        <is>
          <t>No</t>
        </is>
      </c>
      <c r="I1156" t="inlineStr">
        <is>
          <t>No</t>
        </is>
      </c>
      <c r="J1156" t="inlineStr">
        <is>
          <t>0</t>
        </is>
      </c>
      <c r="K1156" t="inlineStr">
        <is>
          <t>Küng, Hans, 1928-</t>
        </is>
      </c>
      <c r="L1156" t="inlineStr">
        <is>
          <t>London : Thomas Nelson [1964]</t>
        </is>
      </c>
      <c r="M1156" t="inlineStr">
        <is>
          <t>1964</t>
        </is>
      </c>
      <c r="O1156" t="inlineStr">
        <is>
          <t>eng</t>
        </is>
      </c>
      <c r="P1156" t="inlineStr">
        <is>
          <t xml:space="preserve">xx </t>
        </is>
      </c>
      <c r="R1156" t="inlineStr">
        <is>
          <t xml:space="preserve">BT </t>
        </is>
      </c>
      <c r="S1156" t="n">
        <v>8</v>
      </c>
      <c r="T1156" t="n">
        <v>8</v>
      </c>
      <c r="U1156" t="inlineStr">
        <is>
          <t>1997-04-07</t>
        </is>
      </c>
      <c r="V1156" t="inlineStr">
        <is>
          <t>1997-04-07</t>
        </is>
      </c>
      <c r="W1156" t="inlineStr">
        <is>
          <t>1991-10-08</t>
        </is>
      </c>
      <c r="X1156" t="inlineStr">
        <is>
          <t>1991-10-08</t>
        </is>
      </c>
      <c r="Y1156" t="n">
        <v>125</v>
      </c>
      <c r="Z1156" t="n">
        <v>99</v>
      </c>
      <c r="AA1156" t="n">
        <v>435</v>
      </c>
      <c r="AB1156" t="n">
        <v>2</v>
      </c>
      <c r="AC1156" t="n">
        <v>5</v>
      </c>
      <c r="AD1156" t="n">
        <v>4</v>
      </c>
      <c r="AE1156" t="n">
        <v>24</v>
      </c>
      <c r="AF1156" t="n">
        <v>1</v>
      </c>
      <c r="AG1156" t="n">
        <v>10</v>
      </c>
      <c r="AH1156" t="n">
        <v>0</v>
      </c>
      <c r="AI1156" t="n">
        <v>4</v>
      </c>
      <c r="AJ1156" t="n">
        <v>3</v>
      </c>
      <c r="AK1156" t="n">
        <v>13</v>
      </c>
      <c r="AL1156" t="n">
        <v>0</v>
      </c>
      <c r="AM1156" t="n">
        <v>3</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HYPERLINK("https://creighton-primo.hosted.exlibrisgroup.com/primo-explore/search?tab=default_tab&amp;search_scope=EVERYTHING&amp;vid=01CRU&amp;lang=en_US&amp;offset=0&amp;query=any,contains,991004849389702656","Catalog Record")</f>
        <v/>
      </c>
      <c r="AT1156">
        <f>HYPERLINK("http://www.worldcat.org/oclc/5589387","WorldCat Record")</f>
        <v/>
      </c>
      <c r="AU1156" t="inlineStr">
        <is>
          <t>431949288:eng</t>
        </is>
      </c>
      <c r="AV1156" t="inlineStr">
        <is>
          <t>5589387</t>
        </is>
      </c>
      <c r="AW1156" t="inlineStr">
        <is>
          <t>991004849389702656</t>
        </is>
      </c>
      <c r="AX1156" t="inlineStr">
        <is>
          <t>991004849389702656</t>
        </is>
      </c>
      <c r="AY1156" t="inlineStr">
        <is>
          <t>2263445690002656</t>
        </is>
      </c>
      <c r="AZ1156" t="inlineStr">
        <is>
          <t>BOOK</t>
        </is>
      </c>
      <c r="BC1156" t="inlineStr">
        <is>
          <t>32285000805977</t>
        </is>
      </c>
      <c r="BD1156" t="inlineStr">
        <is>
          <t>893241908</t>
        </is>
      </c>
    </row>
    <row r="1157">
      <c r="A1157" t="inlineStr">
        <is>
          <t>No</t>
        </is>
      </c>
      <c r="B1157" t="inlineStr">
        <is>
          <t>BT765 .P58</t>
        </is>
      </c>
      <c r="C1157" t="inlineStr">
        <is>
          <t>0                      BT 0765000P  58</t>
        </is>
      </c>
      <c r="D1157" t="inlineStr">
        <is>
          <t>Holiness in the church / by the Rev. Raoul Plus ; translated from the original by Mother Mary St. Thomas.</t>
        </is>
      </c>
      <c r="F1157" t="inlineStr">
        <is>
          <t>No</t>
        </is>
      </c>
      <c r="G1157" t="inlineStr">
        <is>
          <t>1</t>
        </is>
      </c>
      <c r="H1157" t="inlineStr">
        <is>
          <t>No</t>
        </is>
      </c>
      <c r="I1157" t="inlineStr">
        <is>
          <t>No</t>
        </is>
      </c>
      <c r="J1157" t="inlineStr">
        <is>
          <t>0</t>
        </is>
      </c>
      <c r="K1157" t="inlineStr">
        <is>
          <t>Plus, Raoul, 1882-1958.</t>
        </is>
      </c>
      <c r="L1157" t="inlineStr">
        <is>
          <t>London and Edinburgh : Sands &amp; Co. ; St. Louis, Mo. : B. Herder [1930]</t>
        </is>
      </c>
      <c r="M1157" t="inlineStr">
        <is>
          <t>1930</t>
        </is>
      </c>
      <c r="O1157" t="inlineStr">
        <is>
          <t>eng</t>
        </is>
      </c>
      <c r="P1157" t="inlineStr">
        <is>
          <t xml:space="preserve">xx </t>
        </is>
      </c>
      <c r="Q1157" t="inlineStr">
        <is>
          <t>Catholic library of religious knowledge ; XI</t>
        </is>
      </c>
      <c r="R1157" t="inlineStr">
        <is>
          <t xml:space="preserve">BT </t>
        </is>
      </c>
      <c r="S1157" t="n">
        <v>2</v>
      </c>
      <c r="T1157" t="n">
        <v>2</v>
      </c>
      <c r="U1157" t="inlineStr">
        <is>
          <t>2006-06-12</t>
        </is>
      </c>
      <c r="V1157" t="inlineStr">
        <is>
          <t>2006-06-12</t>
        </is>
      </c>
      <c r="W1157" t="inlineStr">
        <is>
          <t>1991-10-08</t>
        </is>
      </c>
      <c r="X1157" t="inlineStr">
        <is>
          <t>1991-10-08</t>
        </is>
      </c>
      <c r="Y1157" t="n">
        <v>53</v>
      </c>
      <c r="Z1157" t="n">
        <v>44</v>
      </c>
      <c r="AA1157" t="n">
        <v>86</v>
      </c>
      <c r="AB1157" t="n">
        <v>2</v>
      </c>
      <c r="AC1157" t="n">
        <v>2</v>
      </c>
      <c r="AD1157" t="n">
        <v>10</v>
      </c>
      <c r="AE1157" t="n">
        <v>20</v>
      </c>
      <c r="AF1157" t="n">
        <v>1</v>
      </c>
      <c r="AG1157" t="n">
        <v>4</v>
      </c>
      <c r="AH1157" t="n">
        <v>5</v>
      </c>
      <c r="AI1157" t="n">
        <v>6</v>
      </c>
      <c r="AJ1157" t="n">
        <v>7</v>
      </c>
      <c r="AK1157" t="n">
        <v>17</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HYPERLINK("https://creighton-primo.hosted.exlibrisgroup.com/primo-explore/search?tab=default_tab&amp;search_scope=EVERYTHING&amp;vid=01CRU&amp;lang=en_US&amp;offset=0&amp;query=any,contains,991004418789702656","Catalog Record")</f>
        <v/>
      </c>
      <c r="AT1157">
        <f>HYPERLINK("http://www.worldcat.org/oclc/3375778","WorldCat Record")</f>
        <v/>
      </c>
      <c r="AU1157" t="inlineStr">
        <is>
          <t>2908896159:eng</t>
        </is>
      </c>
      <c r="AV1157" t="inlineStr">
        <is>
          <t>3375778</t>
        </is>
      </c>
      <c r="AW1157" t="inlineStr">
        <is>
          <t>991004418789702656</t>
        </is>
      </c>
      <c r="AX1157" t="inlineStr">
        <is>
          <t>991004418789702656</t>
        </is>
      </c>
      <c r="AY1157" t="inlineStr">
        <is>
          <t>2259481070002656</t>
        </is>
      </c>
      <c r="AZ1157" t="inlineStr">
        <is>
          <t>BOOK</t>
        </is>
      </c>
      <c r="BC1157" t="inlineStr">
        <is>
          <t>32285000806033</t>
        </is>
      </c>
      <c r="BD1157" t="inlineStr">
        <is>
          <t>893235474</t>
        </is>
      </c>
    </row>
    <row r="1158">
      <c r="A1158" t="inlineStr">
        <is>
          <t>No</t>
        </is>
      </c>
      <c r="B1158" t="inlineStr">
        <is>
          <t>BT765.T54 B76 1981</t>
        </is>
      </c>
      <c r="C1158" t="inlineStr">
        <is>
          <t>0                      BT 0765000T  54                 B  76          1981</t>
        </is>
      </c>
      <c r="D1158" t="inlineStr">
        <is>
          <t>Natural rectitude and divine law in Aquinas : an approach to an integral interpretation of the Thomistic doctrine of law / by Oscar James Brown.</t>
        </is>
      </c>
      <c r="F1158" t="inlineStr">
        <is>
          <t>No</t>
        </is>
      </c>
      <c r="G1158" t="inlineStr">
        <is>
          <t>1</t>
        </is>
      </c>
      <c r="H1158" t="inlineStr">
        <is>
          <t>No</t>
        </is>
      </c>
      <c r="I1158" t="inlineStr">
        <is>
          <t>No</t>
        </is>
      </c>
      <c r="J1158" t="inlineStr">
        <is>
          <t>0</t>
        </is>
      </c>
      <c r="K1158" t="inlineStr">
        <is>
          <t>Brown, Oscar James, 1943-</t>
        </is>
      </c>
      <c r="L1158" t="inlineStr">
        <is>
          <t>Toronto : Pontifical Institute of Mediaeval Studies, 1981.</t>
        </is>
      </c>
      <c r="M1158" t="inlineStr">
        <is>
          <t>1981</t>
        </is>
      </c>
      <c r="O1158" t="inlineStr">
        <is>
          <t>eng</t>
        </is>
      </c>
      <c r="P1158" t="inlineStr">
        <is>
          <t>onc</t>
        </is>
      </c>
      <c r="Q1158" t="inlineStr">
        <is>
          <t>Studies and texts (Pontifical Institute of Mediaeval Studies) ; 55</t>
        </is>
      </c>
      <c r="R1158" t="inlineStr">
        <is>
          <t xml:space="preserve">BT </t>
        </is>
      </c>
      <c r="S1158" t="n">
        <v>6</v>
      </c>
      <c r="T1158" t="n">
        <v>6</v>
      </c>
      <c r="U1158" t="inlineStr">
        <is>
          <t>2007-02-07</t>
        </is>
      </c>
      <c r="V1158" t="inlineStr">
        <is>
          <t>2007-02-07</t>
        </is>
      </c>
      <c r="W1158" t="inlineStr">
        <is>
          <t>1991-10-08</t>
        </is>
      </c>
      <c r="X1158" t="inlineStr">
        <is>
          <t>1991-10-08</t>
        </is>
      </c>
      <c r="Y1158" t="n">
        <v>347</v>
      </c>
      <c r="Z1158" t="n">
        <v>247</v>
      </c>
      <c r="AA1158" t="n">
        <v>257</v>
      </c>
      <c r="AB1158" t="n">
        <v>3</v>
      </c>
      <c r="AC1158" t="n">
        <v>3</v>
      </c>
      <c r="AD1158" t="n">
        <v>27</v>
      </c>
      <c r="AE1158" t="n">
        <v>29</v>
      </c>
      <c r="AF1158" t="n">
        <v>8</v>
      </c>
      <c r="AG1158" t="n">
        <v>9</v>
      </c>
      <c r="AH1158" t="n">
        <v>7</v>
      </c>
      <c r="AI1158" t="n">
        <v>9</v>
      </c>
      <c r="AJ1158" t="n">
        <v>20</v>
      </c>
      <c r="AK1158" t="n">
        <v>21</v>
      </c>
      <c r="AL1158" t="n">
        <v>1</v>
      </c>
      <c r="AM1158" t="n">
        <v>1</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HYPERLINK("https://creighton-primo.hosted.exlibrisgroup.com/primo-explore/search?tab=default_tab&amp;search_scope=EVERYTHING&amp;vid=01CRU&amp;lang=en_US&amp;offset=0&amp;query=any,contains,991005235439702656","Catalog Record")</f>
        <v/>
      </c>
      <c r="AT1158">
        <f>HYPERLINK("http://www.worldcat.org/oclc/8373776","WorldCat Record")</f>
        <v/>
      </c>
      <c r="AU1158" t="inlineStr">
        <is>
          <t>864051889:eng</t>
        </is>
      </c>
      <c r="AV1158" t="inlineStr">
        <is>
          <t>8373776</t>
        </is>
      </c>
      <c r="AW1158" t="inlineStr">
        <is>
          <t>991005235439702656</t>
        </is>
      </c>
      <c r="AX1158" t="inlineStr">
        <is>
          <t>991005235439702656</t>
        </is>
      </c>
      <c r="AY1158" t="inlineStr">
        <is>
          <t>2267961740002656</t>
        </is>
      </c>
      <c r="AZ1158" t="inlineStr">
        <is>
          <t>BOOK</t>
        </is>
      </c>
      <c r="BB1158" t="inlineStr">
        <is>
          <t>9780888440556</t>
        </is>
      </c>
      <c r="BC1158" t="inlineStr">
        <is>
          <t>32285000806041</t>
        </is>
      </c>
      <c r="BD1158" t="inlineStr">
        <is>
          <t>893801980</t>
        </is>
      </c>
    </row>
    <row r="1159">
      <c r="A1159" t="inlineStr">
        <is>
          <t>No</t>
        </is>
      </c>
      <c r="B1159" t="inlineStr">
        <is>
          <t>BT766 .F5 1968</t>
        </is>
      </c>
      <c r="C1159" t="inlineStr">
        <is>
          <t>0                      BT 0766000F  5           1968</t>
        </is>
      </c>
      <c r="D1159" t="inlineStr">
        <is>
          <t>The idea of perfection in Christian theology : an historical study of the Christian ideal for the present life / by R. Newton Flew.</t>
        </is>
      </c>
      <c r="F1159" t="inlineStr">
        <is>
          <t>No</t>
        </is>
      </c>
      <c r="G1159" t="inlineStr">
        <is>
          <t>1</t>
        </is>
      </c>
      <c r="H1159" t="inlineStr">
        <is>
          <t>No</t>
        </is>
      </c>
      <c r="I1159" t="inlineStr">
        <is>
          <t>No</t>
        </is>
      </c>
      <c r="J1159" t="inlineStr">
        <is>
          <t>0</t>
        </is>
      </c>
      <c r="K1159" t="inlineStr">
        <is>
          <t>Flew, R. Newton (Robert Newton), 1886-1962.</t>
        </is>
      </c>
      <c r="L1159" t="inlineStr">
        <is>
          <t>Oxford : Clarendon Press, 1968.</t>
        </is>
      </c>
      <c r="M1159" t="inlineStr">
        <is>
          <t>1968</t>
        </is>
      </c>
      <c r="O1159" t="inlineStr">
        <is>
          <t>eng</t>
        </is>
      </c>
      <c r="P1159" t="inlineStr">
        <is>
          <t>enk</t>
        </is>
      </c>
      <c r="R1159" t="inlineStr">
        <is>
          <t xml:space="preserve">BT </t>
        </is>
      </c>
      <c r="S1159" t="n">
        <v>5</v>
      </c>
      <c r="T1159" t="n">
        <v>5</v>
      </c>
      <c r="U1159" t="inlineStr">
        <is>
          <t>2000-06-29</t>
        </is>
      </c>
      <c r="V1159" t="inlineStr">
        <is>
          <t>2000-06-29</t>
        </is>
      </c>
      <c r="W1159" t="inlineStr">
        <is>
          <t>1991-10-08</t>
        </is>
      </c>
      <c r="X1159" t="inlineStr">
        <is>
          <t>1991-10-08</t>
        </is>
      </c>
      <c r="Y1159" t="n">
        <v>216</v>
      </c>
      <c r="Z1159" t="n">
        <v>174</v>
      </c>
      <c r="AA1159" t="n">
        <v>548</v>
      </c>
      <c r="AB1159" t="n">
        <v>2</v>
      </c>
      <c r="AC1159" t="n">
        <v>5</v>
      </c>
      <c r="AD1159" t="n">
        <v>12</v>
      </c>
      <c r="AE1159" t="n">
        <v>31</v>
      </c>
      <c r="AF1159" t="n">
        <v>3</v>
      </c>
      <c r="AG1159" t="n">
        <v>12</v>
      </c>
      <c r="AH1159" t="n">
        <v>4</v>
      </c>
      <c r="AI1159" t="n">
        <v>7</v>
      </c>
      <c r="AJ1159" t="n">
        <v>7</v>
      </c>
      <c r="AK1159" t="n">
        <v>16</v>
      </c>
      <c r="AL1159" t="n">
        <v>1</v>
      </c>
      <c r="AM1159" t="n">
        <v>4</v>
      </c>
      <c r="AN1159" t="n">
        <v>0</v>
      </c>
      <c r="AO1159" t="n">
        <v>0</v>
      </c>
      <c r="AP1159" t="inlineStr">
        <is>
          <t>No</t>
        </is>
      </c>
      <c r="AQ1159" t="inlineStr">
        <is>
          <t>Yes</t>
        </is>
      </c>
      <c r="AR1159">
        <f>HYPERLINK("http://catalog.hathitrust.org/Record/009906942","HathiTrust Record")</f>
        <v/>
      </c>
      <c r="AS1159">
        <f>HYPERLINK("https://creighton-primo.hosted.exlibrisgroup.com/primo-explore/search?tab=default_tab&amp;search_scope=EVERYTHING&amp;vid=01CRU&amp;lang=en_US&amp;offset=0&amp;query=any,contains,991001785699702656","Catalog Record")</f>
        <v/>
      </c>
      <c r="AT1159">
        <f>HYPERLINK("http://www.worldcat.org/oclc/236632","WorldCat Record")</f>
        <v/>
      </c>
      <c r="AU1159" t="inlineStr">
        <is>
          <t>1370968:eng</t>
        </is>
      </c>
      <c r="AV1159" t="inlineStr">
        <is>
          <t>236632</t>
        </is>
      </c>
      <c r="AW1159" t="inlineStr">
        <is>
          <t>991001785699702656</t>
        </is>
      </c>
      <c r="AX1159" t="inlineStr">
        <is>
          <t>991001785699702656</t>
        </is>
      </c>
      <c r="AY1159" t="inlineStr">
        <is>
          <t>2254777320002656</t>
        </is>
      </c>
      <c r="AZ1159" t="inlineStr">
        <is>
          <t>BOOK</t>
        </is>
      </c>
      <c r="BB1159" t="inlineStr">
        <is>
          <t>9780198266204</t>
        </is>
      </c>
      <c r="BC1159" t="inlineStr">
        <is>
          <t>32285000806058</t>
        </is>
      </c>
      <c r="BD1159" t="inlineStr">
        <is>
          <t>893414507</t>
        </is>
      </c>
    </row>
    <row r="1160">
      <c r="A1160" t="inlineStr">
        <is>
          <t>No</t>
        </is>
      </c>
      <c r="B1160" t="inlineStr">
        <is>
          <t>BT766 .G3 1937</t>
        </is>
      </c>
      <c r="C1160" t="inlineStr">
        <is>
          <t>0                      BT 0766000G  3           1937</t>
        </is>
      </c>
      <c r="D1160" t="inlineStr">
        <is>
          <t>Christian perfection and contemplation, according to St. Thomas Aquinas and St. John of the Cross. / by R. Garrigou-Lagrange. Tr. by Sister M. Timothea Doyle.</t>
        </is>
      </c>
      <c r="F1160" t="inlineStr">
        <is>
          <t>No</t>
        </is>
      </c>
      <c r="G1160" t="inlineStr">
        <is>
          <t>1</t>
        </is>
      </c>
      <c r="H1160" t="inlineStr">
        <is>
          <t>No</t>
        </is>
      </c>
      <c r="I1160" t="inlineStr">
        <is>
          <t>No</t>
        </is>
      </c>
      <c r="J1160" t="inlineStr">
        <is>
          <t>0</t>
        </is>
      </c>
      <c r="K1160" t="inlineStr">
        <is>
          <t>Garrigou-Lagrange, Réginald, 1877-1964.</t>
        </is>
      </c>
      <c r="L1160" t="inlineStr">
        <is>
          <t>St. Louis, Mo. : B. Herder Book Co., [c1937]</t>
        </is>
      </c>
      <c r="M1160" t="inlineStr">
        <is>
          <t>1937</t>
        </is>
      </c>
      <c r="O1160" t="inlineStr">
        <is>
          <t>eng</t>
        </is>
      </c>
      <c r="P1160" t="inlineStr">
        <is>
          <t>mou</t>
        </is>
      </c>
      <c r="R1160" t="inlineStr">
        <is>
          <t xml:space="preserve">BT </t>
        </is>
      </c>
      <c r="S1160" t="n">
        <v>3</v>
      </c>
      <c r="T1160" t="n">
        <v>3</v>
      </c>
      <c r="U1160" t="inlineStr">
        <is>
          <t>2010-06-02</t>
        </is>
      </c>
      <c r="V1160" t="inlineStr">
        <is>
          <t>2010-06-02</t>
        </is>
      </c>
      <c r="W1160" t="inlineStr">
        <is>
          <t>1991-10-08</t>
        </is>
      </c>
      <c r="X1160" t="inlineStr">
        <is>
          <t>1991-10-08</t>
        </is>
      </c>
      <c r="Y1160" t="n">
        <v>174</v>
      </c>
      <c r="Z1160" t="n">
        <v>150</v>
      </c>
      <c r="AA1160" t="n">
        <v>317</v>
      </c>
      <c r="AB1160" t="n">
        <v>1</v>
      </c>
      <c r="AC1160" t="n">
        <v>3</v>
      </c>
      <c r="AD1160" t="n">
        <v>24</v>
      </c>
      <c r="AE1160" t="n">
        <v>35</v>
      </c>
      <c r="AF1160" t="n">
        <v>10</v>
      </c>
      <c r="AG1160" t="n">
        <v>14</v>
      </c>
      <c r="AH1160" t="n">
        <v>5</v>
      </c>
      <c r="AI1160" t="n">
        <v>8</v>
      </c>
      <c r="AJ1160" t="n">
        <v>18</v>
      </c>
      <c r="AK1160" t="n">
        <v>25</v>
      </c>
      <c r="AL1160" t="n">
        <v>0</v>
      </c>
      <c r="AM1160" t="n">
        <v>0</v>
      </c>
      <c r="AN1160" t="n">
        <v>0</v>
      </c>
      <c r="AO1160" t="n">
        <v>0</v>
      </c>
      <c r="AP1160" t="inlineStr">
        <is>
          <t>No</t>
        </is>
      </c>
      <c r="AQ1160" t="inlineStr">
        <is>
          <t>No</t>
        </is>
      </c>
      <c r="AR1160">
        <f>HYPERLINK("http://catalog.hathitrust.org/Record/102064642","HathiTrust Record")</f>
        <v/>
      </c>
      <c r="AS1160">
        <f>HYPERLINK("https://creighton-primo.hosted.exlibrisgroup.com/primo-explore/search?tab=default_tab&amp;search_scope=EVERYTHING&amp;vid=01CRU&amp;lang=en_US&amp;offset=0&amp;query=any,contains,991003860049702656","Catalog Record")</f>
        <v/>
      </c>
      <c r="AT1160">
        <f>HYPERLINK("http://www.worldcat.org/oclc/1663978","WorldCat Record")</f>
        <v/>
      </c>
      <c r="AU1160" t="inlineStr">
        <is>
          <t>12277922:eng</t>
        </is>
      </c>
      <c r="AV1160" t="inlineStr">
        <is>
          <t>1663978</t>
        </is>
      </c>
      <c r="AW1160" t="inlineStr">
        <is>
          <t>991003860049702656</t>
        </is>
      </c>
      <c r="AX1160" t="inlineStr">
        <is>
          <t>991003860049702656</t>
        </is>
      </c>
      <c r="AY1160" t="inlineStr">
        <is>
          <t>2267657610002656</t>
        </is>
      </c>
      <c r="AZ1160" t="inlineStr">
        <is>
          <t>BOOK</t>
        </is>
      </c>
      <c r="BC1160" t="inlineStr">
        <is>
          <t>32285000806066</t>
        </is>
      </c>
      <c r="BD1160" t="inlineStr">
        <is>
          <t>893699509</t>
        </is>
      </c>
    </row>
    <row r="1161">
      <c r="A1161" t="inlineStr">
        <is>
          <t>No</t>
        </is>
      </c>
      <c r="B1161" t="inlineStr">
        <is>
          <t>BT766 .L3 1971</t>
        </is>
      </c>
      <c r="C1161" t="inlineStr">
        <is>
          <t>0                      BT 0766000L  3           1971</t>
        </is>
      </c>
      <c r="D1161" t="inlineStr">
        <is>
          <t>Perfection and perfectionism : a dogmatic-ethical study of Biblical perfection and phenomenal perfectionism / H.K. La Rondelle.</t>
        </is>
      </c>
      <c r="F1161" t="inlineStr">
        <is>
          <t>No</t>
        </is>
      </c>
      <c r="G1161" t="inlineStr">
        <is>
          <t>1</t>
        </is>
      </c>
      <c r="H1161" t="inlineStr">
        <is>
          <t>No</t>
        </is>
      </c>
      <c r="I1161" t="inlineStr">
        <is>
          <t>No</t>
        </is>
      </c>
      <c r="J1161" t="inlineStr">
        <is>
          <t>0</t>
        </is>
      </c>
      <c r="K1161" t="inlineStr">
        <is>
          <t>LaRondelle, Hans K.</t>
        </is>
      </c>
      <c r="L1161" t="inlineStr">
        <is>
          <t>Berrien Springs, Michigan : Andrews University Press, 1971.</t>
        </is>
      </c>
      <c r="M1161" t="inlineStr">
        <is>
          <t>1971</t>
        </is>
      </c>
      <c r="O1161" t="inlineStr">
        <is>
          <t>eng</t>
        </is>
      </c>
      <c r="P1161" t="inlineStr">
        <is>
          <t>___</t>
        </is>
      </c>
      <c r="R1161" t="inlineStr">
        <is>
          <t xml:space="preserve">BT </t>
        </is>
      </c>
      <c r="S1161" t="n">
        <v>4</v>
      </c>
      <c r="T1161" t="n">
        <v>4</v>
      </c>
      <c r="U1161" t="inlineStr">
        <is>
          <t>1997-09-30</t>
        </is>
      </c>
      <c r="V1161" t="inlineStr">
        <is>
          <t>1997-09-30</t>
        </is>
      </c>
      <c r="W1161" t="inlineStr">
        <is>
          <t>1991-10-08</t>
        </is>
      </c>
      <c r="X1161" t="inlineStr">
        <is>
          <t>1991-10-08</t>
        </is>
      </c>
      <c r="Y1161" t="n">
        <v>58</v>
      </c>
      <c r="Z1161" t="n">
        <v>53</v>
      </c>
      <c r="AA1161" t="n">
        <v>122</v>
      </c>
      <c r="AB1161" t="n">
        <v>1</v>
      </c>
      <c r="AC1161" t="n">
        <v>2</v>
      </c>
      <c r="AD1161" t="n">
        <v>2</v>
      </c>
      <c r="AE1161" t="n">
        <v>5</v>
      </c>
      <c r="AF1161" t="n">
        <v>0</v>
      </c>
      <c r="AG1161" t="n">
        <v>1</v>
      </c>
      <c r="AH1161" t="n">
        <v>0</v>
      </c>
      <c r="AI1161" t="n">
        <v>1</v>
      </c>
      <c r="AJ1161" t="n">
        <v>2</v>
      </c>
      <c r="AK1161" t="n">
        <v>3</v>
      </c>
      <c r="AL1161" t="n">
        <v>0</v>
      </c>
      <c r="AM1161" t="n">
        <v>1</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HYPERLINK("https://creighton-primo.hosted.exlibrisgroup.com/primo-explore/search?tab=default_tab&amp;search_scope=EVERYTHING&amp;vid=01CRU&amp;lang=en_US&amp;offset=0&amp;query=any,contains,991002982259702656","Catalog Record")</f>
        <v/>
      </c>
      <c r="AT1161">
        <f>HYPERLINK("http://www.worldcat.org/oclc/555475","WorldCat Record")</f>
        <v/>
      </c>
      <c r="AU1161" t="inlineStr">
        <is>
          <t>8907382686:eng</t>
        </is>
      </c>
      <c r="AV1161" t="inlineStr">
        <is>
          <t>555475</t>
        </is>
      </c>
      <c r="AW1161" t="inlineStr">
        <is>
          <t>991002982259702656</t>
        </is>
      </c>
      <c r="AX1161" t="inlineStr">
        <is>
          <t>991002982259702656</t>
        </is>
      </c>
      <c r="AY1161" t="inlineStr">
        <is>
          <t>2260364860002656</t>
        </is>
      </c>
      <c r="AZ1161" t="inlineStr">
        <is>
          <t>BOOK</t>
        </is>
      </c>
      <c r="BC1161" t="inlineStr">
        <is>
          <t>32285000806074</t>
        </is>
      </c>
      <c r="BD1161" t="inlineStr">
        <is>
          <t>893329799</t>
        </is>
      </c>
    </row>
    <row r="1162">
      <c r="A1162" t="inlineStr">
        <is>
          <t>No</t>
        </is>
      </c>
      <c r="B1162" t="inlineStr">
        <is>
          <t>BT767 .J5513 1999</t>
        </is>
      </c>
      <c r="C1162" t="inlineStr">
        <is>
          <t>0                      BT 0767000J  5513        1999</t>
        </is>
      </c>
      <c r="D1162" t="inlineStr">
        <is>
          <t>The adventure of holiness : biblical foundations and present-day perspectives / Brother John of Taizé.</t>
        </is>
      </c>
      <c r="F1162" t="inlineStr">
        <is>
          <t>No</t>
        </is>
      </c>
      <c r="G1162" t="inlineStr">
        <is>
          <t>1</t>
        </is>
      </c>
      <c r="H1162" t="inlineStr">
        <is>
          <t>No</t>
        </is>
      </c>
      <c r="I1162" t="inlineStr">
        <is>
          <t>No</t>
        </is>
      </c>
      <c r="J1162" t="inlineStr">
        <is>
          <t>0</t>
        </is>
      </c>
      <c r="K1162" t="inlineStr">
        <is>
          <t>John, de Taizé, frère.</t>
        </is>
      </c>
      <c r="L1162" t="inlineStr">
        <is>
          <t>New York : Alba House, c1999.</t>
        </is>
      </c>
      <c r="M1162" t="inlineStr">
        <is>
          <t>1999</t>
        </is>
      </c>
      <c r="O1162" t="inlineStr">
        <is>
          <t>eng</t>
        </is>
      </c>
      <c r="P1162" t="inlineStr">
        <is>
          <t>nyu</t>
        </is>
      </c>
      <c r="R1162" t="inlineStr">
        <is>
          <t xml:space="preserve">BT </t>
        </is>
      </c>
      <c r="S1162" t="n">
        <v>2</v>
      </c>
      <c r="T1162" t="n">
        <v>2</v>
      </c>
      <c r="U1162" t="inlineStr">
        <is>
          <t>2003-11-14</t>
        </is>
      </c>
      <c r="V1162" t="inlineStr">
        <is>
          <t>2003-11-14</t>
        </is>
      </c>
      <c r="W1162" t="inlineStr">
        <is>
          <t>2000-02-28</t>
        </is>
      </c>
      <c r="X1162" t="inlineStr">
        <is>
          <t>2000-02-28</t>
        </is>
      </c>
      <c r="Y1162" t="n">
        <v>53</v>
      </c>
      <c r="Z1162" t="n">
        <v>46</v>
      </c>
      <c r="AA1162" t="n">
        <v>46</v>
      </c>
      <c r="AB1162" t="n">
        <v>1</v>
      </c>
      <c r="AC1162" t="n">
        <v>1</v>
      </c>
      <c r="AD1162" t="n">
        <v>4</v>
      </c>
      <c r="AE1162" t="n">
        <v>4</v>
      </c>
      <c r="AF1162" t="n">
        <v>1</v>
      </c>
      <c r="AG1162" t="n">
        <v>1</v>
      </c>
      <c r="AH1162" t="n">
        <v>0</v>
      </c>
      <c r="AI1162" t="n">
        <v>0</v>
      </c>
      <c r="AJ1162" t="n">
        <v>4</v>
      </c>
      <c r="AK1162" t="n">
        <v>4</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HYPERLINK("https://creighton-primo.hosted.exlibrisgroup.com/primo-explore/search?tab=default_tab&amp;search_scope=EVERYTHING&amp;vid=01CRU&amp;lang=en_US&amp;offset=0&amp;query=any,contains,991003019669702656","Catalog Record")</f>
        <v/>
      </c>
      <c r="AT1162">
        <f>HYPERLINK("http://www.worldcat.org/oclc/41114980","WorldCat Record")</f>
        <v/>
      </c>
      <c r="AU1162" t="inlineStr">
        <is>
          <t>26618502:eng</t>
        </is>
      </c>
      <c r="AV1162" t="inlineStr">
        <is>
          <t>41114980</t>
        </is>
      </c>
      <c r="AW1162" t="inlineStr">
        <is>
          <t>991003019669702656</t>
        </is>
      </c>
      <c r="AX1162" t="inlineStr">
        <is>
          <t>991003019669702656</t>
        </is>
      </c>
      <c r="AY1162" t="inlineStr">
        <is>
          <t>2257739370002656</t>
        </is>
      </c>
      <c r="AZ1162" t="inlineStr">
        <is>
          <t>BOOK</t>
        </is>
      </c>
      <c r="BB1162" t="inlineStr">
        <is>
          <t>9780818908774</t>
        </is>
      </c>
      <c r="BC1162" t="inlineStr">
        <is>
          <t>32285003665048</t>
        </is>
      </c>
      <c r="BD1162" t="inlineStr">
        <is>
          <t>893598172</t>
        </is>
      </c>
    </row>
    <row r="1163">
      <c r="A1163" t="inlineStr">
        <is>
          <t>No</t>
        </is>
      </c>
      <c r="B1163" t="inlineStr">
        <is>
          <t>BT767 .S58</t>
        </is>
      </c>
      <c r="C1163" t="inlineStr">
        <is>
          <t>0                      BT 0767000S  58</t>
        </is>
      </c>
      <c r="D1163" t="inlineStr">
        <is>
          <t>Charismatic spiritual gifts : a phenomenological analysis / William Joseph Sneck.</t>
        </is>
      </c>
      <c r="F1163" t="inlineStr">
        <is>
          <t>No</t>
        </is>
      </c>
      <c r="G1163" t="inlineStr">
        <is>
          <t>1</t>
        </is>
      </c>
      <c r="H1163" t="inlineStr">
        <is>
          <t>No</t>
        </is>
      </c>
      <c r="I1163" t="inlineStr">
        <is>
          <t>No</t>
        </is>
      </c>
      <c r="J1163" t="inlineStr">
        <is>
          <t>0</t>
        </is>
      </c>
      <c r="K1163" t="inlineStr">
        <is>
          <t>Sneck, William Joseph.</t>
        </is>
      </c>
      <c r="L1163" t="inlineStr">
        <is>
          <t>Washington, D.C. : University Press of America, 1981.</t>
        </is>
      </c>
      <c r="M1163" t="inlineStr">
        <is>
          <t>1981</t>
        </is>
      </c>
      <c r="O1163" t="inlineStr">
        <is>
          <t>eng</t>
        </is>
      </c>
      <c r="P1163" t="inlineStr">
        <is>
          <t>dcu</t>
        </is>
      </c>
      <c r="R1163" t="inlineStr">
        <is>
          <t xml:space="preserve">BT </t>
        </is>
      </c>
      <c r="S1163" t="n">
        <v>9</v>
      </c>
      <c r="T1163" t="n">
        <v>9</v>
      </c>
      <c r="U1163" t="inlineStr">
        <is>
          <t>2000-05-18</t>
        </is>
      </c>
      <c r="V1163" t="inlineStr">
        <is>
          <t>2000-05-18</t>
        </is>
      </c>
      <c r="W1163" t="inlineStr">
        <is>
          <t>1991-10-08</t>
        </is>
      </c>
      <c r="X1163" t="inlineStr">
        <is>
          <t>1991-10-08</t>
        </is>
      </c>
      <c r="Y1163" t="n">
        <v>246</v>
      </c>
      <c r="Z1163" t="n">
        <v>212</v>
      </c>
      <c r="AA1163" t="n">
        <v>212</v>
      </c>
      <c r="AB1163" t="n">
        <v>2</v>
      </c>
      <c r="AC1163" t="n">
        <v>2</v>
      </c>
      <c r="AD1163" t="n">
        <v>18</v>
      </c>
      <c r="AE1163" t="n">
        <v>18</v>
      </c>
      <c r="AF1163" t="n">
        <v>6</v>
      </c>
      <c r="AG1163" t="n">
        <v>6</v>
      </c>
      <c r="AH1163" t="n">
        <v>6</v>
      </c>
      <c r="AI1163" t="n">
        <v>6</v>
      </c>
      <c r="AJ1163" t="n">
        <v>12</v>
      </c>
      <c r="AK1163" t="n">
        <v>12</v>
      </c>
      <c r="AL1163" t="n">
        <v>1</v>
      </c>
      <c r="AM1163" t="n">
        <v>1</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HYPERLINK("https://creighton-primo.hosted.exlibrisgroup.com/primo-explore/search?tab=default_tab&amp;search_scope=EVERYTHING&amp;vid=01CRU&amp;lang=en_US&amp;offset=0&amp;query=any,contains,991005388009702656","Catalog Record")</f>
        <v/>
      </c>
      <c r="AT1163">
        <f>HYPERLINK("http://www.worldcat.org/oclc/7671643","WorldCat Record")</f>
        <v/>
      </c>
      <c r="AU1163" t="inlineStr">
        <is>
          <t>28780071:eng</t>
        </is>
      </c>
      <c r="AV1163" t="inlineStr">
        <is>
          <t>7671643</t>
        </is>
      </c>
      <c r="AW1163" t="inlineStr">
        <is>
          <t>991005388009702656</t>
        </is>
      </c>
      <c r="AX1163" t="inlineStr">
        <is>
          <t>991005388009702656</t>
        </is>
      </c>
      <c r="AY1163" t="inlineStr">
        <is>
          <t>2272796940002656</t>
        </is>
      </c>
      <c r="AZ1163" t="inlineStr">
        <is>
          <t>BOOK</t>
        </is>
      </c>
      <c r="BB1163" t="inlineStr">
        <is>
          <t>9780819117656</t>
        </is>
      </c>
      <c r="BC1163" t="inlineStr">
        <is>
          <t>32285000806116</t>
        </is>
      </c>
      <c r="BD1163" t="inlineStr">
        <is>
          <t>893412825</t>
        </is>
      </c>
    </row>
    <row r="1164">
      <c r="A1164" t="inlineStr">
        <is>
          <t>No</t>
        </is>
      </c>
      <c r="B1164" t="inlineStr">
        <is>
          <t>BT767.5 .P47</t>
        </is>
      </c>
      <c r="C1164" t="inlineStr">
        <is>
          <t>0                      BT 0767500P  47</t>
        </is>
      </c>
      <c r="D1164" t="inlineStr">
        <is>
          <t>The priesthood in the mystical body / Nicholas C. Persich.</t>
        </is>
      </c>
      <c r="F1164" t="inlineStr">
        <is>
          <t>No</t>
        </is>
      </c>
      <c r="G1164" t="inlineStr">
        <is>
          <t>1</t>
        </is>
      </c>
      <c r="H1164" t="inlineStr">
        <is>
          <t>No</t>
        </is>
      </c>
      <c r="I1164" t="inlineStr">
        <is>
          <t>No</t>
        </is>
      </c>
      <c r="J1164" t="inlineStr">
        <is>
          <t>0</t>
        </is>
      </c>
      <c r="K1164" t="inlineStr">
        <is>
          <t>Persich, Nicholas C.</t>
        </is>
      </c>
      <c r="L1164" t="inlineStr">
        <is>
          <t>St. Louis : [Society of the Congregation of the Missions], 1951.</t>
        </is>
      </c>
      <c r="M1164" t="inlineStr">
        <is>
          <t>1951</t>
        </is>
      </c>
      <c r="O1164" t="inlineStr">
        <is>
          <t>eng</t>
        </is>
      </c>
      <c r="P1164" t="inlineStr">
        <is>
          <t>mou</t>
        </is>
      </c>
      <c r="R1164" t="inlineStr">
        <is>
          <t xml:space="preserve">BT </t>
        </is>
      </c>
      <c r="S1164" t="n">
        <v>3</v>
      </c>
      <c r="T1164" t="n">
        <v>3</v>
      </c>
      <c r="U1164" t="inlineStr">
        <is>
          <t>2003-10-27</t>
        </is>
      </c>
      <c r="V1164" t="inlineStr">
        <is>
          <t>2003-10-27</t>
        </is>
      </c>
      <c r="W1164" t="inlineStr">
        <is>
          <t>1991-10-08</t>
        </is>
      </c>
      <c r="X1164" t="inlineStr">
        <is>
          <t>1991-10-08</t>
        </is>
      </c>
      <c r="Y1164" t="n">
        <v>43</v>
      </c>
      <c r="Z1164" t="n">
        <v>39</v>
      </c>
      <c r="AA1164" t="n">
        <v>39</v>
      </c>
      <c r="AB1164" t="n">
        <v>1</v>
      </c>
      <c r="AC1164" t="n">
        <v>1</v>
      </c>
      <c r="AD1164" t="n">
        <v>11</v>
      </c>
      <c r="AE1164" t="n">
        <v>11</v>
      </c>
      <c r="AF1164" t="n">
        <v>3</v>
      </c>
      <c r="AG1164" t="n">
        <v>3</v>
      </c>
      <c r="AH1164" t="n">
        <v>2</v>
      </c>
      <c r="AI1164" t="n">
        <v>2</v>
      </c>
      <c r="AJ1164" t="n">
        <v>9</v>
      </c>
      <c r="AK1164" t="n">
        <v>9</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HYPERLINK("https://creighton-primo.hosted.exlibrisgroup.com/primo-explore/search?tab=default_tab&amp;search_scope=EVERYTHING&amp;vid=01CRU&amp;lang=en_US&amp;offset=0&amp;query=any,contains,991004171509702656","Catalog Record")</f>
        <v/>
      </c>
      <c r="AT1164">
        <f>HYPERLINK("http://www.worldcat.org/oclc/2582495","WorldCat Record")</f>
        <v/>
      </c>
      <c r="AU1164" t="inlineStr">
        <is>
          <t>5524207:eng</t>
        </is>
      </c>
      <c r="AV1164" t="inlineStr">
        <is>
          <t>2582495</t>
        </is>
      </c>
      <c r="AW1164" t="inlineStr">
        <is>
          <t>991004171509702656</t>
        </is>
      </c>
      <c r="AX1164" t="inlineStr">
        <is>
          <t>991004171509702656</t>
        </is>
      </c>
      <c r="AY1164" t="inlineStr">
        <is>
          <t>2260688320002656</t>
        </is>
      </c>
      <c r="AZ1164" t="inlineStr">
        <is>
          <t>BOOK</t>
        </is>
      </c>
      <c r="BC1164" t="inlineStr">
        <is>
          <t>32285000806157</t>
        </is>
      </c>
      <c r="BD1164" t="inlineStr">
        <is>
          <t>893593353</t>
        </is>
      </c>
    </row>
    <row r="1165">
      <c r="A1165" t="inlineStr">
        <is>
          <t>No</t>
        </is>
      </c>
      <c r="B1165" t="inlineStr">
        <is>
          <t>BT767.7 .P55 1992</t>
        </is>
      </c>
      <c r="C1165" t="inlineStr">
        <is>
          <t>0                      BT 0767700P  55          1992</t>
        </is>
      </c>
      <c r="D1165" t="inlineStr">
        <is>
          <t>Mystic union : an essay in the phenomenology of mysticism / Nelson Pike.</t>
        </is>
      </c>
      <c r="F1165" t="inlineStr">
        <is>
          <t>No</t>
        </is>
      </c>
      <c r="G1165" t="inlineStr">
        <is>
          <t>1</t>
        </is>
      </c>
      <c r="H1165" t="inlineStr">
        <is>
          <t>No</t>
        </is>
      </c>
      <c r="I1165" t="inlineStr">
        <is>
          <t>No</t>
        </is>
      </c>
      <c r="J1165" t="inlineStr">
        <is>
          <t>0</t>
        </is>
      </c>
      <c r="K1165" t="inlineStr">
        <is>
          <t>Pike, Nelson.</t>
        </is>
      </c>
      <c r="L1165" t="inlineStr">
        <is>
          <t>Ithaca, N.Y. : Cornell University Press, 1992.</t>
        </is>
      </c>
      <c r="M1165" t="inlineStr">
        <is>
          <t>1992</t>
        </is>
      </c>
      <c r="O1165" t="inlineStr">
        <is>
          <t>eng</t>
        </is>
      </c>
      <c r="P1165" t="inlineStr">
        <is>
          <t>nyu</t>
        </is>
      </c>
      <c r="Q1165" t="inlineStr">
        <is>
          <t>Cornell studies in the philosophy of religion</t>
        </is>
      </c>
      <c r="R1165" t="inlineStr">
        <is>
          <t xml:space="preserve">BT </t>
        </is>
      </c>
      <c r="S1165" t="n">
        <v>7</v>
      </c>
      <c r="T1165" t="n">
        <v>7</v>
      </c>
      <c r="U1165" t="inlineStr">
        <is>
          <t>2007-04-30</t>
        </is>
      </c>
      <c r="V1165" t="inlineStr">
        <is>
          <t>2007-04-30</t>
        </is>
      </c>
      <c r="W1165" t="inlineStr">
        <is>
          <t>1994-12-22</t>
        </is>
      </c>
      <c r="X1165" t="inlineStr">
        <is>
          <t>1994-12-22</t>
        </is>
      </c>
      <c r="Y1165" t="n">
        <v>436</v>
      </c>
      <c r="Z1165" t="n">
        <v>362</v>
      </c>
      <c r="AA1165" t="n">
        <v>370</v>
      </c>
      <c r="AB1165" t="n">
        <v>3</v>
      </c>
      <c r="AC1165" t="n">
        <v>3</v>
      </c>
      <c r="AD1165" t="n">
        <v>29</v>
      </c>
      <c r="AE1165" t="n">
        <v>30</v>
      </c>
      <c r="AF1165" t="n">
        <v>12</v>
      </c>
      <c r="AG1165" t="n">
        <v>13</v>
      </c>
      <c r="AH1165" t="n">
        <v>7</v>
      </c>
      <c r="AI1165" t="n">
        <v>7</v>
      </c>
      <c r="AJ1165" t="n">
        <v>18</v>
      </c>
      <c r="AK1165" t="n">
        <v>18</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HYPERLINK("https://creighton-primo.hosted.exlibrisgroup.com/primo-explore/search?tab=default_tab&amp;search_scope=EVERYTHING&amp;vid=01CRU&amp;lang=en_US&amp;offset=0&amp;query=any,contains,991001926199702656","Catalog Record")</f>
        <v/>
      </c>
      <c r="AT1165">
        <f>HYPERLINK("http://www.worldcat.org/oclc/24319868","WorldCat Record")</f>
        <v/>
      </c>
      <c r="AU1165" t="inlineStr">
        <is>
          <t>792527812:eng</t>
        </is>
      </c>
      <c r="AV1165" t="inlineStr">
        <is>
          <t>24319868</t>
        </is>
      </c>
      <c r="AW1165" t="inlineStr">
        <is>
          <t>991001926199702656</t>
        </is>
      </c>
      <c r="AX1165" t="inlineStr">
        <is>
          <t>991001926199702656</t>
        </is>
      </c>
      <c r="AY1165" t="inlineStr">
        <is>
          <t>2272040060002656</t>
        </is>
      </c>
      <c r="AZ1165" t="inlineStr">
        <is>
          <t>BOOK</t>
        </is>
      </c>
      <c r="BB1165" t="inlineStr">
        <is>
          <t>9780801426841</t>
        </is>
      </c>
      <c r="BC1165" t="inlineStr">
        <is>
          <t>32285001978880</t>
        </is>
      </c>
      <c r="BD1165" t="inlineStr">
        <is>
          <t>893238463</t>
        </is>
      </c>
    </row>
    <row r="1166">
      <c r="A1166" t="inlineStr">
        <is>
          <t>No</t>
        </is>
      </c>
      <c r="B1166" t="inlineStr">
        <is>
          <t>BT767.7 .R63 1985</t>
        </is>
      </c>
      <c r="C1166" t="inlineStr">
        <is>
          <t>0                      BT 0767700R  63          1985</t>
        </is>
      </c>
      <c r="D1166" t="inlineStr">
        <is>
          <t>The path to no-self : life at the center / by Bernadette Roberts.</t>
        </is>
      </c>
      <c r="F1166" t="inlineStr">
        <is>
          <t>No</t>
        </is>
      </c>
      <c r="G1166" t="inlineStr">
        <is>
          <t>1</t>
        </is>
      </c>
      <c r="H1166" t="inlineStr">
        <is>
          <t>No</t>
        </is>
      </c>
      <c r="I1166" t="inlineStr">
        <is>
          <t>No</t>
        </is>
      </c>
      <c r="J1166" t="inlineStr">
        <is>
          <t>0</t>
        </is>
      </c>
      <c r="K1166" t="inlineStr">
        <is>
          <t>Roberts, Bernadette, 1931-</t>
        </is>
      </c>
      <c r="L1166" t="inlineStr">
        <is>
          <t>Boulder [Colo.] : Shambhala Publications, 1985.</t>
        </is>
      </c>
      <c r="M1166" t="inlineStr">
        <is>
          <t>1985</t>
        </is>
      </c>
      <c r="N1166" t="inlineStr">
        <is>
          <t>1st ed.</t>
        </is>
      </c>
      <c r="O1166" t="inlineStr">
        <is>
          <t>eng</t>
        </is>
      </c>
      <c r="P1166" t="inlineStr">
        <is>
          <t>cou</t>
        </is>
      </c>
      <c r="R1166" t="inlineStr">
        <is>
          <t xml:space="preserve">BT </t>
        </is>
      </c>
      <c r="S1166" t="n">
        <v>4</v>
      </c>
      <c r="T1166" t="n">
        <v>4</v>
      </c>
      <c r="U1166" t="inlineStr">
        <is>
          <t>2008-07-10</t>
        </is>
      </c>
      <c r="V1166" t="inlineStr">
        <is>
          <t>2008-07-10</t>
        </is>
      </c>
      <c r="W1166" t="inlineStr">
        <is>
          <t>1991-10-08</t>
        </is>
      </c>
      <c r="X1166" t="inlineStr">
        <is>
          <t>1991-10-08</t>
        </is>
      </c>
      <c r="Y1166" t="n">
        <v>154</v>
      </c>
      <c r="Z1166" t="n">
        <v>144</v>
      </c>
      <c r="AA1166" t="n">
        <v>262</v>
      </c>
      <c r="AB1166" t="n">
        <v>2</v>
      </c>
      <c r="AC1166" t="n">
        <v>3</v>
      </c>
      <c r="AD1166" t="n">
        <v>3</v>
      </c>
      <c r="AE1166" t="n">
        <v>16</v>
      </c>
      <c r="AF1166" t="n">
        <v>1</v>
      </c>
      <c r="AG1166" t="n">
        <v>5</v>
      </c>
      <c r="AH1166" t="n">
        <v>1</v>
      </c>
      <c r="AI1166" t="n">
        <v>5</v>
      </c>
      <c r="AJ1166" t="n">
        <v>3</v>
      </c>
      <c r="AK1166" t="n">
        <v>12</v>
      </c>
      <c r="AL1166" t="n">
        <v>0</v>
      </c>
      <c r="AM1166" t="n">
        <v>1</v>
      </c>
      <c r="AN1166" t="n">
        <v>0</v>
      </c>
      <c r="AO1166" t="n">
        <v>0</v>
      </c>
      <c r="AP1166" t="inlineStr">
        <is>
          <t>No</t>
        </is>
      </c>
      <c r="AQ1166" t="inlineStr">
        <is>
          <t>Yes</t>
        </is>
      </c>
      <c r="AR1166">
        <f>HYPERLINK("http://catalog.hathitrust.org/Record/011236765","HathiTrust Record")</f>
        <v/>
      </c>
      <c r="AS1166">
        <f>HYPERLINK("https://creighton-primo.hosted.exlibrisgroup.com/primo-explore/search?tab=default_tab&amp;search_scope=EVERYTHING&amp;vid=01CRU&amp;lang=en_US&amp;offset=0&amp;query=any,contains,991000510759702656","Catalog Record")</f>
        <v/>
      </c>
      <c r="AT1166">
        <f>HYPERLINK("http://www.worldcat.org/oclc/11235839","WorldCat Record")</f>
        <v/>
      </c>
      <c r="AU1166" t="inlineStr">
        <is>
          <t>2014229:eng</t>
        </is>
      </c>
      <c r="AV1166" t="inlineStr">
        <is>
          <t>11235839</t>
        </is>
      </c>
      <c r="AW1166" t="inlineStr">
        <is>
          <t>991000510759702656</t>
        </is>
      </c>
      <c r="AX1166" t="inlineStr">
        <is>
          <t>991000510759702656</t>
        </is>
      </c>
      <c r="AY1166" t="inlineStr">
        <is>
          <t>2257146500002656</t>
        </is>
      </c>
      <c r="AZ1166" t="inlineStr">
        <is>
          <t>BOOK</t>
        </is>
      </c>
      <c r="BB1166" t="inlineStr">
        <is>
          <t>9780394729992</t>
        </is>
      </c>
      <c r="BC1166" t="inlineStr">
        <is>
          <t>32285000806165</t>
        </is>
      </c>
      <c r="BD1166" t="inlineStr">
        <is>
          <t>893321104</t>
        </is>
      </c>
    </row>
    <row r="1167">
      <c r="A1167" t="inlineStr">
        <is>
          <t>No</t>
        </is>
      </c>
      <c r="B1167" t="inlineStr">
        <is>
          <t>BT769 .G32 1937</t>
        </is>
      </c>
      <c r="C1167" t="inlineStr">
        <is>
          <t>0                      BT 0769000G  32          1937</t>
        </is>
      </c>
      <c r="D1167" t="inlineStr">
        <is>
          <t>The gifts of the Holy Ghost : in the Dominican Saints / Antoine Gardeil, O.P.; translated by Anselm M. Townsend.</t>
        </is>
      </c>
      <c r="F1167" t="inlineStr">
        <is>
          <t>No</t>
        </is>
      </c>
      <c r="G1167" t="inlineStr">
        <is>
          <t>1</t>
        </is>
      </c>
      <c r="H1167" t="inlineStr">
        <is>
          <t>No</t>
        </is>
      </c>
      <c r="I1167" t="inlineStr">
        <is>
          <t>No</t>
        </is>
      </c>
      <c r="J1167" t="inlineStr">
        <is>
          <t>0</t>
        </is>
      </c>
      <c r="K1167" t="inlineStr">
        <is>
          <t>Gardeil, A. (Ambroise), 1859-1931.</t>
        </is>
      </c>
      <c r="L1167" t="inlineStr">
        <is>
          <t>Milwaukee : Bruce Publishing, c1937.</t>
        </is>
      </c>
      <c r="M1167" t="inlineStr">
        <is>
          <t>1937</t>
        </is>
      </c>
      <c r="O1167" t="inlineStr">
        <is>
          <t>eng</t>
        </is>
      </c>
      <c r="P1167" t="inlineStr">
        <is>
          <t>mnu</t>
        </is>
      </c>
      <c r="Q1167" t="inlineStr">
        <is>
          <t>Dominican library of spiritual works</t>
        </is>
      </c>
      <c r="R1167" t="inlineStr">
        <is>
          <t xml:space="preserve">BT </t>
        </is>
      </c>
      <c r="S1167" t="n">
        <v>7</v>
      </c>
      <c r="T1167" t="n">
        <v>7</v>
      </c>
      <c r="U1167" t="inlineStr">
        <is>
          <t>1995-11-03</t>
        </is>
      </c>
      <c r="V1167" t="inlineStr">
        <is>
          <t>1995-11-03</t>
        </is>
      </c>
      <c r="W1167" t="inlineStr">
        <is>
          <t>1990-08-14</t>
        </is>
      </c>
      <c r="X1167" t="inlineStr">
        <is>
          <t>1990-08-14</t>
        </is>
      </c>
      <c r="Y1167" t="n">
        <v>33</v>
      </c>
      <c r="Z1167" t="n">
        <v>31</v>
      </c>
      <c r="AA1167" t="n">
        <v>31</v>
      </c>
      <c r="AB1167" t="n">
        <v>1</v>
      </c>
      <c r="AC1167" t="n">
        <v>1</v>
      </c>
      <c r="AD1167" t="n">
        <v>7</v>
      </c>
      <c r="AE1167" t="n">
        <v>7</v>
      </c>
      <c r="AF1167" t="n">
        <v>2</v>
      </c>
      <c r="AG1167" t="n">
        <v>2</v>
      </c>
      <c r="AH1167" t="n">
        <v>2</v>
      </c>
      <c r="AI1167" t="n">
        <v>2</v>
      </c>
      <c r="AJ1167" t="n">
        <v>5</v>
      </c>
      <c r="AK1167" t="n">
        <v>5</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HYPERLINK("https://creighton-primo.hosted.exlibrisgroup.com/primo-explore/search?tab=default_tab&amp;search_scope=EVERYTHING&amp;vid=01CRU&amp;lang=en_US&amp;offset=0&amp;query=any,contains,991000261639702656","Catalog Record")</f>
        <v/>
      </c>
      <c r="AT1167">
        <f>HYPERLINK("http://www.worldcat.org/oclc/9824651","WorldCat Record")</f>
        <v/>
      </c>
      <c r="AU1167" t="inlineStr">
        <is>
          <t>43148865:eng</t>
        </is>
      </c>
      <c r="AV1167" t="inlineStr">
        <is>
          <t>9824651</t>
        </is>
      </c>
      <c r="AW1167" t="inlineStr">
        <is>
          <t>991000261639702656</t>
        </is>
      </c>
      <c r="AX1167" t="inlineStr">
        <is>
          <t>991000261639702656</t>
        </is>
      </c>
      <c r="AY1167" t="inlineStr">
        <is>
          <t>2267252500002656</t>
        </is>
      </c>
      <c r="AZ1167" t="inlineStr">
        <is>
          <t>BOOK</t>
        </is>
      </c>
      <c r="BC1167" t="inlineStr">
        <is>
          <t>32285000268358</t>
        </is>
      </c>
      <c r="BD1167" t="inlineStr">
        <is>
          <t>893890552</t>
        </is>
      </c>
    </row>
    <row r="1168">
      <c r="A1168" t="inlineStr">
        <is>
          <t>No</t>
        </is>
      </c>
      <c r="B1168" t="inlineStr">
        <is>
          <t>BT77 .B343</t>
        </is>
      </c>
      <c r="C1168" t="inlineStr">
        <is>
          <t>0                      BT 0077000B  343</t>
        </is>
      </c>
      <c r="D1168" t="inlineStr">
        <is>
          <t>Understanding the Christian faith / Charles D. Barrett.</t>
        </is>
      </c>
      <c r="F1168" t="inlineStr">
        <is>
          <t>No</t>
        </is>
      </c>
      <c r="G1168" t="inlineStr">
        <is>
          <t>1</t>
        </is>
      </c>
      <c r="H1168" t="inlineStr">
        <is>
          <t>No</t>
        </is>
      </c>
      <c r="I1168" t="inlineStr">
        <is>
          <t>No</t>
        </is>
      </c>
      <c r="J1168" t="inlineStr">
        <is>
          <t>0</t>
        </is>
      </c>
      <c r="K1168" t="inlineStr">
        <is>
          <t>Barrett, Charles D., 1933-</t>
        </is>
      </c>
      <c r="L1168" t="inlineStr">
        <is>
          <t>Englewood Cliffs, N.J. : Prentice-Hall, 1980.</t>
        </is>
      </c>
      <c r="M1168" t="inlineStr">
        <is>
          <t>1980</t>
        </is>
      </c>
      <c r="O1168" t="inlineStr">
        <is>
          <t>eng</t>
        </is>
      </c>
      <c r="P1168" t="inlineStr">
        <is>
          <t>nju</t>
        </is>
      </c>
      <c r="R1168" t="inlineStr">
        <is>
          <t xml:space="preserve">BT </t>
        </is>
      </c>
      <c r="S1168" t="n">
        <v>7</v>
      </c>
      <c r="T1168" t="n">
        <v>7</v>
      </c>
      <c r="U1168" t="inlineStr">
        <is>
          <t>1999-04-27</t>
        </is>
      </c>
      <c r="V1168" t="inlineStr">
        <is>
          <t>1999-04-27</t>
        </is>
      </c>
      <c r="W1168" t="inlineStr">
        <is>
          <t>1991-06-21</t>
        </is>
      </c>
      <c r="X1168" t="inlineStr">
        <is>
          <t>1991-06-21</t>
        </is>
      </c>
      <c r="Y1168" t="n">
        <v>307</v>
      </c>
      <c r="Z1168" t="n">
        <v>253</v>
      </c>
      <c r="AA1168" t="n">
        <v>259</v>
      </c>
      <c r="AB1168" t="n">
        <v>3</v>
      </c>
      <c r="AC1168" t="n">
        <v>3</v>
      </c>
      <c r="AD1168" t="n">
        <v>15</v>
      </c>
      <c r="AE1168" t="n">
        <v>15</v>
      </c>
      <c r="AF1168" t="n">
        <v>7</v>
      </c>
      <c r="AG1168" t="n">
        <v>7</v>
      </c>
      <c r="AH1168" t="n">
        <v>2</v>
      </c>
      <c r="AI1168" t="n">
        <v>2</v>
      </c>
      <c r="AJ1168" t="n">
        <v>8</v>
      </c>
      <c r="AK1168" t="n">
        <v>8</v>
      </c>
      <c r="AL1168" t="n">
        <v>2</v>
      </c>
      <c r="AM1168" t="n">
        <v>2</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HYPERLINK("https://creighton-primo.hosted.exlibrisgroup.com/primo-explore/search?tab=default_tab&amp;search_scope=EVERYTHING&amp;vid=01CRU&amp;lang=en_US&amp;offset=0&amp;query=any,contains,991004865599702656","Catalog Record")</f>
        <v/>
      </c>
      <c r="AT1168">
        <f>HYPERLINK("http://www.worldcat.org/oclc/5726633","WorldCat Record")</f>
        <v/>
      </c>
      <c r="AU1168" t="inlineStr">
        <is>
          <t>19897112:eng</t>
        </is>
      </c>
      <c r="AV1168" t="inlineStr">
        <is>
          <t>5726633</t>
        </is>
      </c>
      <c r="AW1168" t="inlineStr">
        <is>
          <t>991004865599702656</t>
        </is>
      </c>
      <c r="AX1168" t="inlineStr">
        <is>
          <t>991004865599702656</t>
        </is>
      </c>
      <c r="AY1168" t="inlineStr">
        <is>
          <t>2263209810002656</t>
        </is>
      </c>
      <c r="AZ1168" t="inlineStr">
        <is>
          <t>BOOK</t>
        </is>
      </c>
      <c r="BB1168" t="inlineStr">
        <is>
          <t>9780139358821</t>
        </is>
      </c>
      <c r="BC1168" t="inlineStr">
        <is>
          <t>32285000688134</t>
        </is>
      </c>
      <c r="BD1168" t="inlineStr">
        <is>
          <t>893694425</t>
        </is>
      </c>
    </row>
    <row r="1169">
      <c r="A1169" t="inlineStr">
        <is>
          <t>No</t>
        </is>
      </c>
      <c r="B1169" t="inlineStr">
        <is>
          <t>BT77 .B344</t>
        </is>
      </c>
      <c r="C1169" t="inlineStr">
        <is>
          <t>0                      BT 0077000B  344</t>
        </is>
      </c>
      <c r="D1169" t="inlineStr">
        <is>
          <t>Faith in focus : a compact introduction to Christian theology / J. Edward Barrett.</t>
        </is>
      </c>
      <c r="F1169" t="inlineStr">
        <is>
          <t>No</t>
        </is>
      </c>
      <c r="G1169" t="inlineStr">
        <is>
          <t>1</t>
        </is>
      </c>
      <c r="H1169" t="inlineStr">
        <is>
          <t>No</t>
        </is>
      </c>
      <c r="I1169" t="inlineStr">
        <is>
          <t>No</t>
        </is>
      </c>
      <c r="J1169" t="inlineStr">
        <is>
          <t>0</t>
        </is>
      </c>
      <c r="K1169" t="inlineStr">
        <is>
          <t>Barrett, J. Edward, 1932-</t>
        </is>
      </c>
      <c r="L1169" t="inlineStr">
        <is>
          <t>Washington, D.C. : University Press of America, c1981.</t>
        </is>
      </c>
      <c r="M1169" t="inlineStr">
        <is>
          <t>1981</t>
        </is>
      </c>
      <c r="O1169" t="inlineStr">
        <is>
          <t>eng</t>
        </is>
      </c>
      <c r="P1169" t="inlineStr">
        <is>
          <t>dcu</t>
        </is>
      </c>
      <c r="R1169" t="inlineStr">
        <is>
          <t xml:space="preserve">BT </t>
        </is>
      </c>
      <c r="S1169" t="n">
        <v>4</v>
      </c>
      <c r="T1169" t="n">
        <v>4</v>
      </c>
      <c r="U1169" t="inlineStr">
        <is>
          <t>1999-04-27</t>
        </is>
      </c>
      <c r="V1169" t="inlineStr">
        <is>
          <t>1999-04-27</t>
        </is>
      </c>
      <c r="W1169" t="inlineStr">
        <is>
          <t>1991-06-21</t>
        </is>
      </c>
      <c r="X1169" t="inlineStr">
        <is>
          <t>1991-06-21</t>
        </is>
      </c>
      <c r="Y1169" t="n">
        <v>206</v>
      </c>
      <c r="Z1169" t="n">
        <v>185</v>
      </c>
      <c r="AA1169" t="n">
        <v>211</v>
      </c>
      <c r="AB1169" t="n">
        <v>2</v>
      </c>
      <c r="AC1169" t="n">
        <v>2</v>
      </c>
      <c r="AD1169" t="n">
        <v>14</v>
      </c>
      <c r="AE1169" t="n">
        <v>16</v>
      </c>
      <c r="AF1169" t="n">
        <v>5</v>
      </c>
      <c r="AG1169" t="n">
        <v>7</v>
      </c>
      <c r="AH1169" t="n">
        <v>2</v>
      </c>
      <c r="AI1169" t="n">
        <v>2</v>
      </c>
      <c r="AJ1169" t="n">
        <v>10</v>
      </c>
      <c r="AK1169" t="n">
        <v>10</v>
      </c>
      <c r="AL1169" t="n">
        <v>1</v>
      </c>
      <c r="AM1169" t="n">
        <v>1</v>
      </c>
      <c r="AN1169" t="n">
        <v>0</v>
      </c>
      <c r="AO1169" t="n">
        <v>0</v>
      </c>
      <c r="AP1169" t="inlineStr">
        <is>
          <t>No</t>
        </is>
      </c>
      <c r="AQ1169" t="inlineStr">
        <is>
          <t>Yes</t>
        </is>
      </c>
      <c r="AR1169">
        <f>HYPERLINK("http://catalog.hathitrust.org/Record/000268092","HathiTrust Record")</f>
        <v/>
      </c>
      <c r="AS1169">
        <f>HYPERLINK("https://creighton-primo.hosted.exlibrisgroup.com/primo-explore/search?tab=default_tab&amp;search_scope=EVERYTHING&amp;vid=01CRU&amp;lang=en_US&amp;offset=0&amp;query=any,contains,991005162489702656","Catalog Record")</f>
        <v/>
      </c>
      <c r="AT1169">
        <f>HYPERLINK("http://www.worldcat.org/oclc/7796684","WorldCat Record")</f>
        <v/>
      </c>
      <c r="AU1169" t="inlineStr">
        <is>
          <t>197515187:eng</t>
        </is>
      </c>
      <c r="AV1169" t="inlineStr">
        <is>
          <t>7796684</t>
        </is>
      </c>
      <c r="AW1169" t="inlineStr">
        <is>
          <t>991005162489702656</t>
        </is>
      </c>
      <c r="AX1169" t="inlineStr">
        <is>
          <t>991005162489702656</t>
        </is>
      </c>
      <c r="AY1169" t="inlineStr">
        <is>
          <t>2266257240002656</t>
        </is>
      </c>
      <c r="AZ1169" t="inlineStr">
        <is>
          <t>BOOK</t>
        </is>
      </c>
      <c r="BB1169" t="inlineStr">
        <is>
          <t>9780819118783</t>
        </is>
      </c>
      <c r="BC1169" t="inlineStr">
        <is>
          <t>32285000688142</t>
        </is>
      </c>
      <c r="BD1169" t="inlineStr">
        <is>
          <t>893446614</t>
        </is>
      </c>
    </row>
    <row r="1170">
      <c r="A1170" t="inlineStr">
        <is>
          <t>No</t>
        </is>
      </c>
      <c r="B1170" t="inlineStr">
        <is>
          <t>BT77 .B865 1962</t>
        </is>
      </c>
      <c r="C1170" t="inlineStr">
        <is>
          <t>0                      BT 0077000B  865         1962</t>
        </is>
      </c>
      <c r="D1170" t="inlineStr">
        <is>
          <t>Our faith / by Emil Brunner. Translated by John W. Rilling.</t>
        </is>
      </c>
      <c r="F1170" t="inlineStr">
        <is>
          <t>No</t>
        </is>
      </c>
      <c r="G1170" t="inlineStr">
        <is>
          <t>1</t>
        </is>
      </c>
      <c r="H1170" t="inlineStr">
        <is>
          <t>No</t>
        </is>
      </c>
      <c r="I1170" t="inlineStr">
        <is>
          <t>No</t>
        </is>
      </c>
      <c r="J1170" t="inlineStr">
        <is>
          <t>0</t>
        </is>
      </c>
      <c r="K1170" t="inlineStr">
        <is>
          <t>Brunner, Emil, 1889-1966.</t>
        </is>
      </c>
      <c r="L1170" t="inlineStr">
        <is>
          <t>New York, Scribner [1962?]</t>
        </is>
      </c>
      <c r="M1170" t="inlineStr">
        <is>
          <t>1962</t>
        </is>
      </c>
      <c r="O1170" t="inlineStr">
        <is>
          <t>eng</t>
        </is>
      </c>
      <c r="P1170" t="inlineStr">
        <is>
          <t>___</t>
        </is>
      </c>
      <c r="Q1170" t="inlineStr">
        <is>
          <t>The Scribner library, SL87</t>
        </is>
      </c>
      <c r="R1170" t="inlineStr">
        <is>
          <t xml:space="preserve">BT </t>
        </is>
      </c>
      <c r="S1170" t="n">
        <v>3</v>
      </c>
      <c r="T1170" t="n">
        <v>3</v>
      </c>
      <c r="U1170" t="inlineStr">
        <is>
          <t>1999-05-02</t>
        </is>
      </c>
      <c r="V1170" t="inlineStr">
        <is>
          <t>1999-05-02</t>
        </is>
      </c>
      <c r="W1170" t="inlineStr">
        <is>
          <t>1991-06-21</t>
        </is>
      </c>
      <c r="X1170" t="inlineStr">
        <is>
          <t>1991-06-21</t>
        </is>
      </c>
      <c r="Y1170" t="n">
        <v>107</v>
      </c>
      <c r="Z1170" t="n">
        <v>100</v>
      </c>
      <c r="AA1170" t="n">
        <v>625</v>
      </c>
      <c r="AB1170" t="n">
        <v>4</v>
      </c>
      <c r="AC1170" t="n">
        <v>8</v>
      </c>
      <c r="AD1170" t="n">
        <v>11</v>
      </c>
      <c r="AE1170" t="n">
        <v>33</v>
      </c>
      <c r="AF1170" t="n">
        <v>3</v>
      </c>
      <c r="AG1170" t="n">
        <v>12</v>
      </c>
      <c r="AH1170" t="n">
        <v>4</v>
      </c>
      <c r="AI1170" t="n">
        <v>5</v>
      </c>
      <c r="AJ1170" t="n">
        <v>4</v>
      </c>
      <c r="AK1170" t="n">
        <v>17</v>
      </c>
      <c r="AL1170" t="n">
        <v>2</v>
      </c>
      <c r="AM1170" t="n">
        <v>5</v>
      </c>
      <c r="AN1170" t="n">
        <v>0</v>
      </c>
      <c r="AO1170" t="n">
        <v>0</v>
      </c>
      <c r="AP1170" t="inlineStr">
        <is>
          <t>No</t>
        </is>
      </c>
      <c r="AQ1170" t="inlineStr">
        <is>
          <t>No</t>
        </is>
      </c>
      <c r="AR1170">
        <f>HYPERLINK("http://catalog.hathitrust.org/Record/012271059","HathiTrust Record")</f>
        <v/>
      </c>
      <c r="AS1170">
        <f>HYPERLINK("https://creighton-primo.hosted.exlibrisgroup.com/primo-explore/search?tab=default_tab&amp;search_scope=EVERYTHING&amp;vid=01CRU&amp;lang=en_US&amp;offset=0&amp;query=any,contains,991001940869702656","Catalog Record")</f>
        <v/>
      </c>
      <c r="AT1170">
        <f>HYPERLINK("http://www.worldcat.org/oclc/250740","WorldCat Record")</f>
        <v/>
      </c>
      <c r="AU1170" t="inlineStr">
        <is>
          <t>1337598:eng</t>
        </is>
      </c>
      <c r="AV1170" t="inlineStr">
        <is>
          <t>250740</t>
        </is>
      </c>
      <c r="AW1170" t="inlineStr">
        <is>
          <t>991001940869702656</t>
        </is>
      </c>
      <c r="AX1170" t="inlineStr">
        <is>
          <t>991001940869702656</t>
        </is>
      </c>
      <c r="AY1170" t="inlineStr">
        <is>
          <t>2266912490002656</t>
        </is>
      </c>
      <c r="AZ1170" t="inlineStr">
        <is>
          <t>BOOK</t>
        </is>
      </c>
      <c r="BC1170" t="inlineStr">
        <is>
          <t>32285000688167</t>
        </is>
      </c>
      <c r="BD1170" t="inlineStr">
        <is>
          <t>893773046</t>
        </is>
      </c>
    </row>
    <row r="1171">
      <c r="A1171" t="inlineStr">
        <is>
          <t>No</t>
        </is>
      </c>
      <c r="B1171" t="inlineStr">
        <is>
          <t>BT77 .C235 1983</t>
        </is>
      </c>
      <c r="C1171" t="inlineStr">
        <is>
          <t>0                      BT 0077000C  235         1983</t>
        </is>
      </c>
      <c r="D1171" t="inlineStr">
        <is>
          <t>The heart of the Christian matter : an ecumenical approach / John Carmody.</t>
        </is>
      </c>
      <c r="F1171" t="inlineStr">
        <is>
          <t>No</t>
        </is>
      </c>
      <c r="G1171" t="inlineStr">
        <is>
          <t>1</t>
        </is>
      </c>
      <c r="H1171" t="inlineStr">
        <is>
          <t>No</t>
        </is>
      </c>
      <c r="I1171" t="inlineStr">
        <is>
          <t>No</t>
        </is>
      </c>
      <c r="J1171" t="inlineStr">
        <is>
          <t>0</t>
        </is>
      </c>
      <c r="K1171" t="inlineStr">
        <is>
          <t>Carmody, John, 1939-</t>
        </is>
      </c>
      <c r="L1171" t="inlineStr">
        <is>
          <t>Nashville : Abingdon, c1983.</t>
        </is>
      </c>
      <c r="M1171" t="inlineStr">
        <is>
          <t>1983</t>
        </is>
      </c>
      <c r="O1171" t="inlineStr">
        <is>
          <t>eng</t>
        </is>
      </c>
      <c r="P1171" t="inlineStr">
        <is>
          <t>tnu</t>
        </is>
      </c>
      <c r="R1171" t="inlineStr">
        <is>
          <t xml:space="preserve">BT </t>
        </is>
      </c>
      <c r="S1171" t="n">
        <v>1</v>
      </c>
      <c r="T1171" t="n">
        <v>1</v>
      </c>
      <c r="U1171" t="inlineStr">
        <is>
          <t>1995-06-13</t>
        </is>
      </c>
      <c r="V1171" t="inlineStr">
        <is>
          <t>1995-06-13</t>
        </is>
      </c>
      <c r="W1171" t="inlineStr">
        <is>
          <t>1991-06-21</t>
        </is>
      </c>
      <c r="X1171" t="inlineStr">
        <is>
          <t>1991-06-21</t>
        </is>
      </c>
      <c r="Y1171" t="n">
        <v>188</v>
      </c>
      <c r="Z1171" t="n">
        <v>166</v>
      </c>
      <c r="AA1171" t="n">
        <v>168</v>
      </c>
      <c r="AB1171" t="n">
        <v>1</v>
      </c>
      <c r="AC1171" t="n">
        <v>1</v>
      </c>
      <c r="AD1171" t="n">
        <v>16</v>
      </c>
      <c r="AE1171" t="n">
        <v>16</v>
      </c>
      <c r="AF1171" t="n">
        <v>5</v>
      </c>
      <c r="AG1171" t="n">
        <v>5</v>
      </c>
      <c r="AH1171" t="n">
        <v>3</v>
      </c>
      <c r="AI1171" t="n">
        <v>3</v>
      </c>
      <c r="AJ1171" t="n">
        <v>10</v>
      </c>
      <c r="AK1171" t="n">
        <v>10</v>
      </c>
      <c r="AL1171" t="n">
        <v>0</v>
      </c>
      <c r="AM1171" t="n">
        <v>0</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HYPERLINK("https://creighton-primo.hosted.exlibrisgroup.com/primo-explore/search?tab=default_tab&amp;search_scope=EVERYTHING&amp;vid=01CRU&amp;lang=en_US&amp;offset=0&amp;query=any,contains,991000059509702656","Catalog Record")</f>
        <v/>
      </c>
      <c r="AT1171">
        <f>HYPERLINK("http://www.worldcat.org/oclc/8727997","WorldCat Record")</f>
        <v/>
      </c>
      <c r="AU1171" t="inlineStr">
        <is>
          <t>365547093:eng</t>
        </is>
      </c>
      <c r="AV1171" t="inlineStr">
        <is>
          <t>8727997</t>
        </is>
      </c>
      <c r="AW1171" t="inlineStr">
        <is>
          <t>991000059509702656</t>
        </is>
      </c>
      <c r="AX1171" t="inlineStr">
        <is>
          <t>991000059509702656</t>
        </is>
      </c>
      <c r="AY1171" t="inlineStr">
        <is>
          <t>2271430440002656</t>
        </is>
      </c>
      <c r="AZ1171" t="inlineStr">
        <is>
          <t>BOOK</t>
        </is>
      </c>
      <c r="BB1171" t="inlineStr">
        <is>
          <t>9780687167654</t>
        </is>
      </c>
      <c r="BC1171" t="inlineStr">
        <is>
          <t>32285000688183</t>
        </is>
      </c>
      <c r="BD1171" t="inlineStr">
        <is>
          <t>893683124</t>
        </is>
      </c>
    </row>
    <row r="1172">
      <c r="A1172" t="inlineStr">
        <is>
          <t>No</t>
        </is>
      </c>
      <c r="B1172" t="inlineStr">
        <is>
          <t>BT77 .C47 1995</t>
        </is>
      </c>
      <c r="C1172" t="inlineStr">
        <is>
          <t>0                      BT 0077000C  47          1995</t>
        </is>
      </c>
      <c r="D1172" t="inlineStr">
        <is>
          <t>The Christian theology reader / edited by Alister E. McGrath.</t>
        </is>
      </c>
      <c r="F1172" t="inlineStr">
        <is>
          <t>No</t>
        </is>
      </c>
      <c r="G1172" t="inlineStr">
        <is>
          <t>1</t>
        </is>
      </c>
      <c r="H1172" t="inlineStr">
        <is>
          <t>No</t>
        </is>
      </c>
      <c r="I1172" t="inlineStr">
        <is>
          <t>No</t>
        </is>
      </c>
      <c r="J1172" t="inlineStr">
        <is>
          <t>0</t>
        </is>
      </c>
      <c r="L1172" t="inlineStr">
        <is>
          <t>Oxford, UK ; Cambridge, Mass., USA : Blackwell, 1995.</t>
        </is>
      </c>
      <c r="M1172" t="inlineStr">
        <is>
          <t>1995</t>
        </is>
      </c>
      <c r="O1172" t="inlineStr">
        <is>
          <t>eng</t>
        </is>
      </c>
      <c r="P1172" t="inlineStr">
        <is>
          <t>enk</t>
        </is>
      </c>
      <c r="R1172" t="inlineStr">
        <is>
          <t xml:space="preserve">BT </t>
        </is>
      </c>
      <c r="S1172" t="n">
        <v>9</v>
      </c>
      <c r="T1172" t="n">
        <v>9</v>
      </c>
      <c r="U1172" t="inlineStr">
        <is>
          <t>2008-04-12</t>
        </is>
      </c>
      <c r="V1172" t="inlineStr">
        <is>
          <t>2008-04-12</t>
        </is>
      </c>
      <c r="W1172" t="inlineStr">
        <is>
          <t>1996-06-04</t>
        </is>
      </c>
      <c r="X1172" t="inlineStr">
        <is>
          <t>1996-06-04</t>
        </is>
      </c>
      <c r="Y1172" t="n">
        <v>416</v>
      </c>
      <c r="Z1172" t="n">
        <v>320</v>
      </c>
      <c r="AA1172" t="n">
        <v>851</v>
      </c>
      <c r="AB1172" t="n">
        <v>2</v>
      </c>
      <c r="AC1172" t="n">
        <v>6</v>
      </c>
      <c r="AD1172" t="n">
        <v>19</v>
      </c>
      <c r="AE1172" t="n">
        <v>43</v>
      </c>
      <c r="AF1172" t="n">
        <v>7</v>
      </c>
      <c r="AG1172" t="n">
        <v>18</v>
      </c>
      <c r="AH1172" t="n">
        <v>4</v>
      </c>
      <c r="AI1172" t="n">
        <v>9</v>
      </c>
      <c r="AJ1172" t="n">
        <v>13</v>
      </c>
      <c r="AK1172" t="n">
        <v>20</v>
      </c>
      <c r="AL1172" t="n">
        <v>1</v>
      </c>
      <c r="AM1172" t="n">
        <v>5</v>
      </c>
      <c r="AN1172" t="n">
        <v>0</v>
      </c>
      <c r="AO1172" t="n">
        <v>1</v>
      </c>
      <c r="AP1172" t="inlineStr">
        <is>
          <t>No</t>
        </is>
      </c>
      <c r="AQ1172" t="inlineStr">
        <is>
          <t>No</t>
        </is>
      </c>
      <c r="AS1172">
        <f>HYPERLINK("https://creighton-primo.hosted.exlibrisgroup.com/primo-explore/search?tab=default_tab&amp;search_scope=EVERYTHING&amp;vid=01CRU&amp;lang=en_US&amp;offset=0&amp;query=any,contains,991002429549702656","Catalog Record")</f>
        <v/>
      </c>
      <c r="AT1172">
        <f>HYPERLINK("http://www.worldcat.org/oclc/31661741","WorldCat Record")</f>
        <v/>
      </c>
      <c r="AU1172" t="inlineStr">
        <is>
          <t>2452515000:eng</t>
        </is>
      </c>
      <c r="AV1172" t="inlineStr">
        <is>
          <t>31661741</t>
        </is>
      </c>
      <c r="AW1172" t="inlineStr">
        <is>
          <t>991002429549702656</t>
        </is>
      </c>
      <c r="AX1172" t="inlineStr">
        <is>
          <t>991002429549702656</t>
        </is>
      </c>
      <c r="AY1172" t="inlineStr">
        <is>
          <t>2255694280002656</t>
        </is>
      </c>
      <c r="AZ1172" t="inlineStr">
        <is>
          <t>BOOK</t>
        </is>
      </c>
      <c r="BB1172" t="inlineStr">
        <is>
          <t>9780631195849</t>
        </is>
      </c>
      <c r="BC1172" t="inlineStr">
        <is>
          <t>32285002186905</t>
        </is>
      </c>
      <c r="BD1172" t="inlineStr">
        <is>
          <t>893433873</t>
        </is>
      </c>
    </row>
    <row r="1173">
      <c r="A1173" t="inlineStr">
        <is>
          <t>No</t>
        </is>
      </c>
      <c r="B1173" t="inlineStr">
        <is>
          <t>BT77 .F587 1985</t>
        </is>
      </c>
      <c r="C1173" t="inlineStr">
        <is>
          <t>0                      BT 0077000F  587         1985</t>
        </is>
      </c>
      <c r="D1173" t="inlineStr">
        <is>
          <t>Good news for the world / Gerard Fourez.</t>
        </is>
      </c>
      <c r="F1173" t="inlineStr">
        <is>
          <t>No</t>
        </is>
      </c>
      <c r="G1173" t="inlineStr">
        <is>
          <t>1</t>
        </is>
      </c>
      <c r="H1173" t="inlineStr">
        <is>
          <t>No</t>
        </is>
      </c>
      <c r="I1173" t="inlineStr">
        <is>
          <t>No</t>
        </is>
      </c>
      <c r="J1173" t="inlineStr">
        <is>
          <t>0</t>
        </is>
      </c>
      <c r="K1173" t="inlineStr">
        <is>
          <t>Fourez, Gérard.</t>
        </is>
      </c>
      <c r="L1173" t="inlineStr">
        <is>
          <t>Kansas City, MO : Sheed &amp; Ward, c1985.</t>
        </is>
      </c>
      <c r="M1173" t="inlineStr">
        <is>
          <t>1985</t>
        </is>
      </c>
      <c r="O1173" t="inlineStr">
        <is>
          <t>eng</t>
        </is>
      </c>
      <c r="P1173" t="inlineStr">
        <is>
          <t>mou</t>
        </is>
      </c>
      <c r="R1173" t="inlineStr">
        <is>
          <t xml:space="preserve">BT </t>
        </is>
      </c>
      <c r="S1173" t="n">
        <v>2</v>
      </c>
      <c r="T1173" t="n">
        <v>2</v>
      </c>
      <c r="U1173" t="inlineStr">
        <is>
          <t>2000-09-08</t>
        </is>
      </c>
      <c r="V1173" t="inlineStr">
        <is>
          <t>2000-09-08</t>
        </is>
      </c>
      <c r="W1173" t="inlineStr">
        <is>
          <t>1991-06-21</t>
        </is>
      </c>
      <c r="X1173" t="inlineStr">
        <is>
          <t>1991-06-21</t>
        </is>
      </c>
      <c r="Y1173" t="n">
        <v>51</v>
      </c>
      <c r="Z1173" t="n">
        <v>51</v>
      </c>
      <c r="AA1173" t="n">
        <v>51</v>
      </c>
      <c r="AB1173" t="n">
        <v>1</v>
      </c>
      <c r="AC1173" t="n">
        <v>1</v>
      </c>
      <c r="AD1173" t="n">
        <v>9</v>
      </c>
      <c r="AE1173" t="n">
        <v>9</v>
      </c>
      <c r="AF1173" t="n">
        <v>2</v>
      </c>
      <c r="AG1173" t="n">
        <v>2</v>
      </c>
      <c r="AH1173" t="n">
        <v>3</v>
      </c>
      <c r="AI1173" t="n">
        <v>3</v>
      </c>
      <c r="AJ1173" t="n">
        <v>7</v>
      </c>
      <c r="AK1173" t="n">
        <v>7</v>
      </c>
      <c r="AL1173" t="n">
        <v>0</v>
      </c>
      <c r="AM1173" t="n">
        <v>0</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HYPERLINK("https://creighton-primo.hosted.exlibrisgroup.com/primo-explore/search?tab=default_tab&amp;search_scope=EVERYTHING&amp;vid=01CRU&amp;lang=en_US&amp;offset=0&amp;query=any,contains,991000843299702656","Catalog Record")</f>
        <v/>
      </c>
      <c r="AT1173">
        <f>HYPERLINK("http://www.worldcat.org/oclc/13527087","WorldCat Record")</f>
        <v/>
      </c>
      <c r="AU1173" t="inlineStr">
        <is>
          <t>7408669:eng</t>
        </is>
      </c>
      <c r="AV1173" t="inlineStr">
        <is>
          <t>13527087</t>
        </is>
      </c>
      <c r="AW1173" t="inlineStr">
        <is>
          <t>991000843299702656</t>
        </is>
      </c>
      <c r="AX1173" t="inlineStr">
        <is>
          <t>991000843299702656</t>
        </is>
      </c>
      <c r="AY1173" t="inlineStr">
        <is>
          <t>2261392850002656</t>
        </is>
      </c>
      <c r="AZ1173" t="inlineStr">
        <is>
          <t>BOOK</t>
        </is>
      </c>
      <c r="BB1173" t="inlineStr">
        <is>
          <t>9780934134521</t>
        </is>
      </c>
      <c r="BC1173" t="inlineStr">
        <is>
          <t>32285000688209</t>
        </is>
      </c>
      <c r="BD1173" t="inlineStr">
        <is>
          <t>893249722</t>
        </is>
      </c>
    </row>
    <row r="1174">
      <c r="A1174" t="inlineStr">
        <is>
          <t>No</t>
        </is>
      </c>
      <c r="B1174" t="inlineStr">
        <is>
          <t>BT77 .H396 1984</t>
        </is>
      </c>
      <c r="C1174" t="inlineStr">
        <is>
          <t>0                      BT 0077000H  396         1984</t>
        </is>
      </c>
      <c r="D1174" t="inlineStr">
        <is>
          <t>Why doctrines? / Charles C. Hefling, Jr.</t>
        </is>
      </c>
      <c r="F1174" t="inlineStr">
        <is>
          <t>No</t>
        </is>
      </c>
      <c r="G1174" t="inlineStr">
        <is>
          <t>1</t>
        </is>
      </c>
      <c r="H1174" t="inlineStr">
        <is>
          <t>No</t>
        </is>
      </c>
      <c r="I1174" t="inlineStr">
        <is>
          <t>No</t>
        </is>
      </c>
      <c r="J1174" t="inlineStr">
        <is>
          <t>0</t>
        </is>
      </c>
      <c r="K1174" t="inlineStr">
        <is>
          <t>Hefling, Charles, 1949-</t>
        </is>
      </c>
      <c r="L1174" t="inlineStr">
        <is>
          <t>[Cambridge, Mass.] : Cowley, c1984.</t>
        </is>
      </c>
      <c r="M1174" t="inlineStr">
        <is>
          <t>1984</t>
        </is>
      </c>
      <c r="O1174" t="inlineStr">
        <is>
          <t>eng</t>
        </is>
      </c>
      <c r="P1174" t="inlineStr">
        <is>
          <t>mau</t>
        </is>
      </c>
      <c r="R1174" t="inlineStr">
        <is>
          <t xml:space="preserve">BT </t>
        </is>
      </c>
      <c r="S1174" t="n">
        <v>4</v>
      </c>
      <c r="T1174" t="n">
        <v>4</v>
      </c>
      <c r="U1174" t="inlineStr">
        <is>
          <t>1999-09-10</t>
        </is>
      </c>
      <c r="V1174" t="inlineStr">
        <is>
          <t>1999-09-10</t>
        </is>
      </c>
      <c r="W1174" t="inlineStr">
        <is>
          <t>1991-06-21</t>
        </is>
      </c>
      <c r="X1174" t="inlineStr">
        <is>
          <t>1991-06-21</t>
        </is>
      </c>
      <c r="Y1174" t="n">
        <v>142</v>
      </c>
      <c r="Z1174" t="n">
        <v>124</v>
      </c>
      <c r="AA1174" t="n">
        <v>127</v>
      </c>
      <c r="AB1174" t="n">
        <v>2</v>
      </c>
      <c r="AC1174" t="n">
        <v>2</v>
      </c>
      <c r="AD1174" t="n">
        <v>13</v>
      </c>
      <c r="AE1174" t="n">
        <v>14</v>
      </c>
      <c r="AF1174" t="n">
        <v>2</v>
      </c>
      <c r="AG1174" t="n">
        <v>2</v>
      </c>
      <c r="AH1174" t="n">
        <v>2</v>
      </c>
      <c r="AI1174" t="n">
        <v>3</v>
      </c>
      <c r="AJ1174" t="n">
        <v>10</v>
      </c>
      <c r="AK1174" t="n">
        <v>11</v>
      </c>
      <c r="AL1174" t="n">
        <v>1</v>
      </c>
      <c r="AM1174" t="n">
        <v>1</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HYPERLINK("https://creighton-primo.hosted.exlibrisgroup.com/primo-explore/search?tab=default_tab&amp;search_scope=EVERYTHING&amp;vid=01CRU&amp;lang=en_US&amp;offset=0&amp;query=any,contains,991000508219702656","Catalog Record")</f>
        <v/>
      </c>
      <c r="AT1174">
        <f>HYPERLINK("http://www.worldcat.org/oclc/11228495","WorldCat Record")</f>
        <v/>
      </c>
      <c r="AU1174" t="inlineStr">
        <is>
          <t>4014523:eng</t>
        </is>
      </c>
      <c r="AV1174" t="inlineStr">
        <is>
          <t>11228495</t>
        </is>
      </c>
      <c r="AW1174" t="inlineStr">
        <is>
          <t>991000508219702656</t>
        </is>
      </c>
      <c r="AX1174" t="inlineStr">
        <is>
          <t>991000508219702656</t>
        </is>
      </c>
      <c r="AY1174" t="inlineStr">
        <is>
          <t>2263316950002656</t>
        </is>
      </c>
      <c r="AZ1174" t="inlineStr">
        <is>
          <t>BOOK</t>
        </is>
      </c>
      <c r="BB1174" t="inlineStr">
        <is>
          <t>9780936384092</t>
        </is>
      </c>
      <c r="BC1174" t="inlineStr">
        <is>
          <t>32285000688233</t>
        </is>
      </c>
      <c r="BD1174" t="inlineStr">
        <is>
          <t>893771693</t>
        </is>
      </c>
    </row>
    <row r="1175">
      <c r="A1175" t="inlineStr">
        <is>
          <t>No</t>
        </is>
      </c>
      <c r="B1175" t="inlineStr">
        <is>
          <t>BT77 .J38</t>
        </is>
      </c>
      <c r="C1175" t="inlineStr">
        <is>
          <t>0                      BT 0077000J  38</t>
        </is>
      </c>
      <c r="D1175" t="inlineStr">
        <is>
          <t>Story and promise; a brief theology of the gospel about Jesus / by Robert W. Jenson.</t>
        </is>
      </c>
      <c r="F1175" t="inlineStr">
        <is>
          <t>No</t>
        </is>
      </c>
      <c r="G1175" t="inlineStr">
        <is>
          <t>1</t>
        </is>
      </c>
      <c r="H1175" t="inlineStr">
        <is>
          <t>No</t>
        </is>
      </c>
      <c r="I1175" t="inlineStr">
        <is>
          <t>No</t>
        </is>
      </c>
      <c r="J1175" t="inlineStr">
        <is>
          <t>0</t>
        </is>
      </c>
      <c r="K1175" t="inlineStr">
        <is>
          <t>Jenson, Robert W.</t>
        </is>
      </c>
      <c r="L1175" t="inlineStr">
        <is>
          <t>Philadelphia, Fortress Press [1973]</t>
        </is>
      </c>
      <c r="M1175" t="inlineStr">
        <is>
          <t>1973</t>
        </is>
      </c>
      <c r="O1175" t="inlineStr">
        <is>
          <t>eng</t>
        </is>
      </c>
      <c r="P1175" t="inlineStr">
        <is>
          <t>pau</t>
        </is>
      </c>
      <c r="R1175" t="inlineStr">
        <is>
          <t xml:space="preserve">BT </t>
        </is>
      </c>
      <c r="S1175" t="n">
        <v>3</v>
      </c>
      <c r="T1175" t="n">
        <v>3</v>
      </c>
      <c r="U1175" t="inlineStr">
        <is>
          <t>2004-08-11</t>
        </is>
      </c>
      <c r="V1175" t="inlineStr">
        <is>
          <t>2004-08-11</t>
        </is>
      </c>
      <c r="W1175" t="inlineStr">
        <is>
          <t>1991-06-21</t>
        </is>
      </c>
      <c r="X1175" t="inlineStr">
        <is>
          <t>1991-06-21</t>
        </is>
      </c>
      <c r="Y1175" t="n">
        <v>229</v>
      </c>
      <c r="Z1175" t="n">
        <v>188</v>
      </c>
      <c r="AA1175" t="n">
        <v>218</v>
      </c>
      <c r="AB1175" t="n">
        <v>4</v>
      </c>
      <c r="AC1175" t="n">
        <v>4</v>
      </c>
      <c r="AD1175" t="n">
        <v>12</v>
      </c>
      <c r="AE1175" t="n">
        <v>15</v>
      </c>
      <c r="AF1175" t="n">
        <v>4</v>
      </c>
      <c r="AG1175" t="n">
        <v>7</v>
      </c>
      <c r="AH1175" t="n">
        <v>2</v>
      </c>
      <c r="AI1175" t="n">
        <v>3</v>
      </c>
      <c r="AJ1175" t="n">
        <v>5</v>
      </c>
      <c r="AK1175" t="n">
        <v>5</v>
      </c>
      <c r="AL1175" t="n">
        <v>2</v>
      </c>
      <c r="AM1175" t="n">
        <v>2</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HYPERLINK("https://creighton-primo.hosted.exlibrisgroup.com/primo-explore/search?tab=default_tab&amp;search_scope=EVERYTHING&amp;vid=01CRU&amp;lang=en_US&amp;offset=0&amp;query=any,contains,991003027189702656","Catalog Record")</f>
        <v/>
      </c>
      <c r="AT1175">
        <f>HYPERLINK("http://www.worldcat.org/oclc/590882","WorldCat Record")</f>
        <v/>
      </c>
      <c r="AU1175" t="inlineStr">
        <is>
          <t>1779002:eng</t>
        </is>
      </c>
      <c r="AV1175" t="inlineStr">
        <is>
          <t>590882</t>
        </is>
      </c>
      <c r="AW1175" t="inlineStr">
        <is>
          <t>991003027189702656</t>
        </is>
      </c>
      <c r="AX1175" t="inlineStr">
        <is>
          <t>991003027189702656</t>
        </is>
      </c>
      <c r="AY1175" t="inlineStr">
        <is>
          <t>2263075550002656</t>
        </is>
      </c>
      <c r="AZ1175" t="inlineStr">
        <is>
          <t>BOOK</t>
        </is>
      </c>
      <c r="BB1175" t="inlineStr">
        <is>
          <t>9780800601430</t>
        </is>
      </c>
      <c r="BC1175" t="inlineStr">
        <is>
          <t>32285000688266</t>
        </is>
      </c>
      <c r="BD1175" t="inlineStr">
        <is>
          <t>893434580</t>
        </is>
      </c>
    </row>
    <row r="1176">
      <c r="A1176" t="inlineStr">
        <is>
          <t>No</t>
        </is>
      </c>
      <c r="B1176" t="inlineStr">
        <is>
          <t>BT77 .K26</t>
        </is>
      </c>
      <c r="C1176" t="inlineStr">
        <is>
          <t>0                      BT 0077000K  26</t>
        </is>
      </c>
      <c r="D1176" t="inlineStr">
        <is>
          <t>Man in search of God / by James J. Kavanaugh.</t>
        </is>
      </c>
      <c r="F1176" t="inlineStr">
        <is>
          <t>No</t>
        </is>
      </c>
      <c r="G1176" t="inlineStr">
        <is>
          <t>1</t>
        </is>
      </c>
      <c r="H1176" t="inlineStr">
        <is>
          <t>No</t>
        </is>
      </c>
      <c r="I1176" t="inlineStr">
        <is>
          <t>No</t>
        </is>
      </c>
      <c r="J1176" t="inlineStr">
        <is>
          <t>0</t>
        </is>
      </c>
      <c r="K1176" t="inlineStr">
        <is>
          <t>Kavanaugh, James J., 1928-2009.</t>
        </is>
      </c>
      <c r="L1176" t="inlineStr">
        <is>
          <t>New York : Paulist Press, [1967]</t>
        </is>
      </c>
      <c r="M1176" t="inlineStr">
        <is>
          <t>1967</t>
        </is>
      </c>
      <c r="O1176" t="inlineStr">
        <is>
          <t>eng</t>
        </is>
      </c>
      <c r="P1176" t="inlineStr">
        <is>
          <t>nyu</t>
        </is>
      </c>
      <c r="Q1176" t="inlineStr">
        <is>
          <t>Deus books</t>
        </is>
      </c>
      <c r="R1176" t="inlineStr">
        <is>
          <t xml:space="preserve">BT </t>
        </is>
      </c>
      <c r="S1176" t="n">
        <v>2</v>
      </c>
      <c r="T1176" t="n">
        <v>2</v>
      </c>
      <c r="U1176" t="inlineStr">
        <is>
          <t>1994-04-19</t>
        </is>
      </c>
      <c r="V1176" t="inlineStr">
        <is>
          <t>1994-04-19</t>
        </is>
      </c>
      <c r="W1176" t="inlineStr">
        <is>
          <t>1991-06-21</t>
        </is>
      </c>
      <c r="X1176" t="inlineStr">
        <is>
          <t>1991-06-21</t>
        </is>
      </c>
      <c r="Y1176" t="n">
        <v>97</v>
      </c>
      <c r="Z1176" t="n">
        <v>93</v>
      </c>
      <c r="AA1176" t="n">
        <v>93</v>
      </c>
      <c r="AB1176" t="n">
        <v>2</v>
      </c>
      <c r="AC1176" t="n">
        <v>2</v>
      </c>
      <c r="AD1176" t="n">
        <v>10</v>
      </c>
      <c r="AE1176" t="n">
        <v>10</v>
      </c>
      <c r="AF1176" t="n">
        <v>2</v>
      </c>
      <c r="AG1176" t="n">
        <v>2</v>
      </c>
      <c r="AH1176" t="n">
        <v>2</v>
      </c>
      <c r="AI1176" t="n">
        <v>2</v>
      </c>
      <c r="AJ1176" t="n">
        <v>8</v>
      </c>
      <c r="AK1176" t="n">
        <v>8</v>
      </c>
      <c r="AL1176" t="n">
        <v>1</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HYPERLINK("https://creighton-primo.hosted.exlibrisgroup.com/primo-explore/search?tab=default_tab&amp;search_scope=EVERYTHING&amp;vid=01CRU&amp;lang=en_US&amp;offset=0&amp;query=any,contains,991003471469702656","Catalog Record")</f>
        <v/>
      </c>
      <c r="AT1176">
        <f>HYPERLINK("http://www.worldcat.org/oclc/1014274","WorldCat Record")</f>
        <v/>
      </c>
      <c r="AU1176" t="inlineStr">
        <is>
          <t>1937911:eng</t>
        </is>
      </c>
      <c r="AV1176" t="inlineStr">
        <is>
          <t>1014274</t>
        </is>
      </c>
      <c r="AW1176" t="inlineStr">
        <is>
          <t>991003471469702656</t>
        </is>
      </c>
      <c r="AX1176" t="inlineStr">
        <is>
          <t>991003471469702656</t>
        </is>
      </c>
      <c r="AY1176" t="inlineStr">
        <is>
          <t>2256945320002656</t>
        </is>
      </c>
      <c r="AZ1176" t="inlineStr">
        <is>
          <t>BOOK</t>
        </is>
      </c>
      <c r="BC1176" t="inlineStr">
        <is>
          <t>32285000688274</t>
        </is>
      </c>
      <c r="BD1176" t="inlineStr">
        <is>
          <t>893336518</t>
        </is>
      </c>
    </row>
    <row r="1177">
      <c r="A1177" t="inlineStr">
        <is>
          <t>No</t>
        </is>
      </c>
      <c r="B1177" t="inlineStr">
        <is>
          <t>BT77 .M155 1966</t>
        </is>
      </c>
      <c r="C1177" t="inlineStr">
        <is>
          <t>0                      BT 0077000M  155         1966</t>
        </is>
      </c>
      <c r="D1177" t="inlineStr">
        <is>
          <t>The grace of God, the response of man; a study in basic theology / [by] J. P. Mackey.</t>
        </is>
      </c>
      <c r="F1177" t="inlineStr">
        <is>
          <t>No</t>
        </is>
      </c>
      <c r="G1177" t="inlineStr">
        <is>
          <t>1</t>
        </is>
      </c>
      <c r="H1177" t="inlineStr">
        <is>
          <t>No</t>
        </is>
      </c>
      <c r="I1177" t="inlineStr">
        <is>
          <t>No</t>
        </is>
      </c>
      <c r="J1177" t="inlineStr">
        <is>
          <t>0</t>
        </is>
      </c>
      <c r="K1177" t="inlineStr">
        <is>
          <t>Mackey, James P. (James Patrick), 1934-</t>
        </is>
      </c>
      <c r="L1177" t="inlineStr">
        <is>
          <t>Albany, Magi Books [c1966]</t>
        </is>
      </c>
      <c r="M1177" t="inlineStr">
        <is>
          <t>1966</t>
        </is>
      </c>
      <c r="O1177" t="inlineStr">
        <is>
          <t>eng</t>
        </is>
      </c>
      <c r="P1177" t="inlineStr">
        <is>
          <t>nyu</t>
        </is>
      </c>
      <c r="R1177" t="inlineStr">
        <is>
          <t xml:space="preserve">BT </t>
        </is>
      </c>
      <c r="S1177" t="n">
        <v>5</v>
      </c>
      <c r="T1177" t="n">
        <v>5</v>
      </c>
      <c r="U1177" t="inlineStr">
        <is>
          <t>1996-08-23</t>
        </is>
      </c>
      <c r="V1177" t="inlineStr">
        <is>
          <t>1996-08-23</t>
        </is>
      </c>
      <c r="W1177" t="inlineStr">
        <is>
          <t>1991-06-21</t>
        </is>
      </c>
      <c r="X1177" t="inlineStr">
        <is>
          <t>1991-06-21</t>
        </is>
      </c>
      <c r="Y1177" t="n">
        <v>182</v>
      </c>
      <c r="Z1177" t="n">
        <v>160</v>
      </c>
      <c r="AA1177" t="n">
        <v>162</v>
      </c>
      <c r="AB1177" t="n">
        <v>3</v>
      </c>
      <c r="AC1177" t="n">
        <v>3</v>
      </c>
      <c r="AD1177" t="n">
        <v>25</v>
      </c>
      <c r="AE1177" t="n">
        <v>25</v>
      </c>
      <c r="AF1177" t="n">
        <v>6</v>
      </c>
      <c r="AG1177" t="n">
        <v>6</v>
      </c>
      <c r="AH1177" t="n">
        <v>7</v>
      </c>
      <c r="AI1177" t="n">
        <v>7</v>
      </c>
      <c r="AJ1177" t="n">
        <v>19</v>
      </c>
      <c r="AK1177" t="n">
        <v>19</v>
      </c>
      <c r="AL1177" t="n">
        <v>1</v>
      </c>
      <c r="AM1177" t="n">
        <v>1</v>
      </c>
      <c r="AN1177" t="n">
        <v>0</v>
      </c>
      <c r="AO1177" t="n">
        <v>0</v>
      </c>
      <c r="AP1177" t="inlineStr">
        <is>
          <t>No</t>
        </is>
      </c>
      <c r="AQ1177" t="inlineStr">
        <is>
          <t>Yes</t>
        </is>
      </c>
      <c r="AR1177">
        <f>HYPERLINK("http://catalog.hathitrust.org/Record/001411682","HathiTrust Record")</f>
        <v/>
      </c>
      <c r="AS1177">
        <f>HYPERLINK("https://creighton-primo.hosted.exlibrisgroup.com/primo-explore/search?tab=default_tab&amp;search_scope=EVERYTHING&amp;vid=01CRU&amp;lang=en_US&amp;offset=0&amp;query=any,contains,991003611079702656","Catalog Record")</f>
        <v/>
      </c>
      <c r="AT1177">
        <f>HYPERLINK("http://www.worldcat.org/oclc/1193844","WorldCat Record")</f>
        <v/>
      </c>
      <c r="AU1177" t="inlineStr">
        <is>
          <t>195474192:eng</t>
        </is>
      </c>
      <c r="AV1177" t="inlineStr">
        <is>
          <t>1193844</t>
        </is>
      </c>
      <c r="AW1177" t="inlineStr">
        <is>
          <t>991003611079702656</t>
        </is>
      </c>
      <c r="AX1177" t="inlineStr">
        <is>
          <t>991003611079702656</t>
        </is>
      </c>
      <c r="AY1177" t="inlineStr">
        <is>
          <t>2261236430002656</t>
        </is>
      </c>
      <c r="AZ1177" t="inlineStr">
        <is>
          <t>BOOK</t>
        </is>
      </c>
      <c r="BC1177" t="inlineStr">
        <is>
          <t>32285000688282</t>
        </is>
      </c>
      <c r="BD1177" t="inlineStr">
        <is>
          <t>893336702</t>
        </is>
      </c>
    </row>
    <row r="1178">
      <c r="A1178" t="inlineStr">
        <is>
          <t>No</t>
        </is>
      </c>
      <c r="B1178" t="inlineStr">
        <is>
          <t>BT77 .M166</t>
        </is>
      </c>
      <c r="C1178" t="inlineStr">
        <is>
          <t>0                      BT 0077000M  166</t>
        </is>
      </c>
      <c r="D1178" t="inlineStr">
        <is>
          <t>The faith of the people of God; a lay theology / John Macquarrie.</t>
        </is>
      </c>
      <c r="F1178" t="inlineStr">
        <is>
          <t>No</t>
        </is>
      </c>
      <c r="G1178" t="inlineStr">
        <is>
          <t>1</t>
        </is>
      </c>
      <c r="H1178" t="inlineStr">
        <is>
          <t>No</t>
        </is>
      </c>
      <c r="I1178" t="inlineStr">
        <is>
          <t>No</t>
        </is>
      </c>
      <c r="J1178" t="inlineStr">
        <is>
          <t>0</t>
        </is>
      </c>
      <c r="K1178" t="inlineStr">
        <is>
          <t>Macquarrie, John.</t>
        </is>
      </c>
      <c r="L1178" t="inlineStr">
        <is>
          <t>New York, Scribner [1972]</t>
        </is>
      </c>
      <c r="M1178" t="inlineStr">
        <is>
          <t>1972</t>
        </is>
      </c>
      <c r="O1178" t="inlineStr">
        <is>
          <t>eng</t>
        </is>
      </c>
      <c r="P1178" t="inlineStr">
        <is>
          <t>nyu</t>
        </is>
      </c>
      <c r="R1178" t="inlineStr">
        <is>
          <t xml:space="preserve">BT </t>
        </is>
      </c>
      <c r="S1178" t="n">
        <v>3</v>
      </c>
      <c r="T1178" t="n">
        <v>3</v>
      </c>
      <c r="U1178" t="inlineStr">
        <is>
          <t>1996-08-23</t>
        </is>
      </c>
      <c r="V1178" t="inlineStr">
        <is>
          <t>1996-08-23</t>
        </is>
      </c>
      <c r="W1178" t="inlineStr">
        <is>
          <t>1990-02-19</t>
        </is>
      </c>
      <c r="X1178" t="inlineStr">
        <is>
          <t>1990-02-19</t>
        </is>
      </c>
      <c r="Y1178" t="n">
        <v>470</v>
      </c>
      <c r="Z1178" t="n">
        <v>435</v>
      </c>
      <c r="AA1178" t="n">
        <v>471</v>
      </c>
      <c r="AB1178" t="n">
        <v>4</v>
      </c>
      <c r="AC1178" t="n">
        <v>4</v>
      </c>
      <c r="AD1178" t="n">
        <v>31</v>
      </c>
      <c r="AE1178" t="n">
        <v>33</v>
      </c>
      <c r="AF1178" t="n">
        <v>8</v>
      </c>
      <c r="AG1178" t="n">
        <v>9</v>
      </c>
      <c r="AH1178" t="n">
        <v>8</v>
      </c>
      <c r="AI1178" t="n">
        <v>8</v>
      </c>
      <c r="AJ1178" t="n">
        <v>21</v>
      </c>
      <c r="AK1178" t="n">
        <v>23</v>
      </c>
      <c r="AL1178" t="n">
        <v>3</v>
      </c>
      <c r="AM1178" t="n">
        <v>3</v>
      </c>
      <c r="AN1178" t="n">
        <v>0</v>
      </c>
      <c r="AO1178" t="n">
        <v>0</v>
      </c>
      <c r="AP1178" t="inlineStr">
        <is>
          <t>No</t>
        </is>
      </c>
      <c r="AQ1178" t="inlineStr">
        <is>
          <t>Yes</t>
        </is>
      </c>
      <c r="AR1178">
        <f>HYPERLINK("http://catalog.hathitrust.org/Record/001411684","HathiTrust Record")</f>
        <v/>
      </c>
      <c r="AS1178">
        <f>HYPERLINK("https://creighton-primo.hosted.exlibrisgroup.com/primo-explore/search?tab=default_tab&amp;search_scope=EVERYTHING&amp;vid=01CRU&amp;lang=en_US&amp;offset=0&amp;query=any,contains,991002896199702656","Catalog Record")</f>
        <v/>
      </c>
      <c r="AT1178">
        <f>HYPERLINK("http://www.worldcat.org/oclc/514460","WorldCat Record")</f>
        <v/>
      </c>
      <c r="AU1178" t="inlineStr">
        <is>
          <t>1486846:eng</t>
        </is>
      </c>
      <c r="AV1178" t="inlineStr">
        <is>
          <t>514460</t>
        </is>
      </c>
      <c r="AW1178" t="inlineStr">
        <is>
          <t>991002896199702656</t>
        </is>
      </c>
      <c r="AX1178" t="inlineStr">
        <is>
          <t>991002896199702656</t>
        </is>
      </c>
      <c r="AY1178" t="inlineStr">
        <is>
          <t>2261970920002656</t>
        </is>
      </c>
      <c r="AZ1178" t="inlineStr">
        <is>
          <t>BOOK</t>
        </is>
      </c>
      <c r="BB1178" t="inlineStr">
        <is>
          <t>9780684129426</t>
        </is>
      </c>
      <c r="BC1178" t="inlineStr">
        <is>
          <t>32285000054683</t>
        </is>
      </c>
      <c r="BD1178" t="inlineStr">
        <is>
          <t>893627359</t>
        </is>
      </c>
    </row>
    <row r="1179">
      <c r="A1179" t="inlineStr">
        <is>
          <t>No</t>
        </is>
      </c>
      <c r="B1179" t="inlineStr">
        <is>
          <t>BT77 .S54 1996</t>
        </is>
      </c>
      <c r="C1179" t="inlineStr">
        <is>
          <t>0                      BT 0077000S  54          1996</t>
        </is>
      </c>
      <c r="D1179" t="inlineStr">
        <is>
          <t>An introduction to Christian belief : a contemporary look at the basics of faith / Robert B. Sheard.</t>
        </is>
      </c>
      <c r="F1179" t="inlineStr">
        <is>
          <t>No</t>
        </is>
      </c>
      <c r="G1179" t="inlineStr">
        <is>
          <t>1</t>
        </is>
      </c>
      <c r="H1179" t="inlineStr">
        <is>
          <t>No</t>
        </is>
      </c>
      <c r="I1179" t="inlineStr">
        <is>
          <t>No</t>
        </is>
      </c>
      <c r="J1179" t="inlineStr">
        <is>
          <t>0</t>
        </is>
      </c>
      <c r="K1179" t="inlineStr">
        <is>
          <t>Sheard, Robert B.</t>
        </is>
      </c>
      <c r="L1179" t="inlineStr">
        <is>
          <t>Mystic, CT : Twenty-Third Publications, c1996.</t>
        </is>
      </c>
      <c r="M1179" t="inlineStr">
        <is>
          <t>1996</t>
        </is>
      </c>
      <c r="O1179" t="inlineStr">
        <is>
          <t>eng</t>
        </is>
      </c>
      <c r="P1179" t="inlineStr">
        <is>
          <t>ctu</t>
        </is>
      </c>
      <c r="R1179" t="inlineStr">
        <is>
          <t xml:space="preserve">BT </t>
        </is>
      </c>
      <c r="S1179" t="n">
        <v>8</v>
      </c>
      <c r="T1179" t="n">
        <v>8</v>
      </c>
      <c r="U1179" t="inlineStr">
        <is>
          <t>2002-07-02</t>
        </is>
      </c>
      <c r="V1179" t="inlineStr">
        <is>
          <t>2002-07-02</t>
        </is>
      </c>
      <c r="W1179" t="inlineStr">
        <is>
          <t>1997-03-13</t>
        </is>
      </c>
      <c r="X1179" t="inlineStr">
        <is>
          <t>1997-03-13</t>
        </is>
      </c>
      <c r="Y1179" t="n">
        <v>85</v>
      </c>
      <c r="Z1179" t="n">
        <v>71</v>
      </c>
      <c r="AA1179" t="n">
        <v>71</v>
      </c>
      <c r="AB1179" t="n">
        <v>1</v>
      </c>
      <c r="AC1179" t="n">
        <v>1</v>
      </c>
      <c r="AD1179" t="n">
        <v>10</v>
      </c>
      <c r="AE1179" t="n">
        <v>10</v>
      </c>
      <c r="AF1179" t="n">
        <v>3</v>
      </c>
      <c r="AG1179" t="n">
        <v>3</v>
      </c>
      <c r="AH1179" t="n">
        <v>3</v>
      </c>
      <c r="AI1179" t="n">
        <v>3</v>
      </c>
      <c r="AJ1179" t="n">
        <v>5</v>
      </c>
      <c r="AK1179" t="n">
        <v>5</v>
      </c>
      <c r="AL1179" t="n">
        <v>0</v>
      </c>
      <c r="AM1179" t="n">
        <v>0</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HYPERLINK("https://creighton-primo.hosted.exlibrisgroup.com/primo-explore/search?tab=default_tab&amp;search_scope=EVERYTHING&amp;vid=01CRU&amp;lang=en_US&amp;offset=0&amp;query=any,contains,991002764749702656","Catalog Record")</f>
        <v/>
      </c>
      <c r="AT1179">
        <f>HYPERLINK("http://www.worldcat.org/oclc/36281481","WorldCat Record")</f>
        <v/>
      </c>
      <c r="AU1179" t="inlineStr">
        <is>
          <t>1365420774:eng</t>
        </is>
      </c>
      <c r="AV1179" t="inlineStr">
        <is>
          <t>36281481</t>
        </is>
      </c>
      <c r="AW1179" t="inlineStr">
        <is>
          <t>991002764749702656</t>
        </is>
      </c>
      <c r="AX1179" t="inlineStr">
        <is>
          <t>991002764749702656</t>
        </is>
      </c>
      <c r="AY1179" t="inlineStr">
        <is>
          <t>2256766960002656</t>
        </is>
      </c>
      <c r="AZ1179" t="inlineStr">
        <is>
          <t>BOOK</t>
        </is>
      </c>
      <c r="BB1179" t="inlineStr">
        <is>
          <t>9780896227071</t>
        </is>
      </c>
      <c r="BC1179" t="inlineStr">
        <is>
          <t>32285002442522</t>
        </is>
      </c>
      <c r="BD1179" t="inlineStr">
        <is>
          <t>893798995</t>
        </is>
      </c>
    </row>
    <row r="1180">
      <c r="A1180" t="inlineStr">
        <is>
          <t>No</t>
        </is>
      </c>
      <c r="B1180" t="inlineStr">
        <is>
          <t>BT77 .T53 1982</t>
        </is>
      </c>
      <c r="C1180" t="inlineStr">
        <is>
          <t>0                      BT 0077000T  53          1982</t>
        </is>
      </c>
      <c r="D1180" t="inlineStr">
        <is>
          <t>Our faith, basic Christian belief / Max Thurian ; translated by Emily Chisholm.</t>
        </is>
      </c>
      <c r="F1180" t="inlineStr">
        <is>
          <t>No</t>
        </is>
      </c>
      <c r="G1180" t="inlineStr">
        <is>
          <t>1</t>
        </is>
      </c>
      <c r="H1180" t="inlineStr">
        <is>
          <t>No</t>
        </is>
      </c>
      <c r="I1180" t="inlineStr">
        <is>
          <t>No</t>
        </is>
      </c>
      <c r="J1180" t="inlineStr">
        <is>
          <t>0</t>
        </is>
      </c>
      <c r="K1180" t="inlineStr">
        <is>
          <t>Thurian, Max.</t>
        </is>
      </c>
      <c r="L1180" t="inlineStr">
        <is>
          <t>New York : Crossroad, 1982, c1978.</t>
        </is>
      </c>
      <c r="M1180" t="inlineStr">
        <is>
          <t>1982</t>
        </is>
      </c>
      <c r="O1180" t="inlineStr">
        <is>
          <t>eng</t>
        </is>
      </c>
      <c r="P1180" t="inlineStr">
        <is>
          <t>nyu</t>
        </is>
      </c>
      <c r="R1180" t="inlineStr">
        <is>
          <t xml:space="preserve">BT </t>
        </is>
      </c>
      <c r="S1180" t="n">
        <v>3</v>
      </c>
      <c r="T1180" t="n">
        <v>3</v>
      </c>
      <c r="U1180" t="inlineStr">
        <is>
          <t>1999-12-11</t>
        </is>
      </c>
      <c r="V1180" t="inlineStr">
        <is>
          <t>1999-12-11</t>
        </is>
      </c>
      <c r="W1180" t="inlineStr">
        <is>
          <t>1991-06-21</t>
        </is>
      </c>
      <c r="X1180" t="inlineStr">
        <is>
          <t>1991-06-21</t>
        </is>
      </c>
      <c r="Y1180" t="n">
        <v>204</v>
      </c>
      <c r="Z1180" t="n">
        <v>181</v>
      </c>
      <c r="AA1180" t="n">
        <v>182</v>
      </c>
      <c r="AB1180" t="n">
        <v>1</v>
      </c>
      <c r="AC1180" t="n">
        <v>1</v>
      </c>
      <c r="AD1180" t="n">
        <v>14</v>
      </c>
      <c r="AE1180" t="n">
        <v>14</v>
      </c>
      <c r="AF1180" t="n">
        <v>5</v>
      </c>
      <c r="AG1180" t="n">
        <v>5</v>
      </c>
      <c r="AH1180" t="n">
        <v>4</v>
      </c>
      <c r="AI1180" t="n">
        <v>4</v>
      </c>
      <c r="AJ1180" t="n">
        <v>9</v>
      </c>
      <c r="AK1180" t="n">
        <v>9</v>
      </c>
      <c r="AL1180" t="n">
        <v>0</v>
      </c>
      <c r="AM1180" t="n">
        <v>0</v>
      </c>
      <c r="AN1180" t="n">
        <v>0</v>
      </c>
      <c r="AO1180" t="n">
        <v>0</v>
      </c>
      <c r="AP1180" t="inlineStr">
        <is>
          <t>No</t>
        </is>
      </c>
      <c r="AQ1180" t="inlineStr">
        <is>
          <t>Yes</t>
        </is>
      </c>
      <c r="AR1180">
        <f>HYPERLINK("http://catalog.hathitrust.org/Record/000283310","HathiTrust Record")</f>
        <v/>
      </c>
      <c r="AS1180">
        <f>HYPERLINK("https://creighton-primo.hosted.exlibrisgroup.com/primo-explore/search?tab=default_tab&amp;search_scope=EVERYTHING&amp;vid=01CRU&amp;lang=en_US&amp;offset=0&amp;query=any,contains,991000014689702656","Catalog Record")</f>
        <v/>
      </c>
      <c r="AT1180">
        <f>HYPERLINK("http://www.worldcat.org/oclc/8552342","WorldCat Record")</f>
        <v/>
      </c>
      <c r="AU1180" t="inlineStr">
        <is>
          <t>8912602693:eng</t>
        </is>
      </c>
      <c r="AV1180" t="inlineStr">
        <is>
          <t>8552342</t>
        </is>
      </c>
      <c r="AW1180" t="inlineStr">
        <is>
          <t>991000014689702656</t>
        </is>
      </c>
      <c r="AX1180" t="inlineStr">
        <is>
          <t>991000014689702656</t>
        </is>
      </c>
      <c r="AY1180" t="inlineStr">
        <is>
          <t>2259528470002656</t>
        </is>
      </c>
      <c r="AZ1180" t="inlineStr">
        <is>
          <t>BOOK</t>
        </is>
      </c>
      <c r="BB1180" t="inlineStr">
        <is>
          <t>9780824505479</t>
        </is>
      </c>
      <c r="BC1180" t="inlineStr">
        <is>
          <t>32285000688316</t>
        </is>
      </c>
      <c r="BD1180" t="inlineStr">
        <is>
          <t>893701756</t>
        </is>
      </c>
    </row>
    <row r="1181">
      <c r="A1181" t="inlineStr">
        <is>
          <t>No</t>
        </is>
      </c>
      <c r="B1181" t="inlineStr">
        <is>
          <t>BT77.3 .H947 1894</t>
        </is>
      </c>
      <c r="C1181" t="inlineStr">
        <is>
          <t>0                      BT 0077300H  947         1894</t>
        </is>
      </c>
      <c r="D1181" t="inlineStr">
        <is>
          <t>Outlines of dogmatic theology / by Slyvester Joseph Hunter.</t>
        </is>
      </c>
      <c r="E1181" t="inlineStr">
        <is>
          <t>V.1</t>
        </is>
      </c>
      <c r="F1181" t="inlineStr">
        <is>
          <t>Yes</t>
        </is>
      </c>
      <c r="G1181" t="inlineStr">
        <is>
          <t>1</t>
        </is>
      </c>
      <c r="H1181" t="inlineStr">
        <is>
          <t>No</t>
        </is>
      </c>
      <c r="I1181" t="inlineStr">
        <is>
          <t>No</t>
        </is>
      </c>
      <c r="J1181" t="inlineStr">
        <is>
          <t>0</t>
        </is>
      </c>
      <c r="K1181" t="inlineStr">
        <is>
          <t>Hunter, Sylvester Joseph, 1829-1896.</t>
        </is>
      </c>
      <c r="L1181" t="inlineStr">
        <is>
          <t>New York, Benzinger, 1894.</t>
        </is>
      </c>
      <c r="M1181" t="inlineStr">
        <is>
          <t>1894</t>
        </is>
      </c>
      <c r="O1181" t="inlineStr">
        <is>
          <t>eng</t>
        </is>
      </c>
      <c r="P1181" t="inlineStr">
        <is>
          <t>___</t>
        </is>
      </c>
      <c r="R1181" t="inlineStr">
        <is>
          <t xml:space="preserve">BT </t>
        </is>
      </c>
      <c r="S1181" t="n">
        <v>1</v>
      </c>
      <c r="T1181" t="n">
        <v>6</v>
      </c>
      <c r="U1181" t="inlineStr">
        <is>
          <t>1993-04-28</t>
        </is>
      </c>
      <c r="V1181" t="inlineStr">
        <is>
          <t>2005-09-12</t>
        </is>
      </c>
      <c r="W1181" t="inlineStr">
        <is>
          <t>1991-06-21</t>
        </is>
      </c>
      <c r="X1181" t="inlineStr">
        <is>
          <t>1991-06-21</t>
        </is>
      </c>
      <c r="Y1181" t="n">
        <v>58</v>
      </c>
      <c r="Z1181" t="n">
        <v>57</v>
      </c>
      <c r="AA1181" t="n">
        <v>105</v>
      </c>
      <c r="AB1181" t="n">
        <v>1</v>
      </c>
      <c r="AC1181" t="n">
        <v>3</v>
      </c>
      <c r="AD1181" t="n">
        <v>14</v>
      </c>
      <c r="AE1181" t="n">
        <v>17</v>
      </c>
      <c r="AF1181" t="n">
        <v>2</v>
      </c>
      <c r="AG1181" t="n">
        <v>3</v>
      </c>
      <c r="AH1181" t="n">
        <v>5</v>
      </c>
      <c r="AI1181" t="n">
        <v>5</v>
      </c>
      <c r="AJ1181" t="n">
        <v>10</v>
      </c>
      <c r="AK1181" t="n">
        <v>11</v>
      </c>
      <c r="AL1181" t="n">
        <v>0</v>
      </c>
      <c r="AM1181" t="n">
        <v>1</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HYPERLINK("https://creighton-primo.hosted.exlibrisgroup.com/primo-explore/search?tab=default_tab&amp;search_scope=EVERYTHING&amp;vid=01CRU&amp;lang=en_US&amp;offset=0&amp;query=any,contains,991003124219702656","Catalog Record")</f>
        <v/>
      </c>
      <c r="AT1181">
        <f>HYPERLINK("http://www.worldcat.org/oclc/669312","WorldCat Record")</f>
        <v/>
      </c>
      <c r="AU1181" t="inlineStr">
        <is>
          <t>3373481571:eng</t>
        </is>
      </c>
      <c r="AV1181" t="inlineStr">
        <is>
          <t>669312</t>
        </is>
      </c>
      <c r="AW1181" t="inlineStr">
        <is>
          <t>991003124219702656</t>
        </is>
      </c>
      <c r="AX1181" t="inlineStr">
        <is>
          <t>991003124219702656</t>
        </is>
      </c>
      <c r="AY1181" t="inlineStr">
        <is>
          <t>2254792070002656</t>
        </is>
      </c>
      <c r="AZ1181" t="inlineStr">
        <is>
          <t>BOOK</t>
        </is>
      </c>
      <c r="BC1181" t="inlineStr">
        <is>
          <t>32285000688332</t>
        </is>
      </c>
      <c r="BD1181" t="inlineStr">
        <is>
          <t>893416063</t>
        </is>
      </c>
    </row>
    <row r="1182">
      <c r="A1182" t="inlineStr">
        <is>
          <t>No</t>
        </is>
      </c>
      <c r="B1182" t="inlineStr">
        <is>
          <t>BT77.3 .H947 1894</t>
        </is>
      </c>
      <c r="C1182" t="inlineStr">
        <is>
          <t>0                      BT 0077300H  947         1894</t>
        </is>
      </c>
      <c r="D1182" t="inlineStr">
        <is>
          <t>Outlines of dogmatic theology / by Slyvester Joseph Hunter.</t>
        </is>
      </c>
      <c r="E1182" t="inlineStr">
        <is>
          <t>V.2</t>
        </is>
      </c>
      <c r="F1182" t="inlineStr">
        <is>
          <t>Yes</t>
        </is>
      </c>
      <c r="G1182" t="inlineStr">
        <is>
          <t>1</t>
        </is>
      </c>
      <c r="H1182" t="inlineStr">
        <is>
          <t>No</t>
        </is>
      </c>
      <c r="I1182" t="inlineStr">
        <is>
          <t>No</t>
        </is>
      </c>
      <c r="J1182" t="inlineStr">
        <is>
          <t>0</t>
        </is>
      </c>
      <c r="K1182" t="inlineStr">
        <is>
          <t>Hunter, Sylvester Joseph, 1829-1896.</t>
        </is>
      </c>
      <c r="L1182" t="inlineStr">
        <is>
          <t>New York, Benzinger, 1894.</t>
        </is>
      </c>
      <c r="M1182" t="inlineStr">
        <is>
          <t>1894</t>
        </is>
      </c>
      <c r="O1182" t="inlineStr">
        <is>
          <t>eng</t>
        </is>
      </c>
      <c r="P1182" t="inlineStr">
        <is>
          <t>___</t>
        </is>
      </c>
      <c r="R1182" t="inlineStr">
        <is>
          <t xml:space="preserve">BT </t>
        </is>
      </c>
      <c r="S1182" t="n">
        <v>4</v>
      </c>
      <c r="T1182" t="n">
        <v>6</v>
      </c>
      <c r="U1182" t="inlineStr">
        <is>
          <t>2005-09-12</t>
        </is>
      </c>
      <c r="V1182" t="inlineStr">
        <is>
          <t>2005-09-12</t>
        </is>
      </c>
      <c r="W1182" t="inlineStr">
        <is>
          <t>1991-06-21</t>
        </is>
      </c>
      <c r="X1182" t="inlineStr">
        <is>
          <t>1991-06-21</t>
        </is>
      </c>
      <c r="Y1182" t="n">
        <v>58</v>
      </c>
      <c r="Z1182" t="n">
        <v>57</v>
      </c>
      <c r="AA1182" t="n">
        <v>105</v>
      </c>
      <c r="AB1182" t="n">
        <v>1</v>
      </c>
      <c r="AC1182" t="n">
        <v>3</v>
      </c>
      <c r="AD1182" t="n">
        <v>14</v>
      </c>
      <c r="AE1182" t="n">
        <v>17</v>
      </c>
      <c r="AF1182" t="n">
        <v>2</v>
      </c>
      <c r="AG1182" t="n">
        <v>3</v>
      </c>
      <c r="AH1182" t="n">
        <v>5</v>
      </c>
      <c r="AI1182" t="n">
        <v>5</v>
      </c>
      <c r="AJ1182" t="n">
        <v>10</v>
      </c>
      <c r="AK1182" t="n">
        <v>11</v>
      </c>
      <c r="AL1182" t="n">
        <v>0</v>
      </c>
      <c r="AM1182" t="n">
        <v>1</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HYPERLINK("https://creighton-primo.hosted.exlibrisgroup.com/primo-explore/search?tab=default_tab&amp;search_scope=EVERYTHING&amp;vid=01CRU&amp;lang=en_US&amp;offset=0&amp;query=any,contains,991003124219702656","Catalog Record")</f>
        <v/>
      </c>
      <c r="AT1182">
        <f>HYPERLINK("http://www.worldcat.org/oclc/669312","WorldCat Record")</f>
        <v/>
      </c>
      <c r="AU1182" t="inlineStr">
        <is>
          <t>3373481571:eng</t>
        </is>
      </c>
      <c r="AV1182" t="inlineStr">
        <is>
          <t>669312</t>
        </is>
      </c>
      <c r="AW1182" t="inlineStr">
        <is>
          <t>991003124219702656</t>
        </is>
      </c>
      <c r="AX1182" t="inlineStr">
        <is>
          <t>991003124219702656</t>
        </is>
      </c>
      <c r="AY1182" t="inlineStr">
        <is>
          <t>2254792070002656</t>
        </is>
      </c>
      <c r="AZ1182" t="inlineStr">
        <is>
          <t>BOOK</t>
        </is>
      </c>
      <c r="BC1182" t="inlineStr">
        <is>
          <t>32285000688340</t>
        </is>
      </c>
      <c r="BD1182" t="inlineStr">
        <is>
          <t>893422200</t>
        </is>
      </c>
    </row>
    <row r="1183">
      <c r="A1183" t="inlineStr">
        <is>
          <t>No</t>
        </is>
      </c>
      <c r="B1183" t="inlineStr">
        <is>
          <t>BT77.3 .H947 1894</t>
        </is>
      </c>
      <c r="C1183" t="inlineStr">
        <is>
          <t>0                      BT 0077300H  947         1894</t>
        </is>
      </c>
      <c r="D1183" t="inlineStr">
        <is>
          <t>Outlines of dogmatic theology / by Slyvester Joseph Hunter.</t>
        </is>
      </c>
      <c r="E1183" t="inlineStr">
        <is>
          <t>V.3</t>
        </is>
      </c>
      <c r="F1183" t="inlineStr">
        <is>
          <t>Yes</t>
        </is>
      </c>
      <c r="G1183" t="inlineStr">
        <is>
          <t>1</t>
        </is>
      </c>
      <c r="H1183" t="inlineStr">
        <is>
          <t>No</t>
        </is>
      </c>
      <c r="I1183" t="inlineStr">
        <is>
          <t>No</t>
        </is>
      </c>
      <c r="J1183" t="inlineStr">
        <is>
          <t>0</t>
        </is>
      </c>
      <c r="K1183" t="inlineStr">
        <is>
          <t>Hunter, Sylvester Joseph, 1829-1896.</t>
        </is>
      </c>
      <c r="L1183" t="inlineStr">
        <is>
          <t>New York, Benzinger, 1894.</t>
        </is>
      </c>
      <c r="M1183" t="inlineStr">
        <is>
          <t>1894</t>
        </is>
      </c>
      <c r="O1183" t="inlineStr">
        <is>
          <t>eng</t>
        </is>
      </c>
      <c r="P1183" t="inlineStr">
        <is>
          <t>___</t>
        </is>
      </c>
      <c r="R1183" t="inlineStr">
        <is>
          <t xml:space="preserve">BT </t>
        </is>
      </c>
      <c r="S1183" t="n">
        <v>1</v>
      </c>
      <c r="T1183" t="n">
        <v>6</v>
      </c>
      <c r="U1183" t="inlineStr">
        <is>
          <t>1993-04-28</t>
        </is>
      </c>
      <c r="V1183" t="inlineStr">
        <is>
          <t>2005-09-12</t>
        </is>
      </c>
      <c r="W1183" t="inlineStr">
        <is>
          <t>1991-06-21</t>
        </is>
      </c>
      <c r="X1183" t="inlineStr">
        <is>
          <t>1991-06-21</t>
        </is>
      </c>
      <c r="Y1183" t="n">
        <v>58</v>
      </c>
      <c r="Z1183" t="n">
        <v>57</v>
      </c>
      <c r="AA1183" t="n">
        <v>105</v>
      </c>
      <c r="AB1183" t="n">
        <v>1</v>
      </c>
      <c r="AC1183" t="n">
        <v>3</v>
      </c>
      <c r="AD1183" t="n">
        <v>14</v>
      </c>
      <c r="AE1183" t="n">
        <v>17</v>
      </c>
      <c r="AF1183" t="n">
        <v>2</v>
      </c>
      <c r="AG1183" t="n">
        <v>3</v>
      </c>
      <c r="AH1183" t="n">
        <v>5</v>
      </c>
      <c r="AI1183" t="n">
        <v>5</v>
      </c>
      <c r="AJ1183" t="n">
        <v>10</v>
      </c>
      <c r="AK1183" t="n">
        <v>11</v>
      </c>
      <c r="AL1183" t="n">
        <v>0</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HYPERLINK("https://creighton-primo.hosted.exlibrisgroup.com/primo-explore/search?tab=default_tab&amp;search_scope=EVERYTHING&amp;vid=01CRU&amp;lang=en_US&amp;offset=0&amp;query=any,contains,991003124219702656","Catalog Record")</f>
        <v/>
      </c>
      <c r="AT1183">
        <f>HYPERLINK("http://www.worldcat.org/oclc/669312","WorldCat Record")</f>
        <v/>
      </c>
      <c r="AU1183" t="inlineStr">
        <is>
          <t>3373481571:eng</t>
        </is>
      </c>
      <c r="AV1183" t="inlineStr">
        <is>
          <t>669312</t>
        </is>
      </c>
      <c r="AW1183" t="inlineStr">
        <is>
          <t>991003124219702656</t>
        </is>
      </c>
      <c r="AX1183" t="inlineStr">
        <is>
          <t>991003124219702656</t>
        </is>
      </c>
      <c r="AY1183" t="inlineStr">
        <is>
          <t>2254792070002656</t>
        </is>
      </c>
      <c r="AZ1183" t="inlineStr">
        <is>
          <t>BOOK</t>
        </is>
      </c>
      <c r="BC1183" t="inlineStr">
        <is>
          <t>32285000688357</t>
        </is>
      </c>
      <c r="BD1183" t="inlineStr">
        <is>
          <t>893409944</t>
        </is>
      </c>
    </row>
    <row r="1184">
      <c r="A1184" t="inlineStr">
        <is>
          <t>No</t>
        </is>
      </c>
      <c r="B1184" t="inlineStr">
        <is>
          <t>BT771 .H43 1971</t>
        </is>
      </c>
      <c r="C1184" t="inlineStr">
        <is>
          <t>0                      BT 0771000H  43          1971</t>
        </is>
      </c>
      <c r="D1184" t="inlineStr">
        <is>
          <t>The communion of the Christian with God : described on the basis of Luther's statements / by Wilhelm Herrmann. Edited and with an introd. by Robert T. Voelkel.</t>
        </is>
      </c>
      <c r="F1184" t="inlineStr">
        <is>
          <t>No</t>
        </is>
      </c>
      <c r="G1184" t="inlineStr">
        <is>
          <t>1</t>
        </is>
      </c>
      <c r="H1184" t="inlineStr">
        <is>
          <t>No</t>
        </is>
      </c>
      <c r="I1184" t="inlineStr">
        <is>
          <t>No</t>
        </is>
      </c>
      <c r="J1184" t="inlineStr">
        <is>
          <t>0</t>
        </is>
      </c>
      <c r="K1184" t="inlineStr">
        <is>
          <t>Herrmann, Wilhelm, 1846-1922.</t>
        </is>
      </c>
      <c r="L1184" t="inlineStr">
        <is>
          <t>Philadelphia : Fortress Press, [1971]</t>
        </is>
      </c>
      <c r="M1184" t="inlineStr">
        <is>
          <t>1971</t>
        </is>
      </c>
      <c r="O1184" t="inlineStr">
        <is>
          <t>eng</t>
        </is>
      </c>
      <c r="P1184" t="inlineStr">
        <is>
          <t>pau</t>
        </is>
      </c>
      <c r="Q1184" t="inlineStr">
        <is>
          <t>Lives of Jesus series</t>
        </is>
      </c>
      <c r="R1184" t="inlineStr">
        <is>
          <t xml:space="preserve">BT </t>
        </is>
      </c>
      <c r="S1184" t="n">
        <v>3</v>
      </c>
      <c r="T1184" t="n">
        <v>3</v>
      </c>
      <c r="U1184" t="inlineStr">
        <is>
          <t>1999-09-05</t>
        </is>
      </c>
      <c r="V1184" t="inlineStr">
        <is>
          <t>1999-09-05</t>
        </is>
      </c>
      <c r="W1184" t="inlineStr">
        <is>
          <t>1991-10-08</t>
        </is>
      </c>
      <c r="X1184" t="inlineStr">
        <is>
          <t>1991-10-08</t>
        </is>
      </c>
      <c r="Y1184" t="n">
        <v>351</v>
      </c>
      <c r="Z1184" t="n">
        <v>309</v>
      </c>
      <c r="AA1184" t="n">
        <v>463</v>
      </c>
      <c r="AB1184" t="n">
        <v>3</v>
      </c>
      <c r="AC1184" t="n">
        <v>6</v>
      </c>
      <c r="AD1184" t="n">
        <v>24</v>
      </c>
      <c r="AE1184" t="n">
        <v>34</v>
      </c>
      <c r="AF1184" t="n">
        <v>7</v>
      </c>
      <c r="AG1184" t="n">
        <v>12</v>
      </c>
      <c r="AH1184" t="n">
        <v>4</v>
      </c>
      <c r="AI1184" t="n">
        <v>5</v>
      </c>
      <c r="AJ1184" t="n">
        <v>20</v>
      </c>
      <c r="AK1184" t="n">
        <v>22</v>
      </c>
      <c r="AL1184" t="n">
        <v>2</v>
      </c>
      <c r="AM1184" t="n">
        <v>5</v>
      </c>
      <c r="AN1184" t="n">
        <v>0</v>
      </c>
      <c r="AO1184" t="n">
        <v>0</v>
      </c>
      <c r="AP1184" t="inlineStr">
        <is>
          <t>No</t>
        </is>
      </c>
      <c r="AQ1184" t="inlineStr">
        <is>
          <t>Yes</t>
        </is>
      </c>
      <c r="AR1184">
        <f>HYPERLINK("http://catalog.hathitrust.org/Record/001412619","HathiTrust Record")</f>
        <v/>
      </c>
      <c r="AS1184">
        <f>HYPERLINK("https://creighton-primo.hosted.exlibrisgroup.com/primo-explore/search?tab=default_tab&amp;search_scope=EVERYTHING&amp;vid=01CRU&amp;lang=en_US&amp;offset=0&amp;query=any,contains,991001275379702656","Catalog Record")</f>
        <v/>
      </c>
      <c r="AT1184">
        <f>HYPERLINK("http://www.worldcat.org/oclc/214341","WorldCat Record")</f>
        <v/>
      </c>
      <c r="AU1184" t="inlineStr">
        <is>
          <t>4159860691:eng</t>
        </is>
      </c>
      <c r="AV1184" t="inlineStr">
        <is>
          <t>214341</t>
        </is>
      </c>
      <c r="AW1184" t="inlineStr">
        <is>
          <t>991001275379702656</t>
        </is>
      </c>
      <c r="AX1184" t="inlineStr">
        <is>
          <t>991001275379702656</t>
        </is>
      </c>
      <c r="AY1184" t="inlineStr">
        <is>
          <t>2254826570002656</t>
        </is>
      </c>
      <c r="AZ1184" t="inlineStr">
        <is>
          <t>BOOK</t>
        </is>
      </c>
      <c r="BB1184" t="inlineStr">
        <is>
          <t>9780800612702</t>
        </is>
      </c>
      <c r="BC1184" t="inlineStr">
        <is>
          <t>32285000806249</t>
        </is>
      </c>
      <c r="BD1184" t="inlineStr">
        <is>
          <t>893614943</t>
        </is>
      </c>
    </row>
    <row r="1185">
      <c r="A1185" t="inlineStr">
        <is>
          <t>No</t>
        </is>
      </c>
      <c r="B1185" t="inlineStr">
        <is>
          <t>BT771 .M39 1972</t>
        </is>
      </c>
      <c r="C1185" t="inlineStr">
        <is>
          <t>0                      BT 0771000M  39          1972</t>
        </is>
      </c>
      <c r="D1185" t="inlineStr">
        <is>
          <t>Faith : its nature and meaning ; papers of the Maynooth Union Summer School, 1970 / edited by Paul Surlis.</t>
        </is>
      </c>
      <c r="F1185" t="inlineStr">
        <is>
          <t>No</t>
        </is>
      </c>
      <c r="G1185" t="inlineStr">
        <is>
          <t>1</t>
        </is>
      </c>
      <c r="H1185" t="inlineStr">
        <is>
          <t>No</t>
        </is>
      </c>
      <c r="I1185" t="inlineStr">
        <is>
          <t>No</t>
        </is>
      </c>
      <c r="J1185" t="inlineStr">
        <is>
          <t>0</t>
        </is>
      </c>
      <c r="K1185" t="inlineStr">
        <is>
          <t>Maynooth Union Summer School (1970)</t>
        </is>
      </c>
      <c r="L1185" t="inlineStr">
        <is>
          <t>[Dublin] : Gill and Macmillan, [1972]</t>
        </is>
      </c>
      <c r="M1185" t="inlineStr">
        <is>
          <t>1972</t>
        </is>
      </c>
      <c r="O1185" t="inlineStr">
        <is>
          <t>eng</t>
        </is>
      </c>
      <c r="P1185" t="inlineStr">
        <is>
          <t>___</t>
        </is>
      </c>
      <c r="R1185" t="inlineStr">
        <is>
          <t xml:space="preserve">BT </t>
        </is>
      </c>
      <c r="S1185" t="n">
        <v>2</v>
      </c>
      <c r="T1185" t="n">
        <v>2</v>
      </c>
      <c r="U1185" t="inlineStr">
        <is>
          <t>1995-09-05</t>
        </is>
      </c>
      <c r="V1185" t="inlineStr">
        <is>
          <t>1995-09-05</t>
        </is>
      </c>
      <c r="W1185" t="inlineStr">
        <is>
          <t>1991-10-08</t>
        </is>
      </c>
      <c r="X1185" t="inlineStr">
        <is>
          <t>1991-10-08</t>
        </is>
      </c>
      <c r="Y1185" t="n">
        <v>108</v>
      </c>
      <c r="Z1185" t="n">
        <v>63</v>
      </c>
      <c r="AA1185" t="n">
        <v>67</v>
      </c>
      <c r="AB1185" t="n">
        <v>1</v>
      </c>
      <c r="AC1185" t="n">
        <v>1</v>
      </c>
      <c r="AD1185" t="n">
        <v>10</v>
      </c>
      <c r="AE1185" t="n">
        <v>10</v>
      </c>
      <c r="AF1185" t="n">
        <v>2</v>
      </c>
      <c r="AG1185" t="n">
        <v>2</v>
      </c>
      <c r="AH1185" t="n">
        <v>2</v>
      </c>
      <c r="AI1185" t="n">
        <v>2</v>
      </c>
      <c r="AJ1185" t="n">
        <v>10</v>
      </c>
      <c r="AK1185" t="n">
        <v>10</v>
      </c>
      <c r="AL1185" t="n">
        <v>0</v>
      </c>
      <c r="AM1185" t="n">
        <v>0</v>
      </c>
      <c r="AN1185" t="n">
        <v>0</v>
      </c>
      <c r="AO1185" t="n">
        <v>0</v>
      </c>
      <c r="AP1185" t="inlineStr">
        <is>
          <t>No</t>
        </is>
      </c>
      <c r="AQ1185" t="inlineStr">
        <is>
          <t>Yes</t>
        </is>
      </c>
      <c r="AR1185">
        <f>HYPERLINK("http://catalog.hathitrust.org/Record/102099492","HathiTrust Record")</f>
        <v/>
      </c>
      <c r="AS1185">
        <f>HYPERLINK("https://creighton-primo.hosted.exlibrisgroup.com/primo-explore/search?tab=default_tab&amp;search_scope=EVERYTHING&amp;vid=01CRU&amp;lang=en_US&amp;offset=0&amp;query=any,contains,991003255239702656","Catalog Record")</f>
        <v/>
      </c>
      <c r="AT1185">
        <f>HYPERLINK("http://www.worldcat.org/oclc/780238","WorldCat Record")</f>
        <v/>
      </c>
      <c r="AU1185" t="inlineStr">
        <is>
          <t>1703832:eng</t>
        </is>
      </c>
      <c r="AV1185" t="inlineStr">
        <is>
          <t>780238</t>
        </is>
      </c>
      <c r="AW1185" t="inlineStr">
        <is>
          <t>991003255239702656</t>
        </is>
      </c>
      <c r="AX1185" t="inlineStr">
        <is>
          <t>991003255239702656</t>
        </is>
      </c>
      <c r="AY1185" t="inlineStr">
        <is>
          <t>2260201510002656</t>
        </is>
      </c>
      <c r="AZ1185" t="inlineStr">
        <is>
          <t>BOOK</t>
        </is>
      </c>
      <c r="BC1185" t="inlineStr">
        <is>
          <t>32285000806272</t>
        </is>
      </c>
      <c r="BD1185" t="inlineStr">
        <is>
          <t>893692531</t>
        </is>
      </c>
    </row>
    <row r="1186">
      <c r="A1186" t="inlineStr">
        <is>
          <t>No</t>
        </is>
      </c>
      <c r="B1186" t="inlineStr">
        <is>
          <t>BT771 .R6813 1990</t>
        </is>
      </c>
      <c r="C1186" t="inlineStr">
        <is>
          <t>0                      BT 0771000R  6813        1990</t>
        </is>
      </c>
      <c r="D1186" t="inlineStr">
        <is>
          <t>The eyes of faith / Pierre Rousselot ; translated by Joseph Donceel ; with an introduction by John M. McDermott. Answer to two attacks / Pierre Rousselot ; translated and with an introduction by Avery Dulles.</t>
        </is>
      </c>
      <c r="F1186" t="inlineStr">
        <is>
          <t>No</t>
        </is>
      </c>
      <c r="G1186" t="inlineStr">
        <is>
          <t>1</t>
        </is>
      </c>
      <c r="H1186" t="inlineStr">
        <is>
          <t>No</t>
        </is>
      </c>
      <c r="I1186" t="inlineStr">
        <is>
          <t>No</t>
        </is>
      </c>
      <c r="J1186" t="inlineStr">
        <is>
          <t>0</t>
        </is>
      </c>
      <c r="K1186" t="inlineStr">
        <is>
          <t>Rousselot, Pierre, 1878-1915.</t>
        </is>
      </c>
      <c r="L1186" t="inlineStr">
        <is>
          <t>New York : Fordham University Press, 1990.</t>
        </is>
      </c>
      <c r="M1186" t="inlineStr">
        <is>
          <t>1990</t>
        </is>
      </c>
      <c r="O1186" t="inlineStr">
        <is>
          <t>eng</t>
        </is>
      </c>
      <c r="P1186" t="inlineStr">
        <is>
          <t>nyu</t>
        </is>
      </c>
      <c r="R1186" t="inlineStr">
        <is>
          <t xml:space="preserve">BT </t>
        </is>
      </c>
      <c r="S1186" t="n">
        <v>2</v>
      </c>
      <c r="T1186" t="n">
        <v>2</v>
      </c>
      <c r="U1186" t="inlineStr">
        <is>
          <t>1999-12-01</t>
        </is>
      </c>
      <c r="V1186" t="inlineStr">
        <is>
          <t>1999-12-01</t>
        </is>
      </c>
      <c r="W1186" t="inlineStr">
        <is>
          <t>1994-09-21</t>
        </is>
      </c>
      <c r="X1186" t="inlineStr">
        <is>
          <t>1994-09-21</t>
        </is>
      </c>
      <c r="Y1186" t="n">
        <v>119</v>
      </c>
      <c r="Z1186" t="n">
        <v>95</v>
      </c>
      <c r="AA1186" t="n">
        <v>832</v>
      </c>
      <c r="AB1186" t="n">
        <v>1</v>
      </c>
      <c r="AC1186" t="n">
        <v>4</v>
      </c>
      <c r="AD1186" t="n">
        <v>11</v>
      </c>
      <c r="AE1186" t="n">
        <v>28</v>
      </c>
      <c r="AF1186" t="n">
        <v>4</v>
      </c>
      <c r="AG1186" t="n">
        <v>11</v>
      </c>
      <c r="AH1186" t="n">
        <v>4</v>
      </c>
      <c r="AI1186" t="n">
        <v>6</v>
      </c>
      <c r="AJ1186" t="n">
        <v>8</v>
      </c>
      <c r="AK1186" t="n">
        <v>16</v>
      </c>
      <c r="AL1186" t="n">
        <v>0</v>
      </c>
      <c r="AM1186" t="n">
        <v>3</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HYPERLINK("https://creighton-primo.hosted.exlibrisgroup.com/primo-explore/search?tab=default_tab&amp;search_scope=EVERYTHING&amp;vid=01CRU&amp;lang=en_US&amp;offset=0&amp;query=any,contains,991001971899702656","Catalog Record")</f>
        <v/>
      </c>
      <c r="AT1186">
        <f>HYPERLINK("http://www.worldcat.org/oclc/25009759","WorldCat Record")</f>
        <v/>
      </c>
      <c r="AU1186" t="inlineStr">
        <is>
          <t>4061768866:eng</t>
        </is>
      </c>
      <c r="AV1186" t="inlineStr">
        <is>
          <t>25009759</t>
        </is>
      </c>
      <c r="AW1186" t="inlineStr">
        <is>
          <t>991001971899702656</t>
        </is>
      </c>
      <c r="AX1186" t="inlineStr">
        <is>
          <t>991001971899702656</t>
        </is>
      </c>
      <c r="AY1186" t="inlineStr">
        <is>
          <t>2269510430002656</t>
        </is>
      </c>
      <c r="AZ1186" t="inlineStr">
        <is>
          <t>BOOK</t>
        </is>
      </c>
      <c r="BB1186" t="inlineStr">
        <is>
          <t>9780823212880</t>
        </is>
      </c>
      <c r="BC1186" t="inlineStr">
        <is>
          <t>32285001946796</t>
        </is>
      </c>
      <c r="BD1186" t="inlineStr">
        <is>
          <t>893256719</t>
        </is>
      </c>
    </row>
    <row r="1187">
      <c r="A1187" t="inlineStr">
        <is>
          <t>No</t>
        </is>
      </c>
      <c r="B1187" t="inlineStr">
        <is>
          <t>BT771.2 .C47 1992</t>
        </is>
      </c>
      <c r="C1187" t="inlineStr">
        <is>
          <t>0                      BT 0771200C  47          1992</t>
        </is>
      </c>
      <c r="D1187" t="inlineStr">
        <is>
          <t>Christian perspectives on faith development : a reader / edited by Jeff Astley and Leslie J. Francis.</t>
        </is>
      </c>
      <c r="F1187" t="inlineStr">
        <is>
          <t>No</t>
        </is>
      </c>
      <c r="G1187" t="inlineStr">
        <is>
          <t>1</t>
        </is>
      </c>
      <c r="H1187" t="inlineStr">
        <is>
          <t>No</t>
        </is>
      </c>
      <c r="I1187" t="inlineStr">
        <is>
          <t>No</t>
        </is>
      </c>
      <c r="J1187" t="inlineStr">
        <is>
          <t>0</t>
        </is>
      </c>
      <c r="L1187" t="inlineStr">
        <is>
          <t>Leominster, Eng. : Gracewing ; Grand Rapids : Eerdmans, 1992.</t>
        </is>
      </c>
      <c r="M1187" t="inlineStr">
        <is>
          <t>1992</t>
        </is>
      </c>
      <c r="O1187" t="inlineStr">
        <is>
          <t>eng</t>
        </is>
      </c>
      <c r="P1187" t="inlineStr">
        <is>
          <t>enk</t>
        </is>
      </c>
      <c r="R1187" t="inlineStr">
        <is>
          <t xml:space="preserve">BT </t>
        </is>
      </c>
      <c r="S1187" t="n">
        <v>9</v>
      </c>
      <c r="T1187" t="n">
        <v>9</v>
      </c>
      <c r="U1187" t="inlineStr">
        <is>
          <t>2009-05-28</t>
        </is>
      </c>
      <c r="V1187" t="inlineStr">
        <is>
          <t>2009-05-28</t>
        </is>
      </c>
      <c r="W1187" t="inlineStr">
        <is>
          <t>1993-06-07</t>
        </is>
      </c>
      <c r="X1187" t="inlineStr">
        <is>
          <t>1993-06-07</t>
        </is>
      </c>
      <c r="Y1187" t="n">
        <v>295</v>
      </c>
      <c r="Z1187" t="n">
        <v>205</v>
      </c>
      <c r="AA1187" t="n">
        <v>210</v>
      </c>
      <c r="AB1187" t="n">
        <v>2</v>
      </c>
      <c r="AC1187" t="n">
        <v>2</v>
      </c>
      <c r="AD1187" t="n">
        <v>18</v>
      </c>
      <c r="AE1187" t="n">
        <v>18</v>
      </c>
      <c r="AF1187" t="n">
        <v>6</v>
      </c>
      <c r="AG1187" t="n">
        <v>6</v>
      </c>
      <c r="AH1187" t="n">
        <v>4</v>
      </c>
      <c r="AI1187" t="n">
        <v>4</v>
      </c>
      <c r="AJ1187" t="n">
        <v>11</v>
      </c>
      <c r="AK1187" t="n">
        <v>11</v>
      </c>
      <c r="AL1187" t="n">
        <v>1</v>
      </c>
      <c r="AM1187" t="n">
        <v>1</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HYPERLINK("https://creighton-primo.hosted.exlibrisgroup.com/primo-explore/search?tab=default_tab&amp;search_scope=EVERYTHING&amp;vid=01CRU&amp;lang=en_US&amp;offset=0&amp;query=any,contains,991002131149702656","Catalog Record")</f>
        <v/>
      </c>
      <c r="AT1187">
        <f>HYPERLINK("http://www.worldcat.org/oclc/27314341","WorldCat Record")</f>
        <v/>
      </c>
      <c r="AU1187" t="inlineStr">
        <is>
          <t>836906536:eng</t>
        </is>
      </c>
      <c r="AV1187" t="inlineStr">
        <is>
          <t>27314341</t>
        </is>
      </c>
      <c r="AW1187" t="inlineStr">
        <is>
          <t>991002131149702656</t>
        </is>
      </c>
      <c r="AX1187" t="inlineStr">
        <is>
          <t>991002131149702656</t>
        </is>
      </c>
      <c r="AY1187" t="inlineStr">
        <is>
          <t>2255378420002656</t>
        </is>
      </c>
      <c r="AZ1187" t="inlineStr">
        <is>
          <t>BOOK</t>
        </is>
      </c>
      <c r="BB1187" t="inlineStr">
        <is>
          <t>9780802805782</t>
        </is>
      </c>
      <c r="BC1187" t="inlineStr">
        <is>
          <t>32285001584449</t>
        </is>
      </c>
      <c r="BD1187" t="inlineStr">
        <is>
          <t>893792061</t>
        </is>
      </c>
    </row>
    <row r="1188">
      <c r="A1188" t="inlineStr">
        <is>
          <t>No</t>
        </is>
      </c>
      <c r="B1188" t="inlineStr">
        <is>
          <t>BT771.2 .C565 1997</t>
        </is>
      </c>
      <c r="C1188" t="inlineStr">
        <is>
          <t>0                      BT 0771200C  565         1997</t>
        </is>
      </c>
      <c r="D1188" t="inlineStr">
        <is>
          <t>When faith is not enough / Kelly James Clark.</t>
        </is>
      </c>
      <c r="F1188" t="inlineStr">
        <is>
          <t>No</t>
        </is>
      </c>
      <c r="G1188" t="inlineStr">
        <is>
          <t>1</t>
        </is>
      </c>
      <c r="H1188" t="inlineStr">
        <is>
          <t>No</t>
        </is>
      </c>
      <c r="I1188" t="inlineStr">
        <is>
          <t>No</t>
        </is>
      </c>
      <c r="J1188" t="inlineStr">
        <is>
          <t>0</t>
        </is>
      </c>
      <c r="K1188" t="inlineStr">
        <is>
          <t>Clark, Kelly James, 1956-</t>
        </is>
      </c>
      <c r="L1188" t="inlineStr">
        <is>
          <t>Grand Rapids, Mich. : W.B. Eerdmans Pub. Co., c1997.</t>
        </is>
      </c>
      <c r="M1188" t="inlineStr">
        <is>
          <t>1997</t>
        </is>
      </c>
      <c r="O1188" t="inlineStr">
        <is>
          <t>eng</t>
        </is>
      </c>
      <c r="P1188" t="inlineStr">
        <is>
          <t>miu</t>
        </is>
      </c>
      <c r="R1188" t="inlineStr">
        <is>
          <t xml:space="preserve">BT </t>
        </is>
      </c>
      <c r="S1188" t="n">
        <v>9</v>
      </c>
      <c r="T1188" t="n">
        <v>9</v>
      </c>
      <c r="U1188" t="inlineStr">
        <is>
          <t>2006-03-28</t>
        </is>
      </c>
      <c r="V1188" t="inlineStr">
        <is>
          <t>2006-03-28</t>
        </is>
      </c>
      <c r="W1188" t="inlineStr">
        <is>
          <t>1998-08-05</t>
        </is>
      </c>
      <c r="X1188" t="inlineStr">
        <is>
          <t>1998-08-05</t>
        </is>
      </c>
      <c r="Y1188" t="n">
        <v>282</v>
      </c>
      <c r="Z1188" t="n">
        <v>252</v>
      </c>
      <c r="AA1188" t="n">
        <v>252</v>
      </c>
      <c r="AB1188" t="n">
        <v>1</v>
      </c>
      <c r="AC1188" t="n">
        <v>1</v>
      </c>
      <c r="AD1188" t="n">
        <v>9</v>
      </c>
      <c r="AE1188" t="n">
        <v>9</v>
      </c>
      <c r="AF1188" t="n">
        <v>4</v>
      </c>
      <c r="AG1188" t="n">
        <v>4</v>
      </c>
      <c r="AH1188" t="n">
        <v>2</v>
      </c>
      <c r="AI1188" t="n">
        <v>2</v>
      </c>
      <c r="AJ1188" t="n">
        <v>4</v>
      </c>
      <c r="AK1188" t="n">
        <v>4</v>
      </c>
      <c r="AL1188" t="n">
        <v>0</v>
      </c>
      <c r="AM1188" t="n">
        <v>0</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HYPERLINK("https://creighton-primo.hosted.exlibrisgroup.com/primo-explore/search?tab=default_tab&amp;search_scope=EVERYTHING&amp;vid=01CRU&amp;lang=en_US&amp;offset=0&amp;query=any,contains,991002818509702656","Catalog Record")</f>
        <v/>
      </c>
      <c r="AT1188">
        <f>HYPERLINK("http://www.worldcat.org/oclc/37024796","WorldCat Record")</f>
        <v/>
      </c>
      <c r="AU1188" t="inlineStr">
        <is>
          <t>9350375034:eng</t>
        </is>
      </c>
      <c r="AV1188" t="inlineStr">
        <is>
          <t>37024796</t>
        </is>
      </c>
      <c r="AW1188" t="inlineStr">
        <is>
          <t>991002818509702656</t>
        </is>
      </c>
      <c r="AX1188" t="inlineStr">
        <is>
          <t>991002818509702656</t>
        </is>
      </c>
      <c r="AY1188" t="inlineStr">
        <is>
          <t>2269093590002656</t>
        </is>
      </c>
      <c r="AZ1188" t="inlineStr">
        <is>
          <t>BOOK</t>
        </is>
      </c>
      <c r="BB1188" t="inlineStr">
        <is>
          <t>9780802843548</t>
        </is>
      </c>
      <c r="BC1188" t="inlineStr">
        <is>
          <t>32285003449286</t>
        </is>
      </c>
      <c r="BD1188" t="inlineStr">
        <is>
          <t>893774055</t>
        </is>
      </c>
    </row>
    <row r="1189">
      <c r="A1189" t="inlineStr">
        <is>
          <t>No</t>
        </is>
      </c>
      <c r="B1189" t="inlineStr">
        <is>
          <t>BT771.2 .C64</t>
        </is>
      </c>
      <c r="C1189" t="inlineStr">
        <is>
          <t>0                      BT 0771200C  64</t>
        </is>
      </c>
      <c r="D1189" t="inlineStr">
        <is>
          <t>The theology of faith / by John Coventry.</t>
        </is>
      </c>
      <c r="F1189" t="inlineStr">
        <is>
          <t>No</t>
        </is>
      </c>
      <c r="G1189" t="inlineStr">
        <is>
          <t>1</t>
        </is>
      </c>
      <c r="H1189" t="inlineStr">
        <is>
          <t>No</t>
        </is>
      </c>
      <c r="I1189" t="inlineStr">
        <is>
          <t>No</t>
        </is>
      </c>
      <c r="J1189" t="inlineStr">
        <is>
          <t>0</t>
        </is>
      </c>
      <c r="K1189" t="inlineStr">
        <is>
          <t>Coventry, John, 1915-1998</t>
        </is>
      </c>
      <c r="L1189" t="inlineStr">
        <is>
          <t>Notre Dame, Ind. : Fides Publishers, [1968]</t>
        </is>
      </c>
      <c r="M1189" t="inlineStr">
        <is>
          <t>1968</t>
        </is>
      </c>
      <c r="O1189" t="inlineStr">
        <is>
          <t>eng</t>
        </is>
      </c>
      <c r="P1189" t="inlineStr">
        <is>
          <t>inu</t>
        </is>
      </c>
      <c r="Q1189" t="inlineStr">
        <is>
          <t>Theology today ; no. 3</t>
        </is>
      </c>
      <c r="R1189" t="inlineStr">
        <is>
          <t xml:space="preserve">BT </t>
        </is>
      </c>
      <c r="S1189" t="n">
        <v>4</v>
      </c>
      <c r="T1189" t="n">
        <v>4</v>
      </c>
      <c r="U1189" t="inlineStr">
        <is>
          <t>2000-04-11</t>
        </is>
      </c>
      <c r="V1189" t="inlineStr">
        <is>
          <t>2000-04-11</t>
        </is>
      </c>
      <c r="W1189" t="inlineStr">
        <is>
          <t>1991-10-14</t>
        </is>
      </c>
      <c r="X1189" t="inlineStr">
        <is>
          <t>1991-10-14</t>
        </is>
      </c>
      <c r="Y1189" t="n">
        <v>150</v>
      </c>
      <c r="Z1189" t="n">
        <v>130</v>
      </c>
      <c r="AA1189" t="n">
        <v>163</v>
      </c>
      <c r="AB1189" t="n">
        <v>3</v>
      </c>
      <c r="AC1189" t="n">
        <v>3</v>
      </c>
      <c r="AD1189" t="n">
        <v>24</v>
      </c>
      <c r="AE1189" t="n">
        <v>24</v>
      </c>
      <c r="AF1189" t="n">
        <v>6</v>
      </c>
      <c r="AG1189" t="n">
        <v>6</v>
      </c>
      <c r="AH1189" t="n">
        <v>5</v>
      </c>
      <c r="AI1189" t="n">
        <v>5</v>
      </c>
      <c r="AJ1189" t="n">
        <v>19</v>
      </c>
      <c r="AK1189" t="n">
        <v>19</v>
      </c>
      <c r="AL1189" t="n">
        <v>1</v>
      </c>
      <c r="AM1189" t="n">
        <v>1</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HYPERLINK("https://creighton-primo.hosted.exlibrisgroup.com/primo-explore/search?tab=default_tab&amp;search_scope=EVERYTHING&amp;vid=01CRU&amp;lang=en_US&amp;offset=0&amp;query=any,contains,991000091259702656","Catalog Record")</f>
        <v/>
      </c>
      <c r="AT1189">
        <f>HYPERLINK("http://www.worldcat.org/oclc/36312","WorldCat Record")</f>
        <v/>
      </c>
      <c r="AU1189" t="inlineStr">
        <is>
          <t>1204929:eng</t>
        </is>
      </c>
      <c r="AV1189" t="inlineStr">
        <is>
          <t>36312</t>
        </is>
      </c>
      <c r="AW1189" t="inlineStr">
        <is>
          <t>991000091259702656</t>
        </is>
      </c>
      <c r="AX1189" t="inlineStr">
        <is>
          <t>991000091259702656</t>
        </is>
      </c>
      <c r="AY1189" t="inlineStr">
        <is>
          <t>2264862990002656</t>
        </is>
      </c>
      <c r="AZ1189" t="inlineStr">
        <is>
          <t>BOOK</t>
        </is>
      </c>
      <c r="BC1189" t="inlineStr">
        <is>
          <t>32285000806330</t>
        </is>
      </c>
      <c r="BD1189" t="inlineStr">
        <is>
          <t>893613886</t>
        </is>
      </c>
    </row>
    <row r="1190">
      <c r="A1190" t="inlineStr">
        <is>
          <t>No</t>
        </is>
      </c>
      <c r="B1190" t="inlineStr">
        <is>
          <t>BT771.2 .D46 1988</t>
        </is>
      </c>
      <c r="C1190" t="inlineStr">
        <is>
          <t>0                      BT 0771200D  46          1988</t>
        </is>
      </c>
      <c r="D1190" t="inlineStr">
        <is>
          <t>My only friend is darkness : living the night of faith / Barbara Dent.</t>
        </is>
      </c>
      <c r="F1190" t="inlineStr">
        <is>
          <t>No</t>
        </is>
      </c>
      <c r="G1190" t="inlineStr">
        <is>
          <t>1</t>
        </is>
      </c>
      <c r="H1190" t="inlineStr">
        <is>
          <t>No</t>
        </is>
      </c>
      <c r="I1190" t="inlineStr">
        <is>
          <t>No</t>
        </is>
      </c>
      <c r="J1190" t="inlineStr">
        <is>
          <t>0</t>
        </is>
      </c>
      <c r="K1190" t="inlineStr">
        <is>
          <t>Dent, Barbara.</t>
        </is>
      </c>
      <c r="L1190" t="inlineStr">
        <is>
          <t>Notre Dame, Ind. : Ave Maria Press, 1988.</t>
        </is>
      </c>
      <c r="M1190" t="inlineStr">
        <is>
          <t>1988</t>
        </is>
      </c>
      <c r="O1190" t="inlineStr">
        <is>
          <t>eng</t>
        </is>
      </c>
      <c r="P1190" t="inlineStr">
        <is>
          <t>inu</t>
        </is>
      </c>
      <c r="R1190" t="inlineStr">
        <is>
          <t xml:space="preserve">BT </t>
        </is>
      </c>
      <c r="S1190" t="n">
        <v>4</v>
      </c>
      <c r="T1190" t="n">
        <v>4</v>
      </c>
      <c r="U1190" t="inlineStr">
        <is>
          <t>1997-07-14</t>
        </is>
      </c>
      <c r="V1190" t="inlineStr">
        <is>
          <t>1997-07-14</t>
        </is>
      </c>
      <c r="W1190" t="inlineStr">
        <is>
          <t>1991-07-11</t>
        </is>
      </c>
      <c r="X1190" t="inlineStr">
        <is>
          <t>1991-07-11</t>
        </is>
      </c>
      <c r="Y1190" t="n">
        <v>113</v>
      </c>
      <c r="Z1190" t="n">
        <v>94</v>
      </c>
      <c r="AA1190" t="n">
        <v>119</v>
      </c>
      <c r="AB1190" t="n">
        <v>2</v>
      </c>
      <c r="AC1190" t="n">
        <v>2</v>
      </c>
      <c r="AD1190" t="n">
        <v>11</v>
      </c>
      <c r="AE1190" t="n">
        <v>12</v>
      </c>
      <c r="AF1190" t="n">
        <v>2</v>
      </c>
      <c r="AG1190" t="n">
        <v>3</v>
      </c>
      <c r="AH1190" t="n">
        <v>0</v>
      </c>
      <c r="AI1190" t="n">
        <v>1</v>
      </c>
      <c r="AJ1190" t="n">
        <v>11</v>
      </c>
      <c r="AK1190" t="n">
        <v>11</v>
      </c>
      <c r="AL1190" t="n">
        <v>0</v>
      </c>
      <c r="AM1190" t="n">
        <v>0</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HYPERLINK("https://creighton-primo.hosted.exlibrisgroup.com/primo-explore/search?tab=default_tab&amp;search_scope=EVERYTHING&amp;vid=01CRU&amp;lang=en_US&amp;offset=0&amp;query=any,contains,991001401449702656","Catalog Record")</f>
        <v/>
      </c>
      <c r="AT1190">
        <f>HYPERLINK("http://www.worldcat.org/oclc/18827421","WorldCat Record")</f>
        <v/>
      </c>
      <c r="AU1190" t="inlineStr">
        <is>
          <t>2287716989:eng</t>
        </is>
      </c>
      <c r="AV1190" t="inlineStr">
        <is>
          <t>18827421</t>
        </is>
      </c>
      <c r="AW1190" t="inlineStr">
        <is>
          <t>991001401449702656</t>
        </is>
      </c>
      <c r="AX1190" t="inlineStr">
        <is>
          <t>991001401449702656</t>
        </is>
      </c>
      <c r="AY1190" t="inlineStr">
        <is>
          <t>2261935400002656</t>
        </is>
      </c>
      <c r="AZ1190" t="inlineStr">
        <is>
          <t>BOOK</t>
        </is>
      </c>
      <c r="BB1190" t="inlineStr">
        <is>
          <t>9780877933816</t>
        </is>
      </c>
      <c r="BC1190" t="inlineStr">
        <is>
          <t>32285000637370</t>
        </is>
      </c>
      <c r="BD1190" t="inlineStr">
        <is>
          <t>893715422</t>
        </is>
      </c>
    </row>
    <row r="1191">
      <c r="A1191" t="inlineStr">
        <is>
          <t>No</t>
        </is>
      </c>
      <c r="B1191" t="inlineStr">
        <is>
          <t>BT771.2 .D57 1981</t>
        </is>
      </c>
      <c r="C1191" t="inlineStr">
        <is>
          <t>0                      BT 0771200D  57          1981</t>
        </is>
      </c>
      <c r="D1191" t="inlineStr">
        <is>
          <t>Doubts, loneliness, rejection / by Catherine de Hueck Doherty.</t>
        </is>
      </c>
      <c r="F1191" t="inlineStr">
        <is>
          <t>No</t>
        </is>
      </c>
      <c r="G1191" t="inlineStr">
        <is>
          <t>1</t>
        </is>
      </c>
      <c r="H1191" t="inlineStr">
        <is>
          <t>No</t>
        </is>
      </c>
      <c r="I1191" t="inlineStr">
        <is>
          <t>No</t>
        </is>
      </c>
      <c r="J1191" t="inlineStr">
        <is>
          <t>0</t>
        </is>
      </c>
      <c r="K1191" t="inlineStr">
        <is>
          <t>Doherty, Catherine de Hueck, 1896-1985.</t>
        </is>
      </c>
      <c r="L1191" t="inlineStr">
        <is>
          <t>New York, N.Y. : Alba House, c1981.</t>
        </is>
      </c>
      <c r="M1191" t="inlineStr">
        <is>
          <t>1981</t>
        </is>
      </c>
      <c r="O1191" t="inlineStr">
        <is>
          <t>eng</t>
        </is>
      </c>
      <c r="P1191" t="inlineStr">
        <is>
          <t>nyu</t>
        </is>
      </c>
      <c r="R1191" t="inlineStr">
        <is>
          <t xml:space="preserve">BT </t>
        </is>
      </c>
      <c r="S1191" t="n">
        <v>3</v>
      </c>
      <c r="T1191" t="n">
        <v>3</v>
      </c>
      <c r="U1191" t="inlineStr">
        <is>
          <t>2009-07-21</t>
        </is>
      </c>
      <c r="V1191" t="inlineStr">
        <is>
          <t>2009-07-21</t>
        </is>
      </c>
      <c r="W1191" t="inlineStr">
        <is>
          <t>1992-04-30</t>
        </is>
      </c>
      <c r="X1191" t="inlineStr">
        <is>
          <t>1992-04-30</t>
        </is>
      </c>
      <c r="Y1191" t="n">
        <v>71</v>
      </c>
      <c r="Z1191" t="n">
        <v>62</v>
      </c>
      <c r="AA1191" t="n">
        <v>68</v>
      </c>
      <c r="AB1191" t="n">
        <v>2</v>
      </c>
      <c r="AC1191" t="n">
        <v>3</v>
      </c>
      <c r="AD1191" t="n">
        <v>7</v>
      </c>
      <c r="AE1191" t="n">
        <v>7</v>
      </c>
      <c r="AF1191" t="n">
        <v>2</v>
      </c>
      <c r="AG1191" t="n">
        <v>2</v>
      </c>
      <c r="AH1191" t="n">
        <v>3</v>
      </c>
      <c r="AI1191" t="n">
        <v>3</v>
      </c>
      <c r="AJ1191" t="n">
        <v>3</v>
      </c>
      <c r="AK1191" t="n">
        <v>3</v>
      </c>
      <c r="AL1191" t="n">
        <v>0</v>
      </c>
      <c r="AM1191" t="n">
        <v>0</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HYPERLINK("https://creighton-primo.hosted.exlibrisgroup.com/primo-explore/search?tab=default_tab&amp;search_scope=EVERYTHING&amp;vid=01CRU&amp;lang=en_US&amp;offset=0&amp;query=any,contains,991005186819702656","Catalog Record")</f>
        <v/>
      </c>
      <c r="AT1191">
        <f>HYPERLINK("http://www.worldcat.org/oclc/7976926","WorldCat Record")</f>
        <v/>
      </c>
      <c r="AU1191" t="inlineStr">
        <is>
          <t>14877984:eng</t>
        </is>
      </c>
      <c r="AV1191" t="inlineStr">
        <is>
          <t>7976926</t>
        </is>
      </c>
      <c r="AW1191" t="inlineStr">
        <is>
          <t>991005186819702656</t>
        </is>
      </c>
      <c r="AX1191" t="inlineStr">
        <is>
          <t>991005186819702656</t>
        </is>
      </c>
      <c r="AY1191" t="inlineStr">
        <is>
          <t>2262158760002656</t>
        </is>
      </c>
      <c r="AZ1191" t="inlineStr">
        <is>
          <t>BOOK</t>
        </is>
      </c>
      <c r="BB1191" t="inlineStr">
        <is>
          <t>9780818904196</t>
        </is>
      </c>
      <c r="BC1191" t="inlineStr">
        <is>
          <t>32285001103471</t>
        </is>
      </c>
      <c r="BD1191" t="inlineStr">
        <is>
          <t>893437303</t>
        </is>
      </c>
    </row>
    <row r="1192">
      <c r="A1192" t="inlineStr">
        <is>
          <t>No</t>
        </is>
      </c>
      <c r="B1192" t="inlineStr">
        <is>
          <t>BT771.2 .D75 1983</t>
        </is>
      </c>
      <c r="C1192" t="inlineStr">
        <is>
          <t>0                      BT 0771200D  75          1983</t>
        </is>
      </c>
      <c r="D1192" t="inlineStr">
        <is>
          <t>Faith passages and patterns / by Thomas A. Droege ; edited by Allan Hart Jahsmann.</t>
        </is>
      </c>
      <c r="F1192" t="inlineStr">
        <is>
          <t>No</t>
        </is>
      </c>
      <c r="G1192" t="inlineStr">
        <is>
          <t>1</t>
        </is>
      </c>
      <c r="H1192" t="inlineStr">
        <is>
          <t>No</t>
        </is>
      </c>
      <c r="I1192" t="inlineStr">
        <is>
          <t>No</t>
        </is>
      </c>
      <c r="J1192" t="inlineStr">
        <is>
          <t>0</t>
        </is>
      </c>
      <c r="K1192" t="inlineStr">
        <is>
          <t>Droege, Thomas A. (Thomas Arthur), 1931-</t>
        </is>
      </c>
      <c r="L1192" t="inlineStr">
        <is>
          <t>Philadelphia : Fortress Press, c1983.</t>
        </is>
      </c>
      <c r="M1192" t="inlineStr">
        <is>
          <t>1983</t>
        </is>
      </c>
      <c r="O1192" t="inlineStr">
        <is>
          <t>eng</t>
        </is>
      </c>
      <c r="P1192" t="inlineStr">
        <is>
          <t>pau</t>
        </is>
      </c>
      <c r="Q1192" t="inlineStr">
        <is>
          <t>Lead books</t>
        </is>
      </c>
      <c r="R1192" t="inlineStr">
        <is>
          <t xml:space="preserve">BT </t>
        </is>
      </c>
      <c r="S1192" t="n">
        <v>10</v>
      </c>
      <c r="T1192" t="n">
        <v>10</v>
      </c>
      <c r="U1192" t="inlineStr">
        <is>
          <t>2000-04-11</t>
        </is>
      </c>
      <c r="V1192" t="inlineStr">
        <is>
          <t>2000-04-11</t>
        </is>
      </c>
      <c r="W1192" t="inlineStr">
        <is>
          <t>1991-10-14</t>
        </is>
      </c>
      <c r="X1192" t="inlineStr">
        <is>
          <t>1991-10-14</t>
        </is>
      </c>
      <c r="Y1192" t="n">
        <v>161</v>
      </c>
      <c r="Z1192" t="n">
        <v>135</v>
      </c>
      <c r="AA1192" t="n">
        <v>135</v>
      </c>
      <c r="AB1192" t="n">
        <v>2</v>
      </c>
      <c r="AC1192" t="n">
        <v>2</v>
      </c>
      <c r="AD1192" t="n">
        <v>11</v>
      </c>
      <c r="AE1192" t="n">
        <v>11</v>
      </c>
      <c r="AF1192" t="n">
        <v>4</v>
      </c>
      <c r="AG1192" t="n">
        <v>4</v>
      </c>
      <c r="AH1192" t="n">
        <v>0</v>
      </c>
      <c r="AI1192" t="n">
        <v>0</v>
      </c>
      <c r="AJ1192" t="n">
        <v>7</v>
      </c>
      <c r="AK1192" t="n">
        <v>7</v>
      </c>
      <c r="AL1192" t="n">
        <v>1</v>
      </c>
      <c r="AM1192" t="n">
        <v>1</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HYPERLINK("https://creighton-primo.hosted.exlibrisgroup.com/primo-explore/search?tab=default_tab&amp;search_scope=EVERYTHING&amp;vid=01CRU&amp;lang=en_US&amp;offset=0&amp;query=any,contains,991000102129702656","Catalog Record")</f>
        <v/>
      </c>
      <c r="AT1192">
        <f>HYPERLINK("http://www.worldcat.org/oclc/8954508","WorldCat Record")</f>
        <v/>
      </c>
      <c r="AU1192" t="inlineStr">
        <is>
          <t>43172244:eng</t>
        </is>
      </c>
      <c r="AV1192" t="inlineStr">
        <is>
          <t>8954508</t>
        </is>
      </c>
      <c r="AW1192" t="inlineStr">
        <is>
          <t>991000102129702656</t>
        </is>
      </c>
      <c r="AX1192" t="inlineStr">
        <is>
          <t>991000102129702656</t>
        </is>
      </c>
      <c r="AY1192" t="inlineStr">
        <is>
          <t>2271082030002656</t>
        </is>
      </c>
      <c r="AZ1192" t="inlineStr">
        <is>
          <t>BOOK</t>
        </is>
      </c>
      <c r="BB1192" t="inlineStr">
        <is>
          <t>9780800616021</t>
        </is>
      </c>
      <c r="BC1192" t="inlineStr">
        <is>
          <t>32285000806355</t>
        </is>
      </c>
      <c r="BD1192" t="inlineStr">
        <is>
          <t>893714309</t>
        </is>
      </c>
    </row>
    <row r="1193">
      <c r="A1193" t="inlineStr">
        <is>
          <t>No</t>
        </is>
      </c>
      <c r="B1193" t="inlineStr">
        <is>
          <t>BT771.2 .E8 1969</t>
        </is>
      </c>
      <c r="C1193" t="inlineStr">
        <is>
          <t>0                      BT 0771200E  8           1969</t>
        </is>
      </c>
      <c r="D1193" t="inlineStr">
        <is>
          <t>The faith of a modern man / by Louis Evely.</t>
        </is>
      </c>
      <c r="F1193" t="inlineStr">
        <is>
          <t>No</t>
        </is>
      </c>
      <c r="G1193" t="inlineStr">
        <is>
          <t>1</t>
        </is>
      </c>
      <c r="H1193" t="inlineStr">
        <is>
          <t>No</t>
        </is>
      </c>
      <c r="I1193" t="inlineStr">
        <is>
          <t>No</t>
        </is>
      </c>
      <c r="J1193" t="inlineStr">
        <is>
          <t>0</t>
        </is>
      </c>
      <c r="K1193" t="inlineStr">
        <is>
          <t>Évely, Louis, 1910-1985.</t>
        </is>
      </c>
      <c r="L1193" t="inlineStr">
        <is>
          <t>Denville, N. J. : Dimension Books, [1969]</t>
        </is>
      </c>
      <c r="M1193" t="inlineStr">
        <is>
          <t>1969</t>
        </is>
      </c>
      <c r="O1193" t="inlineStr">
        <is>
          <t>eng</t>
        </is>
      </c>
      <c r="P1193" t="inlineStr">
        <is>
          <t>___</t>
        </is>
      </c>
      <c r="R1193" t="inlineStr">
        <is>
          <t xml:space="preserve">BT </t>
        </is>
      </c>
      <c r="S1193" t="n">
        <v>2</v>
      </c>
      <c r="T1193" t="n">
        <v>2</v>
      </c>
      <c r="U1193" t="inlineStr">
        <is>
          <t>1992-03-28</t>
        </is>
      </c>
      <c r="V1193" t="inlineStr">
        <is>
          <t>1992-03-28</t>
        </is>
      </c>
      <c r="W1193" t="inlineStr">
        <is>
          <t>1991-10-14</t>
        </is>
      </c>
      <c r="X1193" t="inlineStr">
        <is>
          <t>1991-10-14</t>
        </is>
      </c>
      <c r="Y1193" t="n">
        <v>129</v>
      </c>
      <c r="Z1193" t="n">
        <v>109</v>
      </c>
      <c r="AA1193" t="n">
        <v>115</v>
      </c>
      <c r="AB1193" t="n">
        <v>3</v>
      </c>
      <c r="AC1193" t="n">
        <v>3</v>
      </c>
      <c r="AD1193" t="n">
        <v>18</v>
      </c>
      <c r="AE1193" t="n">
        <v>18</v>
      </c>
      <c r="AF1193" t="n">
        <v>4</v>
      </c>
      <c r="AG1193" t="n">
        <v>4</v>
      </c>
      <c r="AH1193" t="n">
        <v>5</v>
      </c>
      <c r="AI1193" t="n">
        <v>5</v>
      </c>
      <c r="AJ1193" t="n">
        <v>13</v>
      </c>
      <c r="AK1193" t="n">
        <v>13</v>
      </c>
      <c r="AL1193" t="n">
        <v>1</v>
      </c>
      <c r="AM1193" t="n">
        <v>1</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HYPERLINK("https://creighton-primo.hosted.exlibrisgroup.com/primo-explore/search?tab=default_tab&amp;search_scope=EVERYTHING&amp;vid=01CRU&amp;lang=en_US&amp;offset=0&amp;query=any,contains,991003659819702656","Catalog Record")</f>
        <v/>
      </c>
      <c r="AT1193">
        <f>HYPERLINK("http://www.worldcat.org/oclc/1266955","WorldCat Record")</f>
        <v/>
      </c>
      <c r="AU1193" t="inlineStr">
        <is>
          <t>2193334:eng</t>
        </is>
      </c>
      <c r="AV1193" t="inlineStr">
        <is>
          <t>1266955</t>
        </is>
      </c>
      <c r="AW1193" t="inlineStr">
        <is>
          <t>991003659819702656</t>
        </is>
      </c>
      <c r="AX1193" t="inlineStr">
        <is>
          <t>991003659819702656</t>
        </is>
      </c>
      <c r="AY1193" t="inlineStr">
        <is>
          <t>2261128170002656</t>
        </is>
      </c>
      <c r="AZ1193" t="inlineStr">
        <is>
          <t>BOOK</t>
        </is>
      </c>
      <c r="BC1193" t="inlineStr">
        <is>
          <t>32285000806389</t>
        </is>
      </c>
      <c r="BD1193" t="inlineStr">
        <is>
          <t>893324317</t>
        </is>
      </c>
    </row>
    <row r="1194">
      <c r="A1194" t="inlineStr">
        <is>
          <t>No</t>
        </is>
      </c>
      <c r="B1194" t="inlineStr">
        <is>
          <t>BT771.2 .F37 1986</t>
        </is>
      </c>
      <c r="C1194" t="inlineStr">
        <is>
          <t>0                      BT 0771200F  37          1986</t>
        </is>
      </c>
      <c r="D1194" t="inlineStr">
        <is>
          <t>Faith development and your ministry : report based on a Gallup survey conducted for The Religious Education Association of the United States and Canada / by the Princeton Religion Research Center.</t>
        </is>
      </c>
      <c r="F1194" t="inlineStr">
        <is>
          <t>No</t>
        </is>
      </c>
      <c r="G1194" t="inlineStr">
        <is>
          <t>1</t>
        </is>
      </c>
      <c r="H1194" t="inlineStr">
        <is>
          <t>No</t>
        </is>
      </c>
      <c r="I1194" t="inlineStr">
        <is>
          <t>No</t>
        </is>
      </c>
      <c r="J1194" t="inlineStr">
        <is>
          <t>0</t>
        </is>
      </c>
      <c r="L1194" t="inlineStr">
        <is>
          <t>Princeton, N.J. : The Center, [1986?]</t>
        </is>
      </c>
      <c r="M1194" t="inlineStr">
        <is>
          <t>1986</t>
        </is>
      </c>
      <c r="O1194" t="inlineStr">
        <is>
          <t>eng</t>
        </is>
      </c>
      <c r="P1194" t="inlineStr">
        <is>
          <t>nju</t>
        </is>
      </c>
      <c r="R1194" t="inlineStr">
        <is>
          <t xml:space="preserve">BT </t>
        </is>
      </c>
      <c r="S1194" t="n">
        <v>4</v>
      </c>
      <c r="T1194" t="n">
        <v>4</v>
      </c>
      <c r="U1194" t="inlineStr">
        <is>
          <t>1995-07-17</t>
        </is>
      </c>
      <c r="V1194" t="inlineStr">
        <is>
          <t>1995-07-17</t>
        </is>
      </c>
      <c r="W1194" t="inlineStr">
        <is>
          <t>1991-10-14</t>
        </is>
      </c>
      <c r="X1194" t="inlineStr">
        <is>
          <t>1991-10-14</t>
        </is>
      </c>
      <c r="Y1194" t="n">
        <v>207</v>
      </c>
      <c r="Z1194" t="n">
        <v>188</v>
      </c>
      <c r="AA1194" t="n">
        <v>202</v>
      </c>
      <c r="AB1194" t="n">
        <v>2</v>
      </c>
      <c r="AC1194" t="n">
        <v>2</v>
      </c>
      <c r="AD1194" t="n">
        <v>12</v>
      </c>
      <c r="AE1194" t="n">
        <v>12</v>
      </c>
      <c r="AF1194" t="n">
        <v>1</v>
      </c>
      <c r="AG1194" t="n">
        <v>1</v>
      </c>
      <c r="AH1194" t="n">
        <v>2</v>
      </c>
      <c r="AI1194" t="n">
        <v>2</v>
      </c>
      <c r="AJ1194" t="n">
        <v>8</v>
      </c>
      <c r="AK1194" t="n">
        <v>8</v>
      </c>
      <c r="AL1194" t="n">
        <v>1</v>
      </c>
      <c r="AM1194" t="n">
        <v>1</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HYPERLINK("https://creighton-primo.hosted.exlibrisgroup.com/primo-explore/search?tab=default_tab&amp;search_scope=EVERYTHING&amp;vid=01CRU&amp;lang=en_US&amp;offset=0&amp;query=any,contains,991000801049702656","Catalog Record")</f>
        <v/>
      </c>
      <c r="AT1194">
        <f>HYPERLINK("http://www.worldcat.org/oclc/13238333","WorldCat Record")</f>
        <v/>
      </c>
      <c r="AU1194" t="inlineStr">
        <is>
          <t>8907096277:eng</t>
        </is>
      </c>
      <c r="AV1194" t="inlineStr">
        <is>
          <t>13238333</t>
        </is>
      </c>
      <c r="AW1194" t="inlineStr">
        <is>
          <t>991000801049702656</t>
        </is>
      </c>
      <c r="AX1194" t="inlineStr">
        <is>
          <t>991000801049702656</t>
        </is>
      </c>
      <c r="AY1194" t="inlineStr">
        <is>
          <t>2262815240002656</t>
        </is>
      </c>
      <c r="AZ1194" t="inlineStr">
        <is>
          <t>BOOK</t>
        </is>
      </c>
      <c r="BC1194" t="inlineStr">
        <is>
          <t>32285000806397</t>
        </is>
      </c>
      <c r="BD1194" t="inlineStr">
        <is>
          <t>893683765</t>
        </is>
      </c>
    </row>
    <row r="1195">
      <c r="A1195" t="inlineStr">
        <is>
          <t>No</t>
        </is>
      </c>
      <c r="B1195" t="inlineStr">
        <is>
          <t>BT771.2 .H34 1990</t>
        </is>
      </c>
      <c r="C1195" t="inlineStr">
        <is>
          <t>0                      BT 0771200H  34          1990</t>
        </is>
      </c>
      <c r="D1195" t="inlineStr">
        <is>
          <t>Handbook of faith / edited by James Michael Lee.</t>
        </is>
      </c>
      <c r="F1195" t="inlineStr">
        <is>
          <t>No</t>
        </is>
      </c>
      <c r="G1195" t="inlineStr">
        <is>
          <t>1</t>
        </is>
      </c>
      <c r="H1195" t="inlineStr">
        <is>
          <t>No</t>
        </is>
      </c>
      <c r="I1195" t="inlineStr">
        <is>
          <t>No</t>
        </is>
      </c>
      <c r="J1195" t="inlineStr">
        <is>
          <t>0</t>
        </is>
      </c>
      <c r="L1195" t="inlineStr">
        <is>
          <t>Birmingham, Ala. : Religious Education Press, 1990.</t>
        </is>
      </c>
      <c r="M1195" t="inlineStr">
        <is>
          <t>1990</t>
        </is>
      </c>
      <c r="O1195" t="inlineStr">
        <is>
          <t>eng</t>
        </is>
      </c>
      <c r="P1195" t="inlineStr">
        <is>
          <t>alu</t>
        </is>
      </c>
      <c r="R1195" t="inlineStr">
        <is>
          <t xml:space="preserve">BT </t>
        </is>
      </c>
      <c r="S1195" t="n">
        <v>4</v>
      </c>
      <c r="T1195" t="n">
        <v>4</v>
      </c>
      <c r="U1195" t="inlineStr">
        <is>
          <t>1996-01-18</t>
        </is>
      </c>
      <c r="V1195" t="inlineStr">
        <is>
          <t>1996-01-18</t>
        </is>
      </c>
      <c r="W1195" t="inlineStr">
        <is>
          <t>1990-05-29</t>
        </is>
      </c>
      <c r="X1195" t="inlineStr">
        <is>
          <t>1990-05-29</t>
        </is>
      </c>
      <c r="Y1195" t="n">
        <v>394</v>
      </c>
      <c r="Z1195" t="n">
        <v>338</v>
      </c>
      <c r="AA1195" t="n">
        <v>343</v>
      </c>
      <c r="AB1195" t="n">
        <v>5</v>
      </c>
      <c r="AC1195" t="n">
        <v>5</v>
      </c>
      <c r="AD1195" t="n">
        <v>28</v>
      </c>
      <c r="AE1195" t="n">
        <v>28</v>
      </c>
      <c r="AF1195" t="n">
        <v>10</v>
      </c>
      <c r="AG1195" t="n">
        <v>10</v>
      </c>
      <c r="AH1195" t="n">
        <v>5</v>
      </c>
      <c r="AI1195" t="n">
        <v>5</v>
      </c>
      <c r="AJ1195" t="n">
        <v>16</v>
      </c>
      <c r="AK1195" t="n">
        <v>16</v>
      </c>
      <c r="AL1195" t="n">
        <v>4</v>
      </c>
      <c r="AM1195" t="n">
        <v>4</v>
      </c>
      <c r="AN1195" t="n">
        <v>0</v>
      </c>
      <c r="AO1195" t="n">
        <v>0</v>
      </c>
      <c r="AP1195" t="inlineStr">
        <is>
          <t>No</t>
        </is>
      </c>
      <c r="AQ1195" t="inlineStr">
        <is>
          <t>No</t>
        </is>
      </c>
      <c r="AS1195">
        <f>HYPERLINK("https://creighton-primo.hosted.exlibrisgroup.com/primo-explore/search?tab=default_tab&amp;search_scope=EVERYTHING&amp;vid=01CRU&amp;lang=en_US&amp;offset=0&amp;query=any,contains,991001647789702656","Catalog Record")</f>
        <v/>
      </c>
      <c r="AT1195">
        <f>HYPERLINK("http://www.worldcat.org/oclc/21077154","WorldCat Record")</f>
        <v/>
      </c>
      <c r="AU1195" t="inlineStr">
        <is>
          <t>349905546:eng</t>
        </is>
      </c>
      <c r="AV1195" t="inlineStr">
        <is>
          <t>21077154</t>
        </is>
      </c>
      <c r="AW1195" t="inlineStr">
        <is>
          <t>991001647789702656</t>
        </is>
      </c>
      <c r="AX1195" t="inlineStr">
        <is>
          <t>991001647789702656</t>
        </is>
      </c>
      <c r="AY1195" t="inlineStr">
        <is>
          <t>2270238380002656</t>
        </is>
      </c>
      <c r="AZ1195" t="inlineStr">
        <is>
          <t>BOOK</t>
        </is>
      </c>
      <c r="BB1195" t="inlineStr">
        <is>
          <t>9780891350750</t>
        </is>
      </c>
      <c r="BC1195" t="inlineStr">
        <is>
          <t>32285000022540</t>
        </is>
      </c>
      <c r="BD1195" t="inlineStr">
        <is>
          <t>893225985</t>
        </is>
      </c>
    </row>
    <row r="1196">
      <c r="A1196" t="inlineStr">
        <is>
          <t>No</t>
        </is>
      </c>
      <c r="B1196" t="inlineStr">
        <is>
          <t>BT771.2 .K3713</t>
        </is>
      </c>
      <c r="C1196" t="inlineStr">
        <is>
          <t>0                      BT 0771200K  3713</t>
        </is>
      </c>
      <c r="D1196" t="inlineStr">
        <is>
          <t>An introduction to Christian faith / Walter Kasper.</t>
        </is>
      </c>
      <c r="F1196" t="inlineStr">
        <is>
          <t>No</t>
        </is>
      </c>
      <c r="G1196" t="inlineStr">
        <is>
          <t>1</t>
        </is>
      </c>
      <c r="H1196" t="inlineStr">
        <is>
          <t>No</t>
        </is>
      </c>
      <c r="I1196" t="inlineStr">
        <is>
          <t>No</t>
        </is>
      </c>
      <c r="J1196" t="inlineStr">
        <is>
          <t>0</t>
        </is>
      </c>
      <c r="K1196" t="inlineStr">
        <is>
          <t>Kasper, Walter, 1933-</t>
        </is>
      </c>
      <c r="L1196" t="inlineStr">
        <is>
          <t>New York : Paulist Press, 1980.</t>
        </is>
      </c>
      <c r="M1196" t="inlineStr">
        <is>
          <t>1980</t>
        </is>
      </c>
      <c r="O1196" t="inlineStr">
        <is>
          <t>eng</t>
        </is>
      </c>
      <c r="P1196" t="inlineStr">
        <is>
          <t>nyu</t>
        </is>
      </c>
      <c r="R1196" t="inlineStr">
        <is>
          <t xml:space="preserve">BT </t>
        </is>
      </c>
      <c r="S1196" t="n">
        <v>4</v>
      </c>
      <c r="T1196" t="n">
        <v>4</v>
      </c>
      <c r="U1196" t="inlineStr">
        <is>
          <t>1996-01-18</t>
        </is>
      </c>
      <c r="V1196" t="inlineStr">
        <is>
          <t>1996-01-18</t>
        </is>
      </c>
      <c r="W1196" t="inlineStr">
        <is>
          <t>1991-10-14</t>
        </is>
      </c>
      <c r="X1196" t="inlineStr">
        <is>
          <t>1991-10-14</t>
        </is>
      </c>
      <c r="Y1196" t="n">
        <v>298</v>
      </c>
      <c r="Z1196" t="n">
        <v>255</v>
      </c>
      <c r="AA1196" t="n">
        <v>284</v>
      </c>
      <c r="AB1196" t="n">
        <v>2</v>
      </c>
      <c r="AC1196" t="n">
        <v>3</v>
      </c>
      <c r="AD1196" t="n">
        <v>33</v>
      </c>
      <c r="AE1196" t="n">
        <v>35</v>
      </c>
      <c r="AF1196" t="n">
        <v>14</v>
      </c>
      <c r="AG1196" t="n">
        <v>14</v>
      </c>
      <c r="AH1196" t="n">
        <v>8</v>
      </c>
      <c r="AI1196" t="n">
        <v>9</v>
      </c>
      <c r="AJ1196" t="n">
        <v>24</v>
      </c>
      <c r="AK1196" t="n">
        <v>24</v>
      </c>
      <c r="AL1196" t="n">
        <v>0</v>
      </c>
      <c r="AM1196" t="n">
        <v>1</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HYPERLINK("https://creighton-primo.hosted.exlibrisgroup.com/primo-explore/search?tab=default_tab&amp;search_scope=EVERYTHING&amp;vid=01CRU&amp;lang=en_US&amp;offset=0&amp;query=any,contains,991005110269702656","Catalog Record")</f>
        <v/>
      </c>
      <c r="AT1196">
        <f>HYPERLINK("http://www.worldcat.org/oclc/7413391","WorldCat Record")</f>
        <v/>
      </c>
      <c r="AU1196" t="inlineStr">
        <is>
          <t>2242401585:eng</t>
        </is>
      </c>
      <c r="AV1196" t="inlineStr">
        <is>
          <t>7413391</t>
        </is>
      </c>
      <c r="AW1196" t="inlineStr">
        <is>
          <t>991005110269702656</t>
        </is>
      </c>
      <c r="AX1196" t="inlineStr">
        <is>
          <t>991005110269702656</t>
        </is>
      </c>
      <c r="AY1196" t="inlineStr">
        <is>
          <t>2256087260002656</t>
        </is>
      </c>
      <c r="AZ1196" t="inlineStr">
        <is>
          <t>BOOK</t>
        </is>
      </c>
      <c r="BB1196" t="inlineStr">
        <is>
          <t>9780809123247</t>
        </is>
      </c>
      <c r="BC1196" t="inlineStr">
        <is>
          <t>32285000806439</t>
        </is>
      </c>
      <c r="BD1196" t="inlineStr">
        <is>
          <t>893789452</t>
        </is>
      </c>
    </row>
    <row r="1197">
      <c r="A1197" t="inlineStr">
        <is>
          <t>No</t>
        </is>
      </c>
      <c r="B1197" t="inlineStr">
        <is>
          <t>BT771.2 .M59</t>
        </is>
      </c>
      <c r="C1197" t="inlineStr">
        <is>
          <t>0                      BT 0771200M  59</t>
        </is>
      </c>
      <c r="D1197" t="inlineStr">
        <is>
          <t>The beginning of eternal life; the dynamic faith of Thomas Aquinas; origins and interpretation [by] James A. Mohler.</t>
        </is>
      </c>
      <c r="F1197" t="inlineStr">
        <is>
          <t>No</t>
        </is>
      </c>
      <c r="G1197" t="inlineStr">
        <is>
          <t>1</t>
        </is>
      </c>
      <c r="H1197" t="inlineStr">
        <is>
          <t>No</t>
        </is>
      </c>
      <c r="I1197" t="inlineStr">
        <is>
          <t>No</t>
        </is>
      </c>
      <c r="J1197" t="inlineStr">
        <is>
          <t>0</t>
        </is>
      </c>
      <c r="K1197" t="inlineStr">
        <is>
          <t>Mohler, James A.</t>
        </is>
      </c>
      <c r="L1197" t="inlineStr">
        <is>
          <t>New York, Philosophical Library [1968]</t>
        </is>
      </c>
      <c r="M1197" t="inlineStr">
        <is>
          <t>1968</t>
        </is>
      </c>
      <c r="O1197" t="inlineStr">
        <is>
          <t>eng</t>
        </is>
      </c>
      <c r="P1197" t="inlineStr">
        <is>
          <t>nyu</t>
        </is>
      </c>
      <c r="R1197" t="inlineStr">
        <is>
          <t xml:space="preserve">BT </t>
        </is>
      </c>
      <c r="S1197" t="n">
        <v>1</v>
      </c>
      <c r="T1197" t="n">
        <v>1</v>
      </c>
      <c r="U1197" t="inlineStr">
        <is>
          <t>1998-08-31</t>
        </is>
      </c>
      <c r="V1197" t="inlineStr">
        <is>
          <t>1998-08-31</t>
        </is>
      </c>
      <c r="W1197" t="inlineStr">
        <is>
          <t>1991-10-14</t>
        </is>
      </c>
      <c r="X1197" t="inlineStr">
        <is>
          <t>1991-10-14</t>
        </is>
      </c>
      <c r="Y1197" t="n">
        <v>179</v>
      </c>
      <c r="Z1197" t="n">
        <v>158</v>
      </c>
      <c r="AA1197" t="n">
        <v>164</v>
      </c>
      <c r="AB1197" t="n">
        <v>1</v>
      </c>
      <c r="AC1197" t="n">
        <v>1</v>
      </c>
      <c r="AD1197" t="n">
        <v>16</v>
      </c>
      <c r="AE1197" t="n">
        <v>16</v>
      </c>
      <c r="AF1197" t="n">
        <v>4</v>
      </c>
      <c r="AG1197" t="n">
        <v>4</v>
      </c>
      <c r="AH1197" t="n">
        <v>5</v>
      </c>
      <c r="AI1197" t="n">
        <v>5</v>
      </c>
      <c r="AJ1197" t="n">
        <v>13</v>
      </c>
      <c r="AK1197" t="n">
        <v>13</v>
      </c>
      <c r="AL1197" t="n">
        <v>0</v>
      </c>
      <c r="AM1197" t="n">
        <v>0</v>
      </c>
      <c r="AN1197" t="n">
        <v>0</v>
      </c>
      <c r="AO1197" t="n">
        <v>0</v>
      </c>
      <c r="AP1197" t="inlineStr">
        <is>
          <t>No</t>
        </is>
      </c>
      <c r="AQ1197" t="inlineStr">
        <is>
          <t>Yes</t>
        </is>
      </c>
      <c r="AR1197">
        <f>HYPERLINK("http://catalog.hathitrust.org/Record/102377730","HathiTrust Record")</f>
        <v/>
      </c>
      <c r="AS1197">
        <f>HYPERLINK("https://creighton-primo.hosted.exlibrisgroup.com/primo-explore/search?tab=default_tab&amp;search_scope=EVERYTHING&amp;vid=01CRU&amp;lang=en_US&amp;offset=0&amp;query=any,contains,991003894779702656","Catalog Record")</f>
        <v/>
      </c>
      <c r="AT1197">
        <f>HYPERLINK("http://www.worldcat.org/oclc/1806503","WorldCat Record")</f>
        <v/>
      </c>
      <c r="AU1197" t="inlineStr">
        <is>
          <t>4020103502:eng</t>
        </is>
      </c>
      <c r="AV1197" t="inlineStr">
        <is>
          <t>1806503</t>
        </is>
      </c>
      <c r="AW1197" t="inlineStr">
        <is>
          <t>991003894779702656</t>
        </is>
      </c>
      <c r="AX1197" t="inlineStr">
        <is>
          <t>991003894779702656</t>
        </is>
      </c>
      <c r="AY1197" t="inlineStr">
        <is>
          <t>2271216170002656</t>
        </is>
      </c>
      <c r="AZ1197" t="inlineStr">
        <is>
          <t>BOOK</t>
        </is>
      </c>
      <c r="BC1197" t="inlineStr">
        <is>
          <t>32285000806470</t>
        </is>
      </c>
      <c r="BD1197" t="inlineStr">
        <is>
          <t>893410874</t>
        </is>
      </c>
    </row>
    <row r="1198">
      <c r="A1198" t="inlineStr">
        <is>
          <t>No</t>
        </is>
      </c>
      <c r="B1198" t="inlineStr">
        <is>
          <t>BT771.2 .M596</t>
        </is>
      </c>
      <c r="C1198" t="inlineStr">
        <is>
          <t>0                      BT 0771200M  596</t>
        </is>
      </c>
      <c r="D1198" t="inlineStr">
        <is>
          <t>The presence and absence of God / edited by Christopher F. Mooney.</t>
        </is>
      </c>
      <c r="F1198" t="inlineStr">
        <is>
          <t>No</t>
        </is>
      </c>
      <c r="G1198" t="inlineStr">
        <is>
          <t>1</t>
        </is>
      </c>
      <c r="H1198" t="inlineStr">
        <is>
          <t>No</t>
        </is>
      </c>
      <c r="I1198" t="inlineStr">
        <is>
          <t>No</t>
        </is>
      </c>
      <c r="J1198" t="inlineStr">
        <is>
          <t>0</t>
        </is>
      </c>
      <c r="K1198" t="inlineStr">
        <is>
          <t>Mooney, Christopher F. compiler.</t>
        </is>
      </c>
      <c r="L1198" t="inlineStr">
        <is>
          <t>New York : Fordham University Press, [1969]</t>
        </is>
      </c>
      <c r="M1198" t="inlineStr">
        <is>
          <t>1969</t>
        </is>
      </c>
      <c r="O1198" t="inlineStr">
        <is>
          <t>eng</t>
        </is>
      </c>
      <c r="P1198" t="inlineStr">
        <is>
          <t>nyu</t>
        </is>
      </c>
      <c r="Q1198" t="inlineStr">
        <is>
          <t>The Cardinal Bea lectures</t>
        </is>
      </c>
      <c r="R1198" t="inlineStr">
        <is>
          <t xml:space="preserve">BT </t>
        </is>
      </c>
      <c r="S1198" t="n">
        <v>4</v>
      </c>
      <c r="T1198" t="n">
        <v>4</v>
      </c>
      <c r="U1198" t="inlineStr">
        <is>
          <t>1996-12-03</t>
        </is>
      </c>
      <c r="V1198" t="inlineStr">
        <is>
          <t>1996-12-03</t>
        </is>
      </c>
      <c r="W1198" t="inlineStr">
        <is>
          <t>1991-10-14</t>
        </is>
      </c>
      <c r="X1198" t="inlineStr">
        <is>
          <t>1991-10-14</t>
        </is>
      </c>
      <c r="Y1198" t="n">
        <v>763</v>
      </c>
      <c r="Z1198" t="n">
        <v>700</v>
      </c>
      <c r="AA1198" t="n">
        <v>702</v>
      </c>
      <c r="AB1198" t="n">
        <v>6</v>
      </c>
      <c r="AC1198" t="n">
        <v>6</v>
      </c>
      <c r="AD1198" t="n">
        <v>43</v>
      </c>
      <c r="AE1198" t="n">
        <v>43</v>
      </c>
      <c r="AF1198" t="n">
        <v>16</v>
      </c>
      <c r="AG1198" t="n">
        <v>16</v>
      </c>
      <c r="AH1198" t="n">
        <v>8</v>
      </c>
      <c r="AI1198" t="n">
        <v>8</v>
      </c>
      <c r="AJ1198" t="n">
        <v>27</v>
      </c>
      <c r="AK1198" t="n">
        <v>27</v>
      </c>
      <c r="AL1198" t="n">
        <v>5</v>
      </c>
      <c r="AM1198" t="n">
        <v>5</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HYPERLINK("https://creighton-primo.hosted.exlibrisgroup.com/primo-explore/search?tab=default_tab&amp;search_scope=EVERYTHING&amp;vid=01CRU&amp;lang=en_US&amp;offset=0&amp;query=any,contains,991005431549702656","Catalog Record")</f>
        <v/>
      </c>
      <c r="AT1198">
        <f>HYPERLINK("http://www.worldcat.org/oclc/617","WorldCat Record")</f>
        <v/>
      </c>
      <c r="AU1198" t="inlineStr">
        <is>
          <t>8797389:eng</t>
        </is>
      </c>
      <c r="AV1198" t="inlineStr">
        <is>
          <t>617</t>
        </is>
      </c>
      <c r="AW1198" t="inlineStr">
        <is>
          <t>991005431549702656</t>
        </is>
      </c>
      <c r="AX1198" t="inlineStr">
        <is>
          <t>991005431549702656</t>
        </is>
      </c>
      <c r="AY1198" t="inlineStr">
        <is>
          <t>2272626040002656</t>
        </is>
      </c>
      <c r="AZ1198" t="inlineStr">
        <is>
          <t>BOOK</t>
        </is>
      </c>
      <c r="BC1198" t="inlineStr">
        <is>
          <t>32285000806504</t>
        </is>
      </c>
      <c r="BD1198" t="inlineStr">
        <is>
          <t>893230695</t>
        </is>
      </c>
    </row>
    <row r="1199">
      <c r="A1199" t="inlineStr">
        <is>
          <t>No</t>
        </is>
      </c>
      <c r="B1199" t="inlineStr">
        <is>
          <t>BT771.2 .O3</t>
        </is>
      </c>
      <c r="C1199" t="inlineStr">
        <is>
          <t>0                      BT 0771200O  3</t>
        </is>
      </c>
      <c r="D1199" t="inlineStr">
        <is>
          <t>Faith in the Synoptic Gospels : a problem in the correlation of Scripture and theology / Edward D. O'Connor.</t>
        </is>
      </c>
      <c r="F1199" t="inlineStr">
        <is>
          <t>No</t>
        </is>
      </c>
      <c r="G1199" t="inlineStr">
        <is>
          <t>1</t>
        </is>
      </c>
      <c r="H1199" t="inlineStr">
        <is>
          <t>No</t>
        </is>
      </c>
      <c r="I1199" t="inlineStr">
        <is>
          <t>No</t>
        </is>
      </c>
      <c r="J1199" t="inlineStr">
        <is>
          <t>0</t>
        </is>
      </c>
      <c r="K1199" t="inlineStr">
        <is>
          <t>O'Connor, Edward D. (Edward Dennis)</t>
        </is>
      </c>
      <c r="L1199" t="inlineStr">
        <is>
          <t>[Notre Dame, Ind.] : University of Notre Dame Press, 1961.</t>
        </is>
      </c>
      <c r="M1199" t="inlineStr">
        <is>
          <t>1961</t>
        </is>
      </c>
      <c r="O1199" t="inlineStr">
        <is>
          <t>eng</t>
        </is>
      </c>
      <c r="P1199" t="inlineStr">
        <is>
          <t>inu</t>
        </is>
      </c>
      <c r="R1199" t="inlineStr">
        <is>
          <t xml:space="preserve">BT </t>
        </is>
      </c>
      <c r="S1199" t="n">
        <v>4</v>
      </c>
      <c r="T1199" t="n">
        <v>4</v>
      </c>
      <c r="U1199" t="inlineStr">
        <is>
          <t>1996-01-18</t>
        </is>
      </c>
      <c r="V1199" t="inlineStr">
        <is>
          <t>1996-01-18</t>
        </is>
      </c>
      <c r="W1199" t="inlineStr">
        <is>
          <t>1991-10-14</t>
        </is>
      </c>
      <c r="X1199" t="inlineStr">
        <is>
          <t>1991-10-14</t>
        </is>
      </c>
      <c r="Y1199" t="n">
        <v>173</v>
      </c>
      <c r="Z1199" t="n">
        <v>139</v>
      </c>
      <c r="AA1199" t="n">
        <v>139</v>
      </c>
      <c r="AB1199" t="n">
        <v>1</v>
      </c>
      <c r="AC1199" t="n">
        <v>1</v>
      </c>
      <c r="AD1199" t="n">
        <v>22</v>
      </c>
      <c r="AE1199" t="n">
        <v>22</v>
      </c>
      <c r="AF1199" t="n">
        <v>6</v>
      </c>
      <c r="AG1199" t="n">
        <v>6</v>
      </c>
      <c r="AH1199" t="n">
        <v>4</v>
      </c>
      <c r="AI1199" t="n">
        <v>4</v>
      </c>
      <c r="AJ1199" t="n">
        <v>19</v>
      </c>
      <c r="AK1199" t="n">
        <v>19</v>
      </c>
      <c r="AL1199" t="n">
        <v>0</v>
      </c>
      <c r="AM1199" t="n">
        <v>0</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HYPERLINK("https://creighton-primo.hosted.exlibrisgroup.com/primo-explore/search?tab=default_tab&amp;search_scope=EVERYTHING&amp;vid=01CRU&amp;lang=en_US&amp;offset=0&amp;query=any,contains,991004029859702656","Catalog Record")</f>
        <v/>
      </c>
      <c r="AT1199">
        <f>HYPERLINK("http://www.worldcat.org/oclc/2150636","WorldCat Record")</f>
        <v/>
      </c>
      <c r="AU1199" t="inlineStr">
        <is>
          <t>3701517:eng</t>
        </is>
      </c>
      <c r="AV1199" t="inlineStr">
        <is>
          <t>2150636</t>
        </is>
      </c>
      <c r="AW1199" t="inlineStr">
        <is>
          <t>991004029859702656</t>
        </is>
      </c>
      <c r="AX1199" t="inlineStr">
        <is>
          <t>991004029859702656</t>
        </is>
      </c>
      <c r="AY1199" t="inlineStr">
        <is>
          <t>2261487810002656</t>
        </is>
      </c>
      <c r="AZ1199" t="inlineStr">
        <is>
          <t>BOOK</t>
        </is>
      </c>
      <c r="BC1199" t="inlineStr">
        <is>
          <t>32285000806520</t>
        </is>
      </c>
      <c r="BD1199" t="inlineStr">
        <is>
          <t>893253153</t>
        </is>
      </c>
    </row>
    <row r="1200">
      <c r="A1200" t="inlineStr">
        <is>
          <t>No</t>
        </is>
      </c>
      <c r="B1200" t="inlineStr">
        <is>
          <t>BT771.2 .R66 1984</t>
        </is>
      </c>
      <c r="C1200" t="inlineStr">
        <is>
          <t>0                      BT 0771200R  66          1984</t>
        </is>
      </c>
      <c r="D1200" t="inlineStr">
        <is>
          <t>The Roots of our common faith : faith in the scriptures and in the early church / edited by Hans-Georg Link.</t>
        </is>
      </c>
      <c r="F1200" t="inlineStr">
        <is>
          <t>No</t>
        </is>
      </c>
      <c r="G1200" t="inlineStr">
        <is>
          <t>1</t>
        </is>
      </c>
      <c r="H1200" t="inlineStr">
        <is>
          <t>No</t>
        </is>
      </c>
      <c r="I1200" t="inlineStr">
        <is>
          <t>No</t>
        </is>
      </c>
      <c r="J1200" t="inlineStr">
        <is>
          <t>0</t>
        </is>
      </c>
      <c r="L1200" t="inlineStr">
        <is>
          <t>Geneva : World Council of Churches, c1984.</t>
        </is>
      </c>
      <c r="M1200" t="inlineStr">
        <is>
          <t>1984</t>
        </is>
      </c>
      <c r="O1200" t="inlineStr">
        <is>
          <t>eng</t>
        </is>
      </c>
      <c r="P1200" t="inlineStr">
        <is>
          <t xml:space="preserve">sz </t>
        </is>
      </c>
      <c r="Q1200" t="inlineStr">
        <is>
          <t>Faith and order paper ; no. 119</t>
        </is>
      </c>
      <c r="R1200" t="inlineStr">
        <is>
          <t xml:space="preserve">BT </t>
        </is>
      </c>
      <c r="S1200" t="n">
        <v>5</v>
      </c>
      <c r="T1200" t="n">
        <v>5</v>
      </c>
      <c r="U1200" t="inlineStr">
        <is>
          <t>1996-01-18</t>
        </is>
      </c>
      <c r="V1200" t="inlineStr">
        <is>
          <t>1996-01-18</t>
        </is>
      </c>
      <c r="W1200" t="inlineStr">
        <is>
          <t>1991-10-14</t>
        </is>
      </c>
      <c r="X1200" t="inlineStr">
        <is>
          <t>1991-10-14</t>
        </is>
      </c>
      <c r="Y1200" t="n">
        <v>180</v>
      </c>
      <c r="Z1200" t="n">
        <v>118</v>
      </c>
      <c r="AA1200" t="n">
        <v>119</v>
      </c>
      <c r="AB1200" t="n">
        <v>1</v>
      </c>
      <c r="AC1200" t="n">
        <v>1</v>
      </c>
      <c r="AD1200" t="n">
        <v>7</v>
      </c>
      <c r="AE1200" t="n">
        <v>7</v>
      </c>
      <c r="AF1200" t="n">
        <v>1</v>
      </c>
      <c r="AG1200" t="n">
        <v>1</v>
      </c>
      <c r="AH1200" t="n">
        <v>2</v>
      </c>
      <c r="AI1200" t="n">
        <v>2</v>
      </c>
      <c r="AJ1200" t="n">
        <v>5</v>
      </c>
      <c r="AK1200" t="n">
        <v>5</v>
      </c>
      <c r="AL1200" t="n">
        <v>0</v>
      </c>
      <c r="AM1200" t="n">
        <v>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HYPERLINK("https://creighton-primo.hosted.exlibrisgroup.com/primo-explore/search?tab=default_tab&amp;search_scope=EVERYTHING&amp;vid=01CRU&amp;lang=en_US&amp;offset=0&amp;query=any,contains,991000452799702656","Catalog Record")</f>
        <v/>
      </c>
      <c r="AT1200">
        <f>HYPERLINK("http://www.worldcat.org/oclc/10903402","WorldCat Record")</f>
        <v/>
      </c>
      <c r="AU1200" t="inlineStr">
        <is>
          <t>806762812:eng</t>
        </is>
      </c>
      <c r="AV1200" t="inlineStr">
        <is>
          <t>10903402</t>
        </is>
      </c>
      <c r="AW1200" t="inlineStr">
        <is>
          <t>991000452799702656</t>
        </is>
      </c>
      <c r="AX1200" t="inlineStr">
        <is>
          <t>991000452799702656</t>
        </is>
      </c>
      <c r="AY1200" t="inlineStr">
        <is>
          <t>2267427610002656</t>
        </is>
      </c>
      <c r="AZ1200" t="inlineStr">
        <is>
          <t>BOOK</t>
        </is>
      </c>
      <c r="BB1200" t="inlineStr">
        <is>
          <t>9782825407950</t>
        </is>
      </c>
      <c r="BC1200" t="inlineStr">
        <is>
          <t>32285000806538</t>
        </is>
      </c>
      <c r="BD1200" t="inlineStr">
        <is>
          <t>893589452</t>
        </is>
      </c>
    </row>
    <row r="1201">
      <c r="A1201" t="inlineStr">
        <is>
          <t>No</t>
        </is>
      </c>
      <c r="B1201" t="inlineStr">
        <is>
          <t>BT771.2 .R87 1991</t>
        </is>
      </c>
      <c r="C1201" t="inlineStr">
        <is>
          <t>0                      BT 0771200R  87          1991</t>
        </is>
      </c>
      <c r="D1201" t="inlineStr">
        <is>
          <t>Poles apart : the gospel in creative tension / D.S. Russell.</t>
        </is>
      </c>
      <c r="F1201" t="inlineStr">
        <is>
          <t>No</t>
        </is>
      </c>
      <c r="G1201" t="inlineStr">
        <is>
          <t>1</t>
        </is>
      </c>
      <c r="H1201" t="inlineStr">
        <is>
          <t>No</t>
        </is>
      </c>
      <c r="I1201" t="inlineStr">
        <is>
          <t>No</t>
        </is>
      </c>
      <c r="J1201" t="inlineStr">
        <is>
          <t>0</t>
        </is>
      </c>
      <c r="K1201" t="inlineStr">
        <is>
          <t>Russell, D. S. (David Syme), 1916-</t>
        </is>
      </c>
      <c r="L1201" t="inlineStr">
        <is>
          <t>Louisville, Ky. : Westminster/John Knox Press, c1991, 1990.</t>
        </is>
      </c>
      <c r="M1201" t="inlineStr">
        <is>
          <t>1991</t>
        </is>
      </c>
      <c r="N1201" t="inlineStr">
        <is>
          <t>1st American ed.</t>
        </is>
      </c>
      <c r="O1201" t="inlineStr">
        <is>
          <t>eng</t>
        </is>
      </c>
      <c r="P1201" t="inlineStr">
        <is>
          <t>kyu</t>
        </is>
      </c>
      <c r="R1201" t="inlineStr">
        <is>
          <t xml:space="preserve">BT </t>
        </is>
      </c>
      <c r="S1201" t="n">
        <v>4</v>
      </c>
      <c r="T1201" t="n">
        <v>4</v>
      </c>
      <c r="U1201" t="inlineStr">
        <is>
          <t>1996-01-18</t>
        </is>
      </c>
      <c r="V1201" t="inlineStr">
        <is>
          <t>1996-01-18</t>
        </is>
      </c>
      <c r="W1201" t="inlineStr">
        <is>
          <t>1991-08-06</t>
        </is>
      </c>
      <c r="X1201" t="inlineStr">
        <is>
          <t>1991-08-06</t>
        </is>
      </c>
      <c r="Y1201" t="n">
        <v>127</v>
      </c>
      <c r="Z1201" t="n">
        <v>120</v>
      </c>
      <c r="AA1201" t="n">
        <v>139</v>
      </c>
      <c r="AB1201" t="n">
        <v>1</v>
      </c>
      <c r="AC1201" t="n">
        <v>1</v>
      </c>
      <c r="AD1201" t="n">
        <v>6</v>
      </c>
      <c r="AE1201" t="n">
        <v>7</v>
      </c>
      <c r="AF1201" t="n">
        <v>4</v>
      </c>
      <c r="AG1201" t="n">
        <v>4</v>
      </c>
      <c r="AH1201" t="n">
        <v>1</v>
      </c>
      <c r="AI1201" t="n">
        <v>1</v>
      </c>
      <c r="AJ1201" t="n">
        <v>2</v>
      </c>
      <c r="AK1201" t="n">
        <v>3</v>
      </c>
      <c r="AL1201" t="n">
        <v>0</v>
      </c>
      <c r="AM1201" t="n">
        <v>0</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HYPERLINK("https://creighton-primo.hosted.exlibrisgroup.com/primo-explore/search?tab=default_tab&amp;search_scope=EVERYTHING&amp;vid=01CRU&amp;lang=en_US&amp;offset=0&amp;query=any,contains,991001819979702656","Catalog Record")</f>
        <v/>
      </c>
      <c r="AT1201">
        <f>HYPERLINK("http://www.worldcat.org/oclc/22887682","WorldCat Record")</f>
        <v/>
      </c>
      <c r="AU1201" t="inlineStr">
        <is>
          <t>23302192:eng</t>
        </is>
      </c>
      <c r="AV1201" t="inlineStr">
        <is>
          <t>22887682</t>
        </is>
      </c>
      <c r="AW1201" t="inlineStr">
        <is>
          <t>991001819979702656</t>
        </is>
      </c>
      <c r="AX1201" t="inlineStr">
        <is>
          <t>991001819979702656</t>
        </is>
      </c>
      <c r="AY1201" t="inlineStr">
        <is>
          <t>2268652840002656</t>
        </is>
      </c>
      <c r="AZ1201" t="inlineStr">
        <is>
          <t>BOOK</t>
        </is>
      </c>
      <c r="BB1201" t="inlineStr">
        <is>
          <t>9780664251819</t>
        </is>
      </c>
      <c r="BC1201" t="inlineStr">
        <is>
          <t>32285000663947</t>
        </is>
      </c>
      <c r="BD1201" t="inlineStr">
        <is>
          <t>893433164</t>
        </is>
      </c>
    </row>
    <row r="1202">
      <c r="A1202" t="inlineStr">
        <is>
          <t>No</t>
        </is>
      </c>
      <c r="B1202" t="inlineStr">
        <is>
          <t>BT771.2.E23 N3 1967</t>
        </is>
      </c>
      <c r="C1202" t="inlineStr">
        <is>
          <t>0                      BT 0771200E  23                 N  3           1967</t>
        </is>
      </c>
      <c r="D1202" t="inlineStr">
        <is>
          <t>The nature of faith / Gerhard Ebeling ; translated [from the German] by Ronald Gregor Smith.</t>
        </is>
      </c>
      <c r="F1202" t="inlineStr">
        <is>
          <t>No</t>
        </is>
      </c>
      <c r="G1202" t="inlineStr">
        <is>
          <t>1</t>
        </is>
      </c>
      <c r="H1202" t="inlineStr">
        <is>
          <t>No</t>
        </is>
      </c>
      <c r="I1202" t="inlineStr">
        <is>
          <t>No</t>
        </is>
      </c>
      <c r="J1202" t="inlineStr">
        <is>
          <t>0</t>
        </is>
      </c>
      <c r="K1202" t="inlineStr">
        <is>
          <t>Ebeling, Gerhard, 1912-2001.</t>
        </is>
      </c>
      <c r="L1202" t="inlineStr">
        <is>
          <t>Philadelphia : Fortress, c1967, 1968 printing.</t>
        </is>
      </c>
      <c r="M1202" t="inlineStr">
        <is>
          <t>1968</t>
        </is>
      </c>
      <c r="O1202" t="inlineStr">
        <is>
          <t>eng</t>
        </is>
      </c>
      <c r="P1202" t="inlineStr">
        <is>
          <t>pau</t>
        </is>
      </c>
      <c r="R1202" t="inlineStr">
        <is>
          <t xml:space="preserve">BT </t>
        </is>
      </c>
      <c r="S1202" t="n">
        <v>3</v>
      </c>
      <c r="T1202" t="n">
        <v>3</v>
      </c>
      <c r="U1202" t="inlineStr">
        <is>
          <t>1995-09-05</t>
        </is>
      </c>
      <c r="V1202" t="inlineStr">
        <is>
          <t>1995-09-05</t>
        </is>
      </c>
      <c r="W1202" t="inlineStr">
        <is>
          <t>1991-10-14</t>
        </is>
      </c>
      <c r="X1202" t="inlineStr">
        <is>
          <t>1991-10-14</t>
        </is>
      </c>
      <c r="Y1202" t="n">
        <v>164</v>
      </c>
      <c r="Z1202" t="n">
        <v>152</v>
      </c>
      <c r="AA1202" t="n">
        <v>529</v>
      </c>
      <c r="AB1202" t="n">
        <v>3</v>
      </c>
      <c r="AC1202" t="n">
        <v>7</v>
      </c>
      <c r="AD1202" t="n">
        <v>19</v>
      </c>
      <c r="AE1202" t="n">
        <v>35</v>
      </c>
      <c r="AF1202" t="n">
        <v>8</v>
      </c>
      <c r="AG1202" t="n">
        <v>12</v>
      </c>
      <c r="AH1202" t="n">
        <v>3</v>
      </c>
      <c r="AI1202" t="n">
        <v>7</v>
      </c>
      <c r="AJ1202" t="n">
        <v>13</v>
      </c>
      <c r="AK1202" t="n">
        <v>20</v>
      </c>
      <c r="AL1202" t="n">
        <v>2</v>
      </c>
      <c r="AM1202" t="n">
        <v>6</v>
      </c>
      <c r="AN1202" t="n">
        <v>0</v>
      </c>
      <c r="AO1202" t="n">
        <v>0</v>
      </c>
      <c r="AP1202" t="inlineStr">
        <is>
          <t>No</t>
        </is>
      </c>
      <c r="AQ1202" t="inlineStr">
        <is>
          <t>Yes</t>
        </is>
      </c>
      <c r="AR1202">
        <f>HYPERLINK("http://catalog.hathitrust.org/Record/001940115","HathiTrust Record")</f>
        <v/>
      </c>
      <c r="AS1202">
        <f>HYPERLINK("https://creighton-primo.hosted.exlibrisgroup.com/primo-explore/search?tab=default_tab&amp;search_scope=EVERYTHING&amp;vid=01CRU&amp;lang=en_US&amp;offset=0&amp;query=any,contains,991000520829702656","Catalog Record")</f>
        <v/>
      </c>
      <c r="AT1202">
        <f>HYPERLINK("http://www.worldcat.org/oclc/9312611","WorldCat Record")</f>
        <v/>
      </c>
      <c r="AU1202" t="inlineStr">
        <is>
          <t>45419012:eng</t>
        </is>
      </c>
      <c r="AV1202" t="inlineStr">
        <is>
          <t>9312611</t>
        </is>
      </c>
      <c r="AW1202" t="inlineStr">
        <is>
          <t>991000520829702656</t>
        </is>
      </c>
      <c r="AX1202" t="inlineStr">
        <is>
          <t>991000520829702656</t>
        </is>
      </c>
      <c r="AY1202" t="inlineStr">
        <is>
          <t>2269840070002656</t>
        </is>
      </c>
      <c r="AZ1202" t="inlineStr">
        <is>
          <t>BOOK</t>
        </is>
      </c>
      <c r="BC1202" t="inlineStr">
        <is>
          <t>32285000806371</t>
        </is>
      </c>
      <c r="BD1202" t="inlineStr">
        <is>
          <t>893878108</t>
        </is>
      </c>
    </row>
    <row r="1203">
      <c r="A1203" t="inlineStr">
        <is>
          <t>No</t>
        </is>
      </c>
      <c r="B1203" t="inlineStr">
        <is>
          <t>BT772 .N5</t>
        </is>
      </c>
      <c r="C1203" t="inlineStr">
        <is>
          <t>0                      BT 0772000N  5</t>
        </is>
      </c>
      <c r="D1203" t="inlineStr">
        <is>
          <t>Experiential religion / [by] Richard R. Niebuhr.</t>
        </is>
      </c>
      <c r="F1203" t="inlineStr">
        <is>
          <t>No</t>
        </is>
      </c>
      <c r="G1203" t="inlineStr">
        <is>
          <t>1</t>
        </is>
      </c>
      <c r="H1203" t="inlineStr">
        <is>
          <t>No</t>
        </is>
      </c>
      <c r="I1203" t="inlineStr">
        <is>
          <t>No</t>
        </is>
      </c>
      <c r="J1203" t="inlineStr">
        <is>
          <t>0</t>
        </is>
      </c>
      <c r="K1203" t="inlineStr">
        <is>
          <t>Niebuhr, Richard R.</t>
        </is>
      </c>
      <c r="L1203" t="inlineStr">
        <is>
          <t>New York : Harper &amp; Row, [c1972]</t>
        </is>
      </c>
      <c r="M1203" t="inlineStr">
        <is>
          <t>1972</t>
        </is>
      </c>
      <c r="N1203" t="inlineStr">
        <is>
          <t>[1st ed.]</t>
        </is>
      </c>
      <c r="O1203" t="inlineStr">
        <is>
          <t>eng</t>
        </is>
      </c>
      <c r="P1203" t="inlineStr">
        <is>
          <t>nyu</t>
        </is>
      </c>
      <c r="R1203" t="inlineStr">
        <is>
          <t xml:space="preserve">BT </t>
        </is>
      </c>
      <c r="S1203" t="n">
        <v>4</v>
      </c>
      <c r="T1203" t="n">
        <v>4</v>
      </c>
      <c r="U1203" t="inlineStr">
        <is>
          <t>1999-11-12</t>
        </is>
      </c>
      <c r="V1203" t="inlineStr">
        <is>
          <t>1999-11-12</t>
        </is>
      </c>
      <c r="W1203" t="inlineStr">
        <is>
          <t>1991-10-14</t>
        </is>
      </c>
      <c r="X1203" t="inlineStr">
        <is>
          <t>1991-10-14</t>
        </is>
      </c>
      <c r="Y1203" t="n">
        <v>846</v>
      </c>
      <c r="Z1203" t="n">
        <v>756</v>
      </c>
      <c r="AA1203" t="n">
        <v>767</v>
      </c>
      <c r="AB1203" t="n">
        <v>7</v>
      </c>
      <c r="AC1203" t="n">
        <v>7</v>
      </c>
      <c r="AD1203" t="n">
        <v>38</v>
      </c>
      <c r="AE1203" t="n">
        <v>39</v>
      </c>
      <c r="AF1203" t="n">
        <v>13</v>
      </c>
      <c r="AG1203" t="n">
        <v>14</v>
      </c>
      <c r="AH1203" t="n">
        <v>9</v>
      </c>
      <c r="AI1203" t="n">
        <v>10</v>
      </c>
      <c r="AJ1203" t="n">
        <v>21</v>
      </c>
      <c r="AK1203" t="n">
        <v>21</v>
      </c>
      <c r="AL1203" t="n">
        <v>5</v>
      </c>
      <c r="AM1203" t="n">
        <v>5</v>
      </c>
      <c r="AN1203" t="n">
        <v>0</v>
      </c>
      <c r="AO1203" t="n">
        <v>0</v>
      </c>
      <c r="AP1203" t="inlineStr">
        <is>
          <t>No</t>
        </is>
      </c>
      <c r="AQ1203" t="inlineStr">
        <is>
          <t>Yes</t>
        </is>
      </c>
      <c r="AR1203">
        <f>HYPERLINK("http://catalog.hathitrust.org/Record/001412635","HathiTrust Record")</f>
        <v/>
      </c>
      <c r="AS1203">
        <f>HYPERLINK("https://creighton-primo.hosted.exlibrisgroup.com/primo-explore/search?tab=default_tab&amp;search_scope=EVERYTHING&amp;vid=01CRU&amp;lang=en_US&amp;offset=0&amp;query=any,contains,991001899919702656","Catalog Record")</f>
        <v/>
      </c>
      <c r="AT1203">
        <f>HYPERLINK("http://www.worldcat.org/oclc/239163","WorldCat Record")</f>
        <v/>
      </c>
      <c r="AU1203" t="inlineStr">
        <is>
          <t>1378993:eng</t>
        </is>
      </c>
      <c r="AV1203" t="inlineStr">
        <is>
          <t>239163</t>
        </is>
      </c>
      <c r="AW1203" t="inlineStr">
        <is>
          <t>991001899919702656</t>
        </is>
      </c>
      <c r="AX1203" t="inlineStr">
        <is>
          <t>991001899919702656</t>
        </is>
      </c>
      <c r="AY1203" t="inlineStr">
        <is>
          <t>2256944250002656</t>
        </is>
      </c>
      <c r="AZ1203" t="inlineStr">
        <is>
          <t>BOOK</t>
        </is>
      </c>
      <c r="BB1203" t="inlineStr">
        <is>
          <t>9780060661731</t>
        </is>
      </c>
      <c r="BC1203" t="inlineStr">
        <is>
          <t>32285000806587</t>
        </is>
      </c>
      <c r="BD1203" t="inlineStr">
        <is>
          <t>893516649</t>
        </is>
      </c>
    </row>
    <row r="1204">
      <c r="A1204" t="inlineStr">
        <is>
          <t>No</t>
        </is>
      </c>
      <c r="B1204" t="inlineStr">
        <is>
          <t>BT775 .B25 1925</t>
        </is>
      </c>
      <c r="C1204" t="inlineStr">
        <is>
          <t>0                      BT 0775000B  25          1925</t>
        </is>
      </c>
      <c r="D1204" t="inlineStr">
        <is>
          <t>The master-idea of Saint Paul's Epistles; or, The Redemption. A study of Biblical theology / by Rudolph G. Bandas.</t>
        </is>
      </c>
      <c r="F1204" t="inlineStr">
        <is>
          <t>No</t>
        </is>
      </c>
      <c r="G1204" t="inlineStr">
        <is>
          <t>1</t>
        </is>
      </c>
      <c r="H1204" t="inlineStr">
        <is>
          <t>No</t>
        </is>
      </c>
      <c r="I1204" t="inlineStr">
        <is>
          <t>No</t>
        </is>
      </c>
      <c r="J1204" t="inlineStr">
        <is>
          <t>0</t>
        </is>
      </c>
      <c r="K1204" t="inlineStr">
        <is>
          <t>Bandas, Rudolph G. (Rudolph George), 1896-</t>
        </is>
      </c>
      <c r="L1204" t="inlineStr">
        <is>
          <t>Bruges : Desclée, De Brouwer, 1925.</t>
        </is>
      </c>
      <c r="M1204" t="inlineStr">
        <is>
          <t>1925</t>
        </is>
      </c>
      <c r="O1204" t="inlineStr">
        <is>
          <t>eng</t>
        </is>
      </c>
      <c r="P1204" t="inlineStr">
        <is>
          <t xml:space="preserve">be </t>
        </is>
      </c>
      <c r="R1204" t="inlineStr">
        <is>
          <t xml:space="preserve">BT </t>
        </is>
      </c>
      <c r="S1204" t="n">
        <v>4</v>
      </c>
      <c r="T1204" t="n">
        <v>4</v>
      </c>
      <c r="U1204" t="inlineStr">
        <is>
          <t>1993-11-14</t>
        </is>
      </c>
      <c r="V1204" t="inlineStr">
        <is>
          <t>1993-11-14</t>
        </is>
      </c>
      <c r="W1204" t="inlineStr">
        <is>
          <t>1991-10-21</t>
        </is>
      </c>
      <c r="X1204" t="inlineStr">
        <is>
          <t>1991-10-21</t>
        </is>
      </c>
      <c r="Y1204" t="n">
        <v>95</v>
      </c>
      <c r="Z1204" t="n">
        <v>70</v>
      </c>
      <c r="AA1204" t="n">
        <v>96</v>
      </c>
      <c r="AB1204" t="n">
        <v>2</v>
      </c>
      <c r="AC1204" t="n">
        <v>2</v>
      </c>
      <c r="AD1204" t="n">
        <v>9</v>
      </c>
      <c r="AE1204" t="n">
        <v>11</v>
      </c>
      <c r="AF1204" t="n">
        <v>2</v>
      </c>
      <c r="AG1204" t="n">
        <v>3</v>
      </c>
      <c r="AH1204" t="n">
        <v>2</v>
      </c>
      <c r="AI1204" t="n">
        <v>2</v>
      </c>
      <c r="AJ1204" t="n">
        <v>5</v>
      </c>
      <c r="AK1204" t="n">
        <v>7</v>
      </c>
      <c r="AL1204" t="n">
        <v>0</v>
      </c>
      <c r="AM1204" t="n">
        <v>0</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HYPERLINK("https://creighton-primo.hosted.exlibrisgroup.com/primo-explore/search?tab=default_tab&amp;search_scope=EVERYTHING&amp;vid=01CRU&amp;lang=en_US&amp;offset=0&amp;query=any,contains,991004443739702656","Catalog Record")</f>
        <v/>
      </c>
      <c r="AT1204">
        <f>HYPERLINK("http://www.worldcat.org/oclc/3476779","WorldCat Record")</f>
        <v/>
      </c>
      <c r="AU1204" t="inlineStr">
        <is>
          <t>891610653:eng</t>
        </is>
      </c>
      <c r="AV1204" t="inlineStr">
        <is>
          <t>3476779</t>
        </is>
      </c>
      <c r="AW1204" t="inlineStr">
        <is>
          <t>991004443739702656</t>
        </is>
      </c>
      <c r="AX1204" t="inlineStr">
        <is>
          <t>991004443739702656</t>
        </is>
      </c>
      <c r="AY1204" t="inlineStr">
        <is>
          <t>2269807740002656</t>
        </is>
      </c>
      <c r="AZ1204" t="inlineStr">
        <is>
          <t>BOOK</t>
        </is>
      </c>
      <c r="BC1204" t="inlineStr">
        <is>
          <t>32285000806652</t>
        </is>
      </c>
      <c r="BD1204" t="inlineStr">
        <is>
          <t>893700256</t>
        </is>
      </c>
    </row>
    <row r="1205">
      <c r="A1205" t="inlineStr">
        <is>
          <t>No</t>
        </is>
      </c>
      <c r="B1205" t="inlineStr">
        <is>
          <t>BT775 .D37713 1984</t>
        </is>
      </c>
      <c r="C1205" t="inlineStr">
        <is>
          <t>0                      BT 0775000D  37713       1984</t>
        </is>
      </c>
      <c r="D1205" t="inlineStr">
        <is>
          <t>The gift of the redemption : apostolic exhortation Redemptionis donum of His Holiness John Paul II : to men and women religious on their consecration in the light of the mystery of the redemption. :</t>
        </is>
      </c>
      <c r="F1205" t="inlineStr">
        <is>
          <t>No</t>
        </is>
      </c>
      <c r="G1205" t="inlineStr">
        <is>
          <t>1</t>
        </is>
      </c>
      <c r="H1205" t="inlineStr">
        <is>
          <t>No</t>
        </is>
      </c>
      <c r="I1205" t="inlineStr">
        <is>
          <t>No</t>
        </is>
      </c>
      <c r="J1205" t="inlineStr">
        <is>
          <t>0</t>
        </is>
      </c>
      <c r="K1205" t="inlineStr">
        <is>
          <t>Catholic Church. Pope (1978-2005 : John Paul II).</t>
        </is>
      </c>
      <c r="L1205" t="inlineStr">
        <is>
          <t>Washington, D.C. : Office of Publishing Services, United States Catholic Conference, 1984.</t>
        </is>
      </c>
      <c r="M1205" t="inlineStr">
        <is>
          <t>1984</t>
        </is>
      </c>
      <c r="O1205" t="inlineStr">
        <is>
          <t>eng</t>
        </is>
      </c>
      <c r="P1205" t="inlineStr">
        <is>
          <t>dcu</t>
        </is>
      </c>
      <c r="R1205" t="inlineStr">
        <is>
          <t xml:space="preserve">BT </t>
        </is>
      </c>
      <c r="S1205" t="n">
        <v>8</v>
      </c>
      <c r="T1205" t="n">
        <v>8</v>
      </c>
      <c r="U1205" t="inlineStr">
        <is>
          <t>1999-11-03</t>
        </is>
      </c>
      <c r="V1205" t="inlineStr">
        <is>
          <t>1999-11-03</t>
        </is>
      </c>
      <c r="W1205" t="inlineStr">
        <is>
          <t>1992-05-08</t>
        </is>
      </c>
      <c r="X1205" t="inlineStr">
        <is>
          <t>1992-05-08</t>
        </is>
      </c>
      <c r="Y1205" t="n">
        <v>91</v>
      </c>
      <c r="Z1205" t="n">
        <v>89</v>
      </c>
      <c r="AA1205" t="n">
        <v>95</v>
      </c>
      <c r="AB1205" t="n">
        <v>1</v>
      </c>
      <c r="AC1205" t="n">
        <v>1</v>
      </c>
      <c r="AD1205" t="n">
        <v>15</v>
      </c>
      <c r="AE1205" t="n">
        <v>15</v>
      </c>
      <c r="AF1205" t="n">
        <v>4</v>
      </c>
      <c r="AG1205" t="n">
        <v>4</v>
      </c>
      <c r="AH1205" t="n">
        <v>3</v>
      </c>
      <c r="AI1205" t="n">
        <v>3</v>
      </c>
      <c r="AJ1205" t="n">
        <v>13</v>
      </c>
      <c r="AK1205" t="n">
        <v>13</v>
      </c>
      <c r="AL1205" t="n">
        <v>0</v>
      </c>
      <c r="AM1205" t="n">
        <v>0</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HYPERLINK("https://creighton-primo.hosted.exlibrisgroup.com/primo-explore/search?tab=default_tab&amp;search_scope=EVERYTHING&amp;vid=01CRU&amp;lang=en_US&amp;offset=0&amp;query=any,contains,991000477279702656","Catalog Record")</f>
        <v/>
      </c>
      <c r="AT1205">
        <f>HYPERLINK("http://www.worldcat.org/oclc/11031744","WorldCat Record")</f>
        <v/>
      </c>
      <c r="AU1205" t="inlineStr">
        <is>
          <t>2863471855:eng</t>
        </is>
      </c>
      <c r="AV1205" t="inlineStr">
        <is>
          <t>11031744</t>
        </is>
      </c>
      <c r="AW1205" t="inlineStr">
        <is>
          <t>991000477279702656</t>
        </is>
      </c>
      <c r="AX1205" t="inlineStr">
        <is>
          <t>991000477279702656</t>
        </is>
      </c>
      <c r="AY1205" t="inlineStr">
        <is>
          <t>2261707270002656</t>
        </is>
      </c>
      <c r="AZ1205" t="inlineStr">
        <is>
          <t>BOOK</t>
        </is>
      </c>
      <c r="BC1205" t="inlineStr">
        <is>
          <t>32285001106607</t>
        </is>
      </c>
      <c r="BD1205" t="inlineStr">
        <is>
          <t>893620511</t>
        </is>
      </c>
    </row>
    <row r="1206">
      <c r="A1206" t="inlineStr">
        <is>
          <t>No</t>
        </is>
      </c>
      <c r="B1206" t="inlineStr">
        <is>
          <t>BT775 .F55 1963</t>
        </is>
      </c>
      <c r="C1206" t="inlineStr">
        <is>
          <t>0                      BT 0775000F  55          1963</t>
        </is>
      </c>
      <c r="D1206" t="inlineStr">
        <is>
          <t>In memory of me : God's plan for men : present in history, made active in the Eucharist / Edmund Flood.</t>
        </is>
      </c>
      <c r="F1206" t="inlineStr">
        <is>
          <t>No</t>
        </is>
      </c>
      <c r="G1206" t="inlineStr">
        <is>
          <t>1</t>
        </is>
      </c>
      <c r="H1206" t="inlineStr">
        <is>
          <t>No</t>
        </is>
      </c>
      <c r="I1206" t="inlineStr">
        <is>
          <t>No</t>
        </is>
      </c>
      <c r="J1206" t="inlineStr">
        <is>
          <t>0</t>
        </is>
      </c>
      <c r="K1206" t="inlineStr">
        <is>
          <t>Flood, Edmund.</t>
        </is>
      </c>
      <c r="L1206" t="inlineStr">
        <is>
          <t>New York : Sheed and Ward, [1963, c1962]</t>
        </is>
      </c>
      <c r="M1206" t="inlineStr">
        <is>
          <t>1963</t>
        </is>
      </c>
      <c r="O1206" t="inlineStr">
        <is>
          <t>eng</t>
        </is>
      </c>
      <c r="P1206" t="inlineStr">
        <is>
          <t xml:space="preserve">xx </t>
        </is>
      </c>
      <c r="R1206" t="inlineStr">
        <is>
          <t xml:space="preserve">BT </t>
        </is>
      </c>
      <c r="S1206" t="n">
        <v>2</v>
      </c>
      <c r="T1206" t="n">
        <v>2</v>
      </c>
      <c r="U1206" t="inlineStr">
        <is>
          <t>1995-09-05</t>
        </is>
      </c>
      <c r="V1206" t="inlineStr">
        <is>
          <t>1995-09-05</t>
        </is>
      </c>
      <c r="W1206" t="inlineStr">
        <is>
          <t>1991-10-21</t>
        </is>
      </c>
      <c r="X1206" t="inlineStr">
        <is>
          <t>1991-10-21</t>
        </is>
      </c>
      <c r="Y1206" t="n">
        <v>130</v>
      </c>
      <c r="Z1206" t="n">
        <v>125</v>
      </c>
      <c r="AA1206" t="n">
        <v>126</v>
      </c>
      <c r="AB1206" t="n">
        <v>2</v>
      </c>
      <c r="AC1206" t="n">
        <v>2</v>
      </c>
      <c r="AD1206" t="n">
        <v>21</v>
      </c>
      <c r="AE1206" t="n">
        <v>21</v>
      </c>
      <c r="AF1206" t="n">
        <v>7</v>
      </c>
      <c r="AG1206" t="n">
        <v>7</v>
      </c>
      <c r="AH1206" t="n">
        <v>6</v>
      </c>
      <c r="AI1206" t="n">
        <v>6</v>
      </c>
      <c r="AJ1206" t="n">
        <v>17</v>
      </c>
      <c r="AK1206" t="n">
        <v>17</v>
      </c>
      <c r="AL1206" t="n">
        <v>0</v>
      </c>
      <c r="AM1206" t="n">
        <v>0</v>
      </c>
      <c r="AN1206" t="n">
        <v>0</v>
      </c>
      <c r="AO1206" t="n">
        <v>0</v>
      </c>
      <c r="AP1206" t="inlineStr">
        <is>
          <t>No</t>
        </is>
      </c>
      <c r="AQ1206" t="inlineStr">
        <is>
          <t>Yes</t>
        </is>
      </c>
      <c r="AR1206">
        <f>HYPERLINK("http://catalog.hathitrust.org/Record/100857776","HathiTrust Record")</f>
        <v/>
      </c>
      <c r="AS1206">
        <f>HYPERLINK("https://creighton-primo.hosted.exlibrisgroup.com/primo-explore/search?tab=default_tab&amp;search_scope=EVERYTHING&amp;vid=01CRU&amp;lang=en_US&amp;offset=0&amp;query=any,contains,991003566699702656","Catalog Record")</f>
        <v/>
      </c>
      <c r="AT1206">
        <f>HYPERLINK("http://www.worldcat.org/oclc/1139728","WorldCat Record")</f>
        <v/>
      </c>
      <c r="AU1206" t="inlineStr">
        <is>
          <t>2959536677:eng</t>
        </is>
      </c>
      <c r="AV1206" t="inlineStr">
        <is>
          <t>1139728</t>
        </is>
      </c>
      <c r="AW1206" t="inlineStr">
        <is>
          <t>991003566699702656</t>
        </is>
      </c>
      <c r="AX1206" t="inlineStr">
        <is>
          <t>991003566699702656</t>
        </is>
      </c>
      <c r="AY1206" t="inlineStr">
        <is>
          <t>2267519200002656</t>
        </is>
      </c>
      <c r="AZ1206" t="inlineStr">
        <is>
          <t>BOOK</t>
        </is>
      </c>
      <c r="BC1206" t="inlineStr">
        <is>
          <t>32285000806686</t>
        </is>
      </c>
      <c r="BD1206" t="inlineStr">
        <is>
          <t>893699131</t>
        </is>
      </c>
    </row>
    <row r="1207">
      <c r="A1207" t="inlineStr">
        <is>
          <t>No</t>
        </is>
      </c>
      <c r="B1207" t="inlineStr">
        <is>
          <t>BT775 .G75 1990</t>
        </is>
      </c>
      <c r="C1207" t="inlineStr">
        <is>
          <t>0                      BT 0775000G  75          1990</t>
        </is>
      </c>
      <c r="D1207" t="inlineStr">
        <is>
          <t>Feminism, redemption, and the Christian tradition / Mary Grey.</t>
        </is>
      </c>
      <c r="F1207" t="inlineStr">
        <is>
          <t>No</t>
        </is>
      </c>
      <c r="G1207" t="inlineStr">
        <is>
          <t>1</t>
        </is>
      </c>
      <c r="H1207" t="inlineStr">
        <is>
          <t>No</t>
        </is>
      </c>
      <c r="I1207" t="inlineStr">
        <is>
          <t>No</t>
        </is>
      </c>
      <c r="J1207" t="inlineStr">
        <is>
          <t>0</t>
        </is>
      </c>
      <c r="K1207" t="inlineStr">
        <is>
          <t>Grey, Mary C.</t>
        </is>
      </c>
      <c r="L1207" t="inlineStr">
        <is>
          <t>Mystic, Conn. : Twenty-Third Publications, c1990.</t>
        </is>
      </c>
      <c r="M1207" t="inlineStr">
        <is>
          <t>1990</t>
        </is>
      </c>
      <c r="O1207" t="inlineStr">
        <is>
          <t>eng</t>
        </is>
      </c>
      <c r="P1207" t="inlineStr">
        <is>
          <t>ctu</t>
        </is>
      </c>
      <c r="R1207" t="inlineStr">
        <is>
          <t xml:space="preserve">BT </t>
        </is>
      </c>
      <c r="S1207" t="n">
        <v>9</v>
      </c>
      <c r="T1207" t="n">
        <v>9</v>
      </c>
      <c r="U1207" t="inlineStr">
        <is>
          <t>2006-04-12</t>
        </is>
      </c>
      <c r="V1207" t="inlineStr">
        <is>
          <t>2006-04-12</t>
        </is>
      </c>
      <c r="W1207" t="inlineStr">
        <is>
          <t>1996-05-10</t>
        </is>
      </c>
      <c r="X1207" t="inlineStr">
        <is>
          <t>1996-05-10</t>
        </is>
      </c>
      <c r="Y1207" t="n">
        <v>171</v>
      </c>
      <c r="Z1207" t="n">
        <v>134</v>
      </c>
      <c r="AA1207" t="n">
        <v>137</v>
      </c>
      <c r="AB1207" t="n">
        <v>3</v>
      </c>
      <c r="AC1207" t="n">
        <v>3</v>
      </c>
      <c r="AD1207" t="n">
        <v>20</v>
      </c>
      <c r="AE1207" t="n">
        <v>20</v>
      </c>
      <c r="AF1207" t="n">
        <v>4</v>
      </c>
      <c r="AG1207" t="n">
        <v>4</v>
      </c>
      <c r="AH1207" t="n">
        <v>2</v>
      </c>
      <c r="AI1207" t="n">
        <v>2</v>
      </c>
      <c r="AJ1207" t="n">
        <v>17</v>
      </c>
      <c r="AK1207" t="n">
        <v>17</v>
      </c>
      <c r="AL1207" t="n">
        <v>2</v>
      </c>
      <c r="AM1207" t="n">
        <v>2</v>
      </c>
      <c r="AN1207" t="n">
        <v>0</v>
      </c>
      <c r="AO1207" t="n">
        <v>0</v>
      </c>
      <c r="AP1207" t="inlineStr">
        <is>
          <t>No</t>
        </is>
      </c>
      <c r="AQ1207" t="inlineStr">
        <is>
          <t>Yes</t>
        </is>
      </c>
      <c r="AR1207">
        <f>HYPERLINK("http://catalog.hathitrust.org/Record/102376920","HathiTrust Record")</f>
        <v/>
      </c>
      <c r="AS1207">
        <f>HYPERLINK("https://creighton-primo.hosted.exlibrisgroup.com/primo-explore/search?tab=default_tab&amp;search_scope=EVERYTHING&amp;vid=01CRU&amp;lang=en_US&amp;offset=0&amp;query=any,contains,991001835269702656","Catalog Record")</f>
        <v/>
      </c>
      <c r="AT1207">
        <f>HYPERLINK("http://www.worldcat.org/oclc/23050152","WorldCat Record")</f>
        <v/>
      </c>
      <c r="AU1207" t="inlineStr">
        <is>
          <t>23967172:eng</t>
        </is>
      </c>
      <c r="AV1207" t="inlineStr">
        <is>
          <t>23050152</t>
        </is>
      </c>
      <c r="AW1207" t="inlineStr">
        <is>
          <t>991001835269702656</t>
        </is>
      </c>
      <c r="AX1207" t="inlineStr">
        <is>
          <t>991001835269702656</t>
        </is>
      </c>
      <c r="AY1207" t="inlineStr">
        <is>
          <t>2266827560002656</t>
        </is>
      </c>
      <c r="AZ1207" t="inlineStr">
        <is>
          <t>BOOK</t>
        </is>
      </c>
      <c r="BB1207" t="inlineStr">
        <is>
          <t>9780896224285</t>
        </is>
      </c>
      <c r="BC1207" t="inlineStr">
        <is>
          <t>32285002167046</t>
        </is>
      </c>
      <c r="BD1207" t="inlineStr">
        <is>
          <t>893226165</t>
        </is>
      </c>
    </row>
    <row r="1208">
      <c r="A1208" t="inlineStr">
        <is>
          <t>No</t>
        </is>
      </c>
      <c r="B1208" t="inlineStr">
        <is>
          <t>BT775 .H4 1929</t>
        </is>
      </c>
      <c r="C1208" t="inlineStr">
        <is>
          <t>0                      BT 0775000H  4           1929</t>
        </is>
      </c>
      <c r="D1208" t="inlineStr">
        <is>
          <t>God the redeemer : the redemption from sin as wrought by Jesus Christ, the son of God ; a textbook for colleges and universities / by Charles G. Herzog.</t>
        </is>
      </c>
      <c r="F1208" t="inlineStr">
        <is>
          <t>No</t>
        </is>
      </c>
      <c r="G1208" t="inlineStr">
        <is>
          <t>1</t>
        </is>
      </c>
      <c r="H1208" t="inlineStr">
        <is>
          <t>No</t>
        </is>
      </c>
      <c r="I1208" t="inlineStr">
        <is>
          <t>No</t>
        </is>
      </c>
      <c r="J1208" t="inlineStr">
        <is>
          <t>0</t>
        </is>
      </c>
      <c r="K1208" t="inlineStr">
        <is>
          <t>Herzog, Charles G.</t>
        </is>
      </c>
      <c r="L1208" t="inlineStr">
        <is>
          <t>New York ; Cincinnati : Benziger Brothers, [1929]</t>
        </is>
      </c>
      <c r="M1208" t="inlineStr">
        <is>
          <t>1929</t>
        </is>
      </c>
      <c r="O1208" t="inlineStr">
        <is>
          <t>eng</t>
        </is>
      </c>
      <c r="P1208" t="inlineStr">
        <is>
          <t>___</t>
        </is>
      </c>
      <c r="Q1208" t="inlineStr">
        <is>
          <t>The truth of Christianity series</t>
        </is>
      </c>
      <c r="R1208" t="inlineStr">
        <is>
          <t xml:space="preserve">BT </t>
        </is>
      </c>
      <c r="S1208" t="n">
        <v>1</v>
      </c>
      <c r="T1208" t="n">
        <v>1</v>
      </c>
      <c r="U1208" t="inlineStr">
        <is>
          <t>1993-04-18</t>
        </is>
      </c>
      <c r="V1208" t="inlineStr">
        <is>
          <t>1993-04-18</t>
        </is>
      </c>
      <c r="W1208" t="inlineStr">
        <is>
          <t>1990-04-30</t>
        </is>
      </c>
      <c r="X1208" t="inlineStr">
        <is>
          <t>1990-04-30</t>
        </is>
      </c>
      <c r="Y1208" t="n">
        <v>91</v>
      </c>
      <c r="Z1208" t="n">
        <v>80</v>
      </c>
      <c r="AA1208" t="n">
        <v>81</v>
      </c>
      <c r="AB1208" t="n">
        <v>2</v>
      </c>
      <c r="AC1208" t="n">
        <v>2</v>
      </c>
      <c r="AD1208" t="n">
        <v>22</v>
      </c>
      <c r="AE1208" t="n">
        <v>22</v>
      </c>
      <c r="AF1208" t="n">
        <v>5</v>
      </c>
      <c r="AG1208" t="n">
        <v>5</v>
      </c>
      <c r="AH1208" t="n">
        <v>6</v>
      </c>
      <c r="AI1208" t="n">
        <v>6</v>
      </c>
      <c r="AJ1208" t="n">
        <v>17</v>
      </c>
      <c r="AK1208" t="n">
        <v>17</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HYPERLINK("https://creighton-primo.hosted.exlibrisgroup.com/primo-explore/search?tab=default_tab&amp;search_scope=EVERYTHING&amp;vid=01CRU&amp;lang=en_US&amp;offset=0&amp;query=any,contains,991003625509702656","Catalog Record")</f>
        <v/>
      </c>
      <c r="AT1208">
        <f>HYPERLINK("http://www.worldcat.org/oclc/1216617","WorldCat Record")</f>
        <v/>
      </c>
      <c r="AU1208" t="inlineStr">
        <is>
          <t>1376378225:eng</t>
        </is>
      </c>
      <c r="AV1208" t="inlineStr">
        <is>
          <t>1216617</t>
        </is>
      </c>
      <c r="AW1208" t="inlineStr">
        <is>
          <t>991003625509702656</t>
        </is>
      </c>
      <c r="AX1208" t="inlineStr">
        <is>
          <t>991003625509702656</t>
        </is>
      </c>
      <c r="AY1208" t="inlineStr">
        <is>
          <t>2271970930002656</t>
        </is>
      </c>
      <c r="AZ1208" t="inlineStr">
        <is>
          <t>BOOK</t>
        </is>
      </c>
      <c r="BC1208" t="inlineStr">
        <is>
          <t>32285000128198</t>
        </is>
      </c>
      <c r="BD1208" t="inlineStr">
        <is>
          <t>893435208</t>
        </is>
      </c>
    </row>
    <row r="1209">
      <c r="A1209" t="inlineStr">
        <is>
          <t>No</t>
        </is>
      </c>
      <c r="B1209" t="inlineStr">
        <is>
          <t>BT775 .R4713 1966</t>
        </is>
      </c>
      <c r="C1209" t="inlineStr">
        <is>
          <t>0                      BT 0775000R  4713        1966</t>
        </is>
      </c>
      <c r="D1209" t="inlineStr">
        <is>
          <t>The mystery of the redemption / by Louis Richard. With a foreword by Frank B. Norris. [Translated from the French by Joseph Horn]</t>
        </is>
      </c>
      <c r="F1209" t="inlineStr">
        <is>
          <t>No</t>
        </is>
      </c>
      <c r="G1209" t="inlineStr">
        <is>
          <t>1</t>
        </is>
      </c>
      <c r="H1209" t="inlineStr">
        <is>
          <t>No</t>
        </is>
      </c>
      <c r="I1209" t="inlineStr">
        <is>
          <t>No</t>
        </is>
      </c>
      <c r="J1209" t="inlineStr">
        <is>
          <t>0</t>
        </is>
      </c>
      <c r="K1209" t="inlineStr">
        <is>
          <t>Richard, L. (Louis), 1880-1956.</t>
        </is>
      </c>
      <c r="L1209" t="inlineStr">
        <is>
          <t>Baltimore : Helicon, [1966]</t>
        </is>
      </c>
      <c r="M1209" t="inlineStr">
        <is>
          <t>1966</t>
        </is>
      </c>
      <c r="O1209" t="inlineStr">
        <is>
          <t>fre</t>
        </is>
      </c>
      <c r="P1209" t="inlineStr">
        <is>
          <t>___</t>
        </is>
      </c>
      <c r="R1209" t="inlineStr">
        <is>
          <t xml:space="preserve">BT </t>
        </is>
      </c>
      <c r="S1209" t="n">
        <v>4</v>
      </c>
      <c r="T1209" t="n">
        <v>4</v>
      </c>
      <c r="U1209" t="inlineStr">
        <is>
          <t>1999-09-12</t>
        </is>
      </c>
      <c r="V1209" t="inlineStr">
        <is>
          <t>1999-09-12</t>
        </is>
      </c>
      <c r="W1209" t="inlineStr">
        <is>
          <t>1991-10-21</t>
        </is>
      </c>
      <c r="X1209" t="inlineStr">
        <is>
          <t>1991-10-21</t>
        </is>
      </c>
      <c r="Y1209" t="n">
        <v>148</v>
      </c>
      <c r="Z1209" t="n">
        <v>134</v>
      </c>
      <c r="AA1209" t="n">
        <v>134</v>
      </c>
      <c r="AB1209" t="n">
        <v>1</v>
      </c>
      <c r="AC1209" t="n">
        <v>1</v>
      </c>
      <c r="AD1209" t="n">
        <v>25</v>
      </c>
      <c r="AE1209" t="n">
        <v>25</v>
      </c>
      <c r="AF1209" t="n">
        <v>8</v>
      </c>
      <c r="AG1209" t="n">
        <v>8</v>
      </c>
      <c r="AH1209" t="n">
        <v>7</v>
      </c>
      <c r="AI1209" t="n">
        <v>7</v>
      </c>
      <c r="AJ1209" t="n">
        <v>20</v>
      </c>
      <c r="AK1209" t="n">
        <v>20</v>
      </c>
      <c r="AL1209" t="n">
        <v>0</v>
      </c>
      <c r="AM1209" t="n">
        <v>0</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HYPERLINK("https://creighton-primo.hosted.exlibrisgroup.com/primo-explore/search?tab=default_tab&amp;search_scope=EVERYTHING&amp;vid=01CRU&amp;lang=en_US&amp;offset=0&amp;query=any,contains,991003076789702656","Catalog Record")</f>
        <v/>
      </c>
      <c r="AT1209">
        <f>HYPERLINK("http://www.worldcat.org/oclc/629365","WorldCat Record")</f>
        <v/>
      </c>
      <c r="AU1209" t="inlineStr">
        <is>
          <t>9593501380:fre</t>
        </is>
      </c>
      <c r="AV1209" t="inlineStr">
        <is>
          <t>629365</t>
        </is>
      </c>
      <c r="AW1209" t="inlineStr">
        <is>
          <t>991003076789702656</t>
        </is>
      </c>
      <c r="AX1209" t="inlineStr">
        <is>
          <t>991003076789702656</t>
        </is>
      </c>
      <c r="AY1209" t="inlineStr">
        <is>
          <t>2268850950002656</t>
        </is>
      </c>
      <c r="AZ1209" t="inlineStr">
        <is>
          <t>BOOK</t>
        </is>
      </c>
      <c r="BC1209" t="inlineStr">
        <is>
          <t>32285000806702</t>
        </is>
      </c>
      <c r="BD1209" t="inlineStr">
        <is>
          <t>893704876</t>
        </is>
      </c>
    </row>
    <row r="1210">
      <c r="A1210" t="inlineStr">
        <is>
          <t>No</t>
        </is>
      </c>
      <c r="B1210" t="inlineStr">
        <is>
          <t>BT775 .R5613 1909</t>
        </is>
      </c>
      <c r="C1210" t="inlineStr">
        <is>
          <t>0                      BT 0775000R  5613        1909</t>
        </is>
      </c>
      <c r="D1210" t="inlineStr">
        <is>
          <t>The doctrine of the atonement : a historical essay / by J. Riviere. Authorised translation by Luigi Cappadelta.</t>
        </is>
      </c>
      <c r="E1210" t="inlineStr">
        <is>
          <t>V.1</t>
        </is>
      </c>
      <c r="F1210" t="inlineStr">
        <is>
          <t>Yes</t>
        </is>
      </c>
      <c r="G1210" t="inlineStr">
        <is>
          <t>1</t>
        </is>
      </c>
      <c r="H1210" t="inlineStr">
        <is>
          <t>No</t>
        </is>
      </c>
      <c r="I1210" t="inlineStr">
        <is>
          <t>No</t>
        </is>
      </c>
      <c r="J1210" t="inlineStr">
        <is>
          <t>0</t>
        </is>
      </c>
      <c r="K1210" t="inlineStr">
        <is>
          <t>Rivière, Jean, 1878-1946.</t>
        </is>
      </c>
      <c r="L1210" t="inlineStr">
        <is>
          <t>London : Kegan Paul, Trench, Trübner, 1909.</t>
        </is>
      </c>
      <c r="M1210" t="inlineStr">
        <is>
          <t>1909</t>
        </is>
      </c>
      <c r="O1210" t="inlineStr">
        <is>
          <t>eng</t>
        </is>
      </c>
      <c r="P1210" t="inlineStr">
        <is>
          <t>___</t>
        </is>
      </c>
      <c r="Q1210" t="inlineStr">
        <is>
          <t>The International Catholic library, v. 12, 15</t>
        </is>
      </c>
      <c r="R1210" t="inlineStr">
        <is>
          <t xml:space="preserve">BT </t>
        </is>
      </c>
      <c r="S1210" t="n">
        <v>2</v>
      </c>
      <c r="T1210" t="n">
        <v>4</v>
      </c>
      <c r="U1210" t="inlineStr">
        <is>
          <t>2008-04-14</t>
        </is>
      </c>
      <c r="V1210" t="inlineStr">
        <is>
          <t>2008-04-14</t>
        </is>
      </c>
      <c r="W1210" t="inlineStr">
        <is>
          <t>1991-10-21</t>
        </is>
      </c>
      <c r="X1210" t="inlineStr">
        <is>
          <t>1991-10-21</t>
        </is>
      </c>
      <c r="Y1210" t="n">
        <v>80</v>
      </c>
      <c r="Z1210" t="n">
        <v>65</v>
      </c>
      <c r="AA1210" t="n">
        <v>121</v>
      </c>
      <c r="AB1210" t="n">
        <v>1</v>
      </c>
      <c r="AC1210" t="n">
        <v>2</v>
      </c>
      <c r="AD1210" t="n">
        <v>10</v>
      </c>
      <c r="AE1210" t="n">
        <v>11</v>
      </c>
      <c r="AF1210" t="n">
        <v>1</v>
      </c>
      <c r="AG1210" t="n">
        <v>1</v>
      </c>
      <c r="AH1210" t="n">
        <v>3</v>
      </c>
      <c r="AI1210" t="n">
        <v>3</v>
      </c>
      <c r="AJ1210" t="n">
        <v>9</v>
      </c>
      <c r="AK1210" t="n">
        <v>10</v>
      </c>
      <c r="AL1210" t="n">
        <v>0</v>
      </c>
      <c r="AM1210" t="n">
        <v>0</v>
      </c>
      <c r="AN1210" t="n">
        <v>0</v>
      </c>
      <c r="AO1210" t="n">
        <v>0</v>
      </c>
      <c r="AP1210" t="inlineStr">
        <is>
          <t>Yes</t>
        </is>
      </c>
      <c r="AQ1210" t="inlineStr">
        <is>
          <t>No</t>
        </is>
      </c>
      <c r="AR1210">
        <f>HYPERLINK("http://catalog.hathitrust.org/Record/012308093","HathiTrust Record")</f>
        <v/>
      </c>
      <c r="AS1210">
        <f>HYPERLINK("https://creighton-primo.hosted.exlibrisgroup.com/primo-explore/search?tab=default_tab&amp;search_scope=EVERYTHING&amp;vid=01CRU&amp;lang=en_US&amp;offset=0&amp;query=any,contains,991003822369702656","Catalog Record")</f>
        <v/>
      </c>
      <c r="AT1210">
        <f>HYPERLINK("http://www.worldcat.org/oclc/1562215","WorldCat Record")</f>
        <v/>
      </c>
      <c r="AU1210" t="inlineStr">
        <is>
          <t>3144653775:eng</t>
        </is>
      </c>
      <c r="AV1210" t="inlineStr">
        <is>
          <t>1562215</t>
        </is>
      </c>
      <c r="AW1210" t="inlineStr">
        <is>
          <t>991003822369702656</t>
        </is>
      </c>
      <c r="AX1210" t="inlineStr">
        <is>
          <t>991003822369702656</t>
        </is>
      </c>
      <c r="AY1210" t="inlineStr">
        <is>
          <t>2263821450002656</t>
        </is>
      </c>
      <c r="AZ1210" t="inlineStr">
        <is>
          <t>BOOK</t>
        </is>
      </c>
      <c r="BC1210" t="inlineStr">
        <is>
          <t>32285000806710</t>
        </is>
      </c>
      <c r="BD1210" t="inlineStr">
        <is>
          <t>893228507</t>
        </is>
      </c>
    </row>
    <row r="1211">
      <c r="A1211" t="inlineStr">
        <is>
          <t>No</t>
        </is>
      </c>
      <c r="B1211" t="inlineStr">
        <is>
          <t>BT775 .R5613 1909</t>
        </is>
      </c>
      <c r="C1211" t="inlineStr">
        <is>
          <t>0                      BT 0775000R  5613        1909</t>
        </is>
      </c>
      <c r="D1211" t="inlineStr">
        <is>
          <t>The doctrine of the atonement : a historical essay / by J. Riviere. Authorised translation by Luigi Cappadelta.</t>
        </is>
      </c>
      <c r="E1211" t="inlineStr">
        <is>
          <t>V.2</t>
        </is>
      </c>
      <c r="F1211" t="inlineStr">
        <is>
          <t>Yes</t>
        </is>
      </c>
      <c r="G1211" t="inlineStr">
        <is>
          <t>1</t>
        </is>
      </c>
      <c r="H1211" t="inlineStr">
        <is>
          <t>No</t>
        </is>
      </c>
      <c r="I1211" t="inlineStr">
        <is>
          <t>No</t>
        </is>
      </c>
      <c r="J1211" t="inlineStr">
        <is>
          <t>0</t>
        </is>
      </c>
      <c r="K1211" t="inlineStr">
        <is>
          <t>Rivière, Jean, 1878-1946.</t>
        </is>
      </c>
      <c r="L1211" t="inlineStr">
        <is>
          <t>London : Kegan Paul, Trench, Trübner, 1909.</t>
        </is>
      </c>
      <c r="M1211" t="inlineStr">
        <is>
          <t>1909</t>
        </is>
      </c>
      <c r="O1211" t="inlineStr">
        <is>
          <t>eng</t>
        </is>
      </c>
      <c r="P1211" t="inlineStr">
        <is>
          <t>___</t>
        </is>
      </c>
      <c r="Q1211" t="inlineStr">
        <is>
          <t>The International Catholic library, v. 12, 15</t>
        </is>
      </c>
      <c r="R1211" t="inlineStr">
        <is>
          <t xml:space="preserve">BT </t>
        </is>
      </c>
      <c r="S1211" t="n">
        <v>2</v>
      </c>
      <c r="T1211" t="n">
        <v>4</v>
      </c>
      <c r="U1211" t="inlineStr">
        <is>
          <t>2008-04-14</t>
        </is>
      </c>
      <c r="V1211" t="inlineStr">
        <is>
          <t>2008-04-14</t>
        </is>
      </c>
      <c r="W1211" t="inlineStr">
        <is>
          <t>1991-10-21</t>
        </is>
      </c>
      <c r="X1211" t="inlineStr">
        <is>
          <t>1991-10-21</t>
        </is>
      </c>
      <c r="Y1211" t="n">
        <v>80</v>
      </c>
      <c r="Z1211" t="n">
        <v>65</v>
      </c>
      <c r="AA1211" t="n">
        <v>121</v>
      </c>
      <c r="AB1211" t="n">
        <v>1</v>
      </c>
      <c r="AC1211" t="n">
        <v>2</v>
      </c>
      <c r="AD1211" t="n">
        <v>10</v>
      </c>
      <c r="AE1211" t="n">
        <v>11</v>
      </c>
      <c r="AF1211" t="n">
        <v>1</v>
      </c>
      <c r="AG1211" t="n">
        <v>1</v>
      </c>
      <c r="AH1211" t="n">
        <v>3</v>
      </c>
      <c r="AI1211" t="n">
        <v>3</v>
      </c>
      <c r="AJ1211" t="n">
        <v>9</v>
      </c>
      <c r="AK1211" t="n">
        <v>10</v>
      </c>
      <c r="AL1211" t="n">
        <v>0</v>
      </c>
      <c r="AM1211" t="n">
        <v>0</v>
      </c>
      <c r="AN1211" t="n">
        <v>0</v>
      </c>
      <c r="AO1211" t="n">
        <v>0</v>
      </c>
      <c r="AP1211" t="inlineStr">
        <is>
          <t>Yes</t>
        </is>
      </c>
      <c r="AQ1211" t="inlineStr">
        <is>
          <t>No</t>
        </is>
      </c>
      <c r="AR1211">
        <f>HYPERLINK("http://catalog.hathitrust.org/Record/012308093","HathiTrust Record")</f>
        <v/>
      </c>
      <c r="AS1211">
        <f>HYPERLINK("https://creighton-primo.hosted.exlibrisgroup.com/primo-explore/search?tab=default_tab&amp;search_scope=EVERYTHING&amp;vid=01CRU&amp;lang=en_US&amp;offset=0&amp;query=any,contains,991003822369702656","Catalog Record")</f>
        <v/>
      </c>
      <c r="AT1211">
        <f>HYPERLINK("http://www.worldcat.org/oclc/1562215","WorldCat Record")</f>
        <v/>
      </c>
      <c r="AU1211" t="inlineStr">
        <is>
          <t>3144653775:eng</t>
        </is>
      </c>
      <c r="AV1211" t="inlineStr">
        <is>
          <t>1562215</t>
        </is>
      </c>
      <c r="AW1211" t="inlineStr">
        <is>
          <t>991003822369702656</t>
        </is>
      </c>
      <c r="AX1211" t="inlineStr">
        <is>
          <t>991003822369702656</t>
        </is>
      </c>
      <c r="AY1211" t="inlineStr">
        <is>
          <t>2263821450002656</t>
        </is>
      </c>
      <c r="AZ1211" t="inlineStr">
        <is>
          <t>BOOK</t>
        </is>
      </c>
      <c r="BC1211" t="inlineStr">
        <is>
          <t>32285000806728</t>
        </is>
      </c>
      <c r="BD1211" t="inlineStr">
        <is>
          <t>893240647</t>
        </is>
      </c>
    </row>
    <row r="1212">
      <c r="A1212" t="inlineStr">
        <is>
          <t>No</t>
        </is>
      </c>
      <c r="B1212" t="inlineStr">
        <is>
          <t>BT775 .S45 1967</t>
        </is>
      </c>
      <c r="C1212" t="inlineStr">
        <is>
          <t>0                      BT 0775000S  45          1967</t>
        </is>
      </c>
      <c r="D1212" t="inlineStr">
        <is>
          <t>The theology of the atonement : readings in soteriology / edited by John R. Sheets.</t>
        </is>
      </c>
      <c r="F1212" t="inlineStr">
        <is>
          <t>No</t>
        </is>
      </c>
      <c r="G1212" t="inlineStr">
        <is>
          <t>1</t>
        </is>
      </c>
      <c r="H1212" t="inlineStr">
        <is>
          <t>No</t>
        </is>
      </c>
      <c r="I1212" t="inlineStr">
        <is>
          <t>No</t>
        </is>
      </c>
      <c r="J1212" t="inlineStr">
        <is>
          <t>0</t>
        </is>
      </c>
      <c r="K1212" t="inlineStr">
        <is>
          <t>Sheets, John R., compiler.</t>
        </is>
      </c>
      <c r="L1212" t="inlineStr">
        <is>
          <t>Englewood Cliffs, N.J. : Prentice-Hall, [1967]</t>
        </is>
      </c>
      <c r="M1212" t="inlineStr">
        <is>
          <t>1967</t>
        </is>
      </c>
      <c r="O1212" t="inlineStr">
        <is>
          <t>eng</t>
        </is>
      </c>
      <c r="P1212" t="inlineStr">
        <is>
          <t>nju</t>
        </is>
      </c>
      <c r="R1212" t="inlineStr">
        <is>
          <t xml:space="preserve">BT </t>
        </is>
      </c>
      <c r="S1212" t="n">
        <v>8</v>
      </c>
      <c r="T1212" t="n">
        <v>8</v>
      </c>
      <c r="U1212" t="inlineStr">
        <is>
          <t>2006-11-20</t>
        </is>
      </c>
      <c r="V1212" t="inlineStr">
        <is>
          <t>2006-11-20</t>
        </is>
      </c>
      <c r="W1212" t="inlineStr">
        <is>
          <t>1990-03-08</t>
        </is>
      </c>
      <c r="X1212" t="inlineStr">
        <is>
          <t>1990-03-08</t>
        </is>
      </c>
      <c r="Y1212" t="n">
        <v>288</v>
      </c>
      <c r="Z1212" t="n">
        <v>257</v>
      </c>
      <c r="AA1212" t="n">
        <v>264</v>
      </c>
      <c r="AB1212" t="n">
        <v>3</v>
      </c>
      <c r="AC1212" t="n">
        <v>3</v>
      </c>
      <c r="AD1212" t="n">
        <v>30</v>
      </c>
      <c r="AE1212" t="n">
        <v>30</v>
      </c>
      <c r="AF1212" t="n">
        <v>8</v>
      </c>
      <c r="AG1212" t="n">
        <v>8</v>
      </c>
      <c r="AH1212" t="n">
        <v>9</v>
      </c>
      <c r="AI1212" t="n">
        <v>9</v>
      </c>
      <c r="AJ1212" t="n">
        <v>19</v>
      </c>
      <c r="AK1212" t="n">
        <v>19</v>
      </c>
      <c r="AL1212" t="n">
        <v>1</v>
      </c>
      <c r="AM1212" t="n">
        <v>1</v>
      </c>
      <c r="AN1212" t="n">
        <v>0</v>
      </c>
      <c r="AO1212" t="n">
        <v>0</v>
      </c>
      <c r="AP1212" t="inlineStr">
        <is>
          <t>No</t>
        </is>
      </c>
      <c r="AQ1212" t="inlineStr">
        <is>
          <t>Yes</t>
        </is>
      </c>
      <c r="AR1212">
        <f>HYPERLINK("http://catalog.hathitrust.org/Record/009802086","HathiTrust Record")</f>
        <v/>
      </c>
      <c r="AS1212">
        <f>HYPERLINK("https://creighton-primo.hosted.exlibrisgroup.com/primo-explore/search?tab=default_tab&amp;search_scope=EVERYTHING&amp;vid=01CRU&amp;lang=en_US&amp;offset=0&amp;query=any,contains,991003391279702656","Catalog Record")</f>
        <v/>
      </c>
      <c r="AT1212">
        <f>HYPERLINK("http://www.worldcat.org/oclc/929276","WorldCat Record")</f>
        <v/>
      </c>
      <c r="AU1212" t="inlineStr">
        <is>
          <t>1044377813:eng</t>
        </is>
      </c>
      <c r="AV1212" t="inlineStr">
        <is>
          <t>929276</t>
        </is>
      </c>
      <c r="AW1212" t="inlineStr">
        <is>
          <t>991003391279702656</t>
        </is>
      </c>
      <c r="AX1212" t="inlineStr">
        <is>
          <t>991003391279702656</t>
        </is>
      </c>
      <c r="AY1212" t="inlineStr">
        <is>
          <t>2267909360002656</t>
        </is>
      </c>
      <c r="AZ1212" t="inlineStr">
        <is>
          <t>BOOK</t>
        </is>
      </c>
      <c r="BC1212" t="inlineStr">
        <is>
          <t>32285000078575</t>
        </is>
      </c>
      <c r="BD1212" t="inlineStr">
        <is>
          <t>893317947</t>
        </is>
      </c>
    </row>
    <row r="1213">
      <c r="A1213" t="inlineStr">
        <is>
          <t>No</t>
        </is>
      </c>
      <c r="B1213" t="inlineStr">
        <is>
          <t>BT775 .W68 1961</t>
        </is>
      </c>
      <c r="C1213" t="inlineStr">
        <is>
          <t>0                      BT 0775000W  68          1961</t>
        </is>
      </c>
      <c r="D1213" t="inlineStr">
        <is>
          <t>From limbo to heaven : an essay on the economy of the redemption / Vincent Wilkin. With a preface by Maurice Bévenot.</t>
        </is>
      </c>
      <c r="F1213" t="inlineStr">
        <is>
          <t>No</t>
        </is>
      </c>
      <c r="G1213" t="inlineStr">
        <is>
          <t>1</t>
        </is>
      </c>
      <c r="H1213" t="inlineStr">
        <is>
          <t>No</t>
        </is>
      </c>
      <c r="I1213" t="inlineStr">
        <is>
          <t>No</t>
        </is>
      </c>
      <c r="J1213" t="inlineStr">
        <is>
          <t>0</t>
        </is>
      </c>
      <c r="K1213" t="inlineStr">
        <is>
          <t>Wilkin, Vincent.</t>
        </is>
      </c>
      <c r="L1213" t="inlineStr">
        <is>
          <t>New York : Sheed and Ward, [1961]</t>
        </is>
      </c>
      <c r="M1213" t="inlineStr">
        <is>
          <t>1961</t>
        </is>
      </c>
      <c r="O1213" t="inlineStr">
        <is>
          <t>eng</t>
        </is>
      </c>
      <c r="P1213" t="inlineStr">
        <is>
          <t>nyu</t>
        </is>
      </c>
      <c r="R1213" t="inlineStr">
        <is>
          <t xml:space="preserve">BT </t>
        </is>
      </c>
      <c r="S1213" t="n">
        <v>3</v>
      </c>
      <c r="T1213" t="n">
        <v>3</v>
      </c>
      <c r="U1213" t="inlineStr">
        <is>
          <t>1994-07-11</t>
        </is>
      </c>
      <c r="V1213" t="inlineStr">
        <is>
          <t>1994-07-11</t>
        </is>
      </c>
      <c r="W1213" t="inlineStr">
        <is>
          <t>1991-10-21</t>
        </is>
      </c>
      <c r="X1213" t="inlineStr">
        <is>
          <t>1991-10-21</t>
        </is>
      </c>
      <c r="Y1213" t="n">
        <v>146</v>
      </c>
      <c r="Z1213" t="n">
        <v>123</v>
      </c>
      <c r="AA1213" t="n">
        <v>125</v>
      </c>
      <c r="AB1213" t="n">
        <v>3</v>
      </c>
      <c r="AC1213" t="n">
        <v>3</v>
      </c>
      <c r="AD1213" t="n">
        <v>26</v>
      </c>
      <c r="AE1213" t="n">
        <v>26</v>
      </c>
      <c r="AF1213" t="n">
        <v>8</v>
      </c>
      <c r="AG1213" t="n">
        <v>8</v>
      </c>
      <c r="AH1213" t="n">
        <v>7</v>
      </c>
      <c r="AI1213" t="n">
        <v>7</v>
      </c>
      <c r="AJ1213" t="n">
        <v>20</v>
      </c>
      <c r="AK1213" t="n">
        <v>20</v>
      </c>
      <c r="AL1213" t="n">
        <v>1</v>
      </c>
      <c r="AM1213" t="n">
        <v>1</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HYPERLINK("https://creighton-primo.hosted.exlibrisgroup.com/primo-explore/search?tab=default_tab&amp;search_scope=EVERYTHING&amp;vid=01CRU&amp;lang=en_US&amp;offset=0&amp;query=any,contains,991003967619702656","Catalog Record")</f>
        <v/>
      </c>
      <c r="AT1213">
        <f>HYPERLINK("http://www.worldcat.org/oclc/1988938","WorldCat Record")</f>
        <v/>
      </c>
      <c r="AU1213" t="inlineStr">
        <is>
          <t>3209374:eng</t>
        </is>
      </c>
      <c r="AV1213" t="inlineStr">
        <is>
          <t>1988938</t>
        </is>
      </c>
      <c r="AW1213" t="inlineStr">
        <is>
          <t>991003967619702656</t>
        </is>
      </c>
      <c r="AX1213" t="inlineStr">
        <is>
          <t>991003967619702656</t>
        </is>
      </c>
      <c r="AY1213" t="inlineStr">
        <is>
          <t>2268392490002656</t>
        </is>
      </c>
      <c r="AZ1213" t="inlineStr">
        <is>
          <t>BOOK</t>
        </is>
      </c>
      <c r="BC1213" t="inlineStr">
        <is>
          <t>32285000806744</t>
        </is>
      </c>
      <c r="BD1213" t="inlineStr">
        <is>
          <t>893535744</t>
        </is>
      </c>
    </row>
    <row r="1214">
      <c r="A1214" t="inlineStr">
        <is>
          <t>No</t>
        </is>
      </c>
      <c r="B1214" t="inlineStr">
        <is>
          <t>BT78 .B2613 1982, v.4</t>
        </is>
      </c>
      <c r="C1214" t="inlineStr">
        <is>
          <t>0                      BT 0078000B  2613        1982                                        v.4</t>
        </is>
      </c>
      <c r="D1214" t="inlineStr">
        <is>
          <t>The realm of metaphysics in antiquity / translated by Brian McNeil ... [et al.] ; edited by John Riches.</t>
        </is>
      </c>
      <c r="E1214" t="inlineStr">
        <is>
          <t>V.4</t>
        </is>
      </c>
      <c r="F1214" t="inlineStr">
        <is>
          <t>No</t>
        </is>
      </c>
      <c r="G1214" t="inlineStr">
        <is>
          <t>1</t>
        </is>
      </c>
      <c r="H1214" t="inlineStr">
        <is>
          <t>No</t>
        </is>
      </c>
      <c r="I1214" t="inlineStr">
        <is>
          <t>No</t>
        </is>
      </c>
      <c r="J1214" t="inlineStr">
        <is>
          <t>0</t>
        </is>
      </c>
      <c r="K1214" t="inlineStr">
        <is>
          <t>Balthasar, Hans Urs von, 1905-1988.</t>
        </is>
      </c>
      <c r="L1214" t="inlineStr">
        <is>
          <t>San Francisco : Ignatius Press, 1989.</t>
        </is>
      </c>
      <c r="M1214" t="inlineStr">
        <is>
          <t>1989</t>
        </is>
      </c>
      <c r="O1214" t="inlineStr">
        <is>
          <t>eng</t>
        </is>
      </c>
      <c r="P1214" t="inlineStr">
        <is>
          <t>cau</t>
        </is>
      </c>
      <c r="Q1214" t="inlineStr">
        <is>
          <t>The glory of the Lord / by Hans Urs von Balthasar ; v. 4</t>
        </is>
      </c>
      <c r="R1214" t="inlineStr">
        <is>
          <t xml:space="preserve">BT </t>
        </is>
      </c>
      <c r="S1214" t="n">
        <v>3</v>
      </c>
      <c r="T1214" t="n">
        <v>3</v>
      </c>
      <c r="U1214" t="inlineStr">
        <is>
          <t>2010-10-14</t>
        </is>
      </c>
      <c r="V1214" t="inlineStr">
        <is>
          <t>2010-10-14</t>
        </is>
      </c>
      <c r="W1214" t="inlineStr">
        <is>
          <t>1990-01-18</t>
        </is>
      </c>
      <c r="X1214" t="inlineStr">
        <is>
          <t>1990-01-18</t>
        </is>
      </c>
      <c r="Y1214" t="n">
        <v>80</v>
      </c>
      <c r="Z1214" t="n">
        <v>75</v>
      </c>
      <c r="AA1214" t="n">
        <v>114</v>
      </c>
      <c r="AB1214" t="n">
        <v>2</v>
      </c>
      <c r="AC1214" t="n">
        <v>2</v>
      </c>
      <c r="AD1214" t="n">
        <v>10</v>
      </c>
      <c r="AE1214" t="n">
        <v>12</v>
      </c>
      <c r="AF1214" t="n">
        <v>2</v>
      </c>
      <c r="AG1214" t="n">
        <v>3</v>
      </c>
      <c r="AH1214" t="n">
        <v>3</v>
      </c>
      <c r="AI1214" t="n">
        <v>3</v>
      </c>
      <c r="AJ1214" t="n">
        <v>8</v>
      </c>
      <c r="AK1214" t="n">
        <v>10</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HYPERLINK("https://creighton-primo.hosted.exlibrisgroup.com/primo-explore/search?tab=default_tab&amp;search_scope=EVERYTHING&amp;vid=01CRU&amp;lang=en_US&amp;offset=0&amp;query=any,contains,991001544899702656","Catalog Record")</f>
        <v/>
      </c>
      <c r="AT1214">
        <f>HYPERLINK("http://www.worldcat.org/oclc/20157943","WorldCat Record")</f>
        <v/>
      </c>
      <c r="AU1214" t="inlineStr">
        <is>
          <t>2085745385:eng</t>
        </is>
      </c>
      <c r="AV1214" t="inlineStr">
        <is>
          <t>20157943</t>
        </is>
      </c>
      <c r="AW1214" t="inlineStr">
        <is>
          <t>991001544899702656</t>
        </is>
      </c>
      <c r="AX1214" t="inlineStr">
        <is>
          <t>991001544899702656</t>
        </is>
      </c>
      <c r="AY1214" t="inlineStr">
        <is>
          <t>2258265610002656</t>
        </is>
      </c>
      <c r="AZ1214" t="inlineStr">
        <is>
          <t>BOOK</t>
        </is>
      </c>
      <c r="BB1214" t="inlineStr">
        <is>
          <t>9780898702460</t>
        </is>
      </c>
      <c r="BC1214" t="inlineStr">
        <is>
          <t>32285000029198</t>
        </is>
      </c>
      <c r="BD1214" t="inlineStr">
        <is>
          <t>893256300</t>
        </is>
      </c>
    </row>
    <row r="1215">
      <c r="A1215" t="inlineStr">
        <is>
          <t>No</t>
        </is>
      </c>
      <c r="B1215" t="inlineStr">
        <is>
          <t>BT78 .B2613 1982, v.5</t>
        </is>
      </c>
      <c r="C1215" t="inlineStr">
        <is>
          <t>0                      BT 0078000B  2613        1982                                        v.5</t>
        </is>
      </c>
      <c r="D1215" t="inlineStr">
        <is>
          <t>The realm of metaphysics in the modern age / by Hans Urs von Balthasar ; translated by Oliver Davies ... [et al.] ; edited by Brian McNeil and John Riches.</t>
        </is>
      </c>
      <c r="E1215" t="inlineStr">
        <is>
          <t>V.5</t>
        </is>
      </c>
      <c r="F1215" t="inlineStr">
        <is>
          <t>No</t>
        </is>
      </c>
      <c r="G1215" t="inlineStr">
        <is>
          <t>1</t>
        </is>
      </c>
      <c r="H1215" t="inlineStr">
        <is>
          <t>No</t>
        </is>
      </c>
      <c r="I1215" t="inlineStr">
        <is>
          <t>No</t>
        </is>
      </c>
      <c r="J1215" t="inlineStr">
        <is>
          <t>0</t>
        </is>
      </c>
      <c r="K1215" t="inlineStr">
        <is>
          <t>Balthasar, Hans Urs von, 1905-1988.</t>
        </is>
      </c>
      <c r="L1215" t="inlineStr">
        <is>
          <t>San Francisco : Ignatius Press, 1991.</t>
        </is>
      </c>
      <c r="M1215" t="inlineStr">
        <is>
          <t>1991</t>
        </is>
      </c>
      <c r="O1215" t="inlineStr">
        <is>
          <t>eng</t>
        </is>
      </c>
      <c r="P1215" t="inlineStr">
        <is>
          <t>cau</t>
        </is>
      </c>
      <c r="Q1215" t="inlineStr">
        <is>
          <t>The glory of the Lord / by Hans Urs von Balthasar ; v. 5</t>
        </is>
      </c>
      <c r="R1215" t="inlineStr">
        <is>
          <t xml:space="preserve">BT </t>
        </is>
      </c>
      <c r="S1215" t="n">
        <v>4</v>
      </c>
      <c r="T1215" t="n">
        <v>4</v>
      </c>
      <c r="U1215" t="inlineStr">
        <is>
          <t>2010-10-14</t>
        </is>
      </c>
      <c r="V1215" t="inlineStr">
        <is>
          <t>2010-10-14</t>
        </is>
      </c>
      <c r="W1215" t="inlineStr">
        <is>
          <t>1991-07-10</t>
        </is>
      </c>
      <c r="X1215" t="inlineStr">
        <is>
          <t>1991-07-10</t>
        </is>
      </c>
      <c r="Y1215" t="n">
        <v>79</v>
      </c>
      <c r="Z1215" t="n">
        <v>71</v>
      </c>
      <c r="AA1215" t="n">
        <v>96</v>
      </c>
      <c r="AB1215" t="n">
        <v>1</v>
      </c>
      <c r="AC1215" t="n">
        <v>1</v>
      </c>
      <c r="AD1215" t="n">
        <v>12</v>
      </c>
      <c r="AE1215" t="n">
        <v>13</v>
      </c>
      <c r="AF1215" t="n">
        <v>3</v>
      </c>
      <c r="AG1215" t="n">
        <v>3</v>
      </c>
      <c r="AH1215" t="n">
        <v>4</v>
      </c>
      <c r="AI1215" t="n">
        <v>4</v>
      </c>
      <c r="AJ1215" t="n">
        <v>9</v>
      </c>
      <c r="AK1215" t="n">
        <v>10</v>
      </c>
      <c r="AL1215" t="n">
        <v>0</v>
      </c>
      <c r="AM1215" t="n">
        <v>0</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HYPERLINK("https://creighton-primo.hosted.exlibrisgroup.com/primo-explore/search?tab=default_tab&amp;search_scope=EVERYTHING&amp;vid=01CRU&amp;lang=en_US&amp;offset=0&amp;query=any,contains,991001879469702656","Catalog Record")</f>
        <v/>
      </c>
      <c r="AT1215">
        <f>HYPERLINK("http://www.worldcat.org/oclc/23712064","WorldCat Record")</f>
        <v/>
      </c>
      <c r="AU1215" t="inlineStr">
        <is>
          <t>4925587194:eng</t>
        </is>
      </c>
      <c r="AV1215" t="inlineStr">
        <is>
          <t>23712064</t>
        </is>
      </c>
      <c r="AW1215" t="inlineStr">
        <is>
          <t>991001879469702656</t>
        </is>
      </c>
      <c r="AX1215" t="inlineStr">
        <is>
          <t>991001879469702656</t>
        </is>
      </c>
      <c r="AY1215" t="inlineStr">
        <is>
          <t>2255234910002656</t>
        </is>
      </c>
      <c r="AZ1215" t="inlineStr">
        <is>
          <t>BOOK</t>
        </is>
      </c>
      <c r="BB1215" t="inlineStr">
        <is>
          <t>9780898702477</t>
        </is>
      </c>
      <c r="BC1215" t="inlineStr">
        <is>
          <t>32285000661065</t>
        </is>
      </c>
      <c r="BD1215" t="inlineStr">
        <is>
          <t>893444836</t>
        </is>
      </c>
    </row>
    <row r="1216">
      <c r="A1216" t="inlineStr">
        <is>
          <t>No</t>
        </is>
      </c>
      <c r="B1216" t="inlineStr">
        <is>
          <t>BT78 .B2613 1982, v.6</t>
        </is>
      </c>
      <c r="C1216" t="inlineStr">
        <is>
          <t>0                      BT 0078000B  2613        1982                                        v.6</t>
        </is>
      </c>
      <c r="D1216" t="inlineStr">
        <is>
          <t>Theology : the old covenant / Hans Urs von Balthasar ; translated by Brian McNeil and Erasmo Leiva-Merikakis ; edited by John Riches.</t>
        </is>
      </c>
      <c r="E1216" t="inlineStr">
        <is>
          <t>V.6</t>
        </is>
      </c>
      <c r="F1216" t="inlineStr">
        <is>
          <t>No</t>
        </is>
      </c>
      <c r="G1216" t="inlineStr">
        <is>
          <t>1</t>
        </is>
      </c>
      <c r="H1216" t="inlineStr">
        <is>
          <t>No</t>
        </is>
      </c>
      <c r="I1216" t="inlineStr">
        <is>
          <t>No</t>
        </is>
      </c>
      <c r="J1216" t="inlineStr">
        <is>
          <t>0</t>
        </is>
      </c>
      <c r="K1216" t="inlineStr">
        <is>
          <t>Balthasar, Hans Urs von, 1905-1988.</t>
        </is>
      </c>
      <c r="L1216" t="inlineStr">
        <is>
          <t>San Francisco : Ignatius Press, 1991.</t>
        </is>
      </c>
      <c r="M1216" t="inlineStr">
        <is>
          <t>1991</t>
        </is>
      </c>
      <c r="O1216" t="inlineStr">
        <is>
          <t>eng</t>
        </is>
      </c>
      <c r="P1216" t="inlineStr">
        <is>
          <t>cau</t>
        </is>
      </c>
      <c r="Q1216" t="inlineStr">
        <is>
          <t>The glory of the Lord / by Hans Urs von Balthasar ; v. 6</t>
        </is>
      </c>
      <c r="R1216" t="inlineStr">
        <is>
          <t xml:space="preserve">BT </t>
        </is>
      </c>
      <c r="S1216" t="n">
        <v>3</v>
      </c>
      <c r="T1216" t="n">
        <v>3</v>
      </c>
      <c r="U1216" t="inlineStr">
        <is>
          <t>1993-03-23</t>
        </is>
      </c>
      <c r="V1216" t="inlineStr">
        <is>
          <t>1993-03-23</t>
        </is>
      </c>
      <c r="W1216" t="inlineStr">
        <is>
          <t>1991-07-10</t>
        </is>
      </c>
      <c r="X1216" t="inlineStr">
        <is>
          <t>1991-07-10</t>
        </is>
      </c>
      <c r="Y1216" t="n">
        <v>81</v>
      </c>
      <c r="Z1216" t="n">
        <v>74</v>
      </c>
      <c r="AA1216" t="n">
        <v>86</v>
      </c>
      <c r="AB1216" t="n">
        <v>2</v>
      </c>
      <c r="AC1216" t="n">
        <v>2</v>
      </c>
      <c r="AD1216" t="n">
        <v>12</v>
      </c>
      <c r="AE1216" t="n">
        <v>13</v>
      </c>
      <c r="AF1216" t="n">
        <v>3</v>
      </c>
      <c r="AG1216" t="n">
        <v>3</v>
      </c>
      <c r="AH1216" t="n">
        <v>4</v>
      </c>
      <c r="AI1216" t="n">
        <v>4</v>
      </c>
      <c r="AJ1216" t="n">
        <v>9</v>
      </c>
      <c r="AK1216" t="n">
        <v>10</v>
      </c>
      <c r="AL1216" t="n">
        <v>0</v>
      </c>
      <c r="AM1216" t="n">
        <v>0</v>
      </c>
      <c r="AN1216" t="n">
        <v>0</v>
      </c>
      <c r="AO1216" t="n">
        <v>0</v>
      </c>
      <c r="AP1216" t="inlineStr">
        <is>
          <t>No</t>
        </is>
      </c>
      <c r="AQ1216" t="inlineStr">
        <is>
          <t>No</t>
        </is>
      </c>
      <c r="AS1216">
        <f>HYPERLINK("https://creighton-primo.hosted.exlibrisgroup.com/primo-explore/search?tab=default_tab&amp;search_scope=EVERYTHING&amp;vid=01CRU&amp;lang=en_US&amp;offset=0&amp;query=any,contains,991001879529702656","Catalog Record")</f>
        <v/>
      </c>
      <c r="AT1216">
        <f>HYPERLINK("http://www.worldcat.org/oclc/23712280","WorldCat Record")</f>
        <v/>
      </c>
      <c r="AU1216" t="inlineStr">
        <is>
          <t>58427235:eng</t>
        </is>
      </c>
      <c r="AV1216" t="inlineStr">
        <is>
          <t>23712280</t>
        </is>
      </c>
      <c r="AW1216" t="inlineStr">
        <is>
          <t>991001879529702656</t>
        </is>
      </c>
      <c r="AX1216" t="inlineStr">
        <is>
          <t>991001879529702656</t>
        </is>
      </c>
      <c r="AY1216" t="inlineStr">
        <is>
          <t>2254706400002656</t>
        </is>
      </c>
      <c r="AZ1216" t="inlineStr">
        <is>
          <t>BOOK</t>
        </is>
      </c>
      <c r="BB1216" t="inlineStr">
        <is>
          <t>9780898702484</t>
        </is>
      </c>
      <c r="BC1216" t="inlineStr">
        <is>
          <t>32285000661073</t>
        </is>
      </c>
      <c r="BD1216" t="inlineStr">
        <is>
          <t>893238403</t>
        </is>
      </c>
    </row>
    <row r="1217">
      <c r="A1217" t="inlineStr">
        <is>
          <t>No</t>
        </is>
      </c>
      <c r="B1217" t="inlineStr">
        <is>
          <t>BT78 .B2613 1982, v.7</t>
        </is>
      </c>
      <c r="C1217" t="inlineStr">
        <is>
          <t>0                      BT 0078000B  2613        1982                                        v.7</t>
        </is>
      </c>
      <c r="D1217" t="inlineStr">
        <is>
          <t>Theology : the new covenant / Hans Urs von Balthasar ; translated by Brian McNeil ; edited by John Riches.</t>
        </is>
      </c>
      <c r="E1217" t="inlineStr">
        <is>
          <t>V.7</t>
        </is>
      </c>
      <c r="F1217" t="inlineStr">
        <is>
          <t>No</t>
        </is>
      </c>
      <c r="G1217" t="inlineStr">
        <is>
          <t>1</t>
        </is>
      </c>
      <c r="H1217" t="inlineStr">
        <is>
          <t>No</t>
        </is>
      </c>
      <c r="I1217" t="inlineStr">
        <is>
          <t>No</t>
        </is>
      </c>
      <c r="J1217" t="inlineStr">
        <is>
          <t>0</t>
        </is>
      </c>
      <c r="K1217" t="inlineStr">
        <is>
          <t>Balthasar, Hans Urs von, 1905-1988.</t>
        </is>
      </c>
      <c r="L1217" t="inlineStr">
        <is>
          <t>San Francisco : Ignatius Press, 1989.</t>
        </is>
      </c>
      <c r="M1217" t="inlineStr">
        <is>
          <t>1989</t>
        </is>
      </c>
      <c r="O1217" t="inlineStr">
        <is>
          <t>eng</t>
        </is>
      </c>
      <c r="P1217" t="inlineStr">
        <is>
          <t>cau</t>
        </is>
      </c>
      <c r="Q1217" t="inlineStr">
        <is>
          <t>The glory of the Lord / by Hans Urs von Balthasar ; v. 7</t>
        </is>
      </c>
      <c r="R1217" t="inlineStr">
        <is>
          <t xml:space="preserve">BT </t>
        </is>
      </c>
      <c r="S1217" t="n">
        <v>8</v>
      </c>
      <c r="T1217" t="n">
        <v>8</v>
      </c>
      <c r="U1217" t="inlineStr">
        <is>
          <t>2010-07-19</t>
        </is>
      </c>
      <c r="V1217" t="inlineStr">
        <is>
          <t>2010-07-19</t>
        </is>
      </c>
      <c r="W1217" t="inlineStr">
        <is>
          <t>1994-01-24</t>
        </is>
      </c>
      <c r="X1217" t="inlineStr">
        <is>
          <t>1994-01-24</t>
        </is>
      </c>
      <c r="Y1217" t="n">
        <v>66</v>
      </c>
      <c r="Z1217" t="n">
        <v>61</v>
      </c>
      <c r="AA1217" t="n">
        <v>497</v>
      </c>
      <c r="AB1217" t="n">
        <v>1</v>
      </c>
      <c r="AC1217" t="n">
        <v>4</v>
      </c>
      <c r="AD1217" t="n">
        <v>6</v>
      </c>
      <c r="AE1217" t="n">
        <v>36</v>
      </c>
      <c r="AF1217" t="n">
        <v>2</v>
      </c>
      <c r="AG1217" t="n">
        <v>15</v>
      </c>
      <c r="AH1217" t="n">
        <v>2</v>
      </c>
      <c r="AI1217" t="n">
        <v>7</v>
      </c>
      <c r="AJ1217" t="n">
        <v>5</v>
      </c>
      <c r="AK1217" t="n">
        <v>23</v>
      </c>
      <c r="AL1217" t="n">
        <v>0</v>
      </c>
      <c r="AM1217" t="n">
        <v>2</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HYPERLINK("https://creighton-primo.hosted.exlibrisgroup.com/primo-explore/search?tab=default_tab&amp;search_scope=EVERYTHING&amp;vid=01CRU&amp;lang=en_US&amp;offset=0&amp;query=any,contains,991001879499702656","Catalog Record")</f>
        <v/>
      </c>
      <c r="AT1217">
        <f>HYPERLINK("http://www.worldcat.org/oclc/23712236","WorldCat Record")</f>
        <v/>
      </c>
      <c r="AU1217" t="inlineStr">
        <is>
          <t>4820599601:eng</t>
        </is>
      </c>
      <c r="AV1217" t="inlineStr">
        <is>
          <t>23712236</t>
        </is>
      </c>
      <c r="AW1217" t="inlineStr">
        <is>
          <t>991001879499702656</t>
        </is>
      </c>
      <c r="AX1217" t="inlineStr">
        <is>
          <t>991001879499702656</t>
        </is>
      </c>
      <c r="AY1217" t="inlineStr">
        <is>
          <t>2255195860002656</t>
        </is>
      </c>
      <c r="AZ1217" t="inlineStr">
        <is>
          <t>BOOK</t>
        </is>
      </c>
      <c r="BB1217" t="inlineStr">
        <is>
          <t>9780898702491</t>
        </is>
      </c>
      <c r="BC1217" t="inlineStr">
        <is>
          <t>32285001835619</t>
        </is>
      </c>
      <c r="BD1217" t="inlineStr">
        <is>
          <t>893803968</t>
        </is>
      </c>
    </row>
    <row r="1218">
      <c r="A1218" t="inlineStr">
        <is>
          <t>No</t>
        </is>
      </c>
      <c r="B1218" t="inlineStr">
        <is>
          <t>BT78 .B37 1984</t>
        </is>
      </c>
      <c r="C1218" t="inlineStr">
        <is>
          <t>0                      BT 0078000B  37          1984</t>
        </is>
      </c>
      <c r="D1218" t="inlineStr">
        <is>
          <t>Storytelling : imagination and faith / William J. Bausch.</t>
        </is>
      </c>
      <c r="F1218" t="inlineStr">
        <is>
          <t>No</t>
        </is>
      </c>
      <c r="G1218" t="inlineStr">
        <is>
          <t>1</t>
        </is>
      </c>
      <c r="H1218" t="inlineStr">
        <is>
          <t>No</t>
        </is>
      </c>
      <c r="I1218" t="inlineStr">
        <is>
          <t>No</t>
        </is>
      </c>
      <c r="J1218" t="inlineStr">
        <is>
          <t>0</t>
        </is>
      </c>
      <c r="K1218" t="inlineStr">
        <is>
          <t>Bausch, William J.</t>
        </is>
      </c>
      <c r="L1218" t="inlineStr">
        <is>
          <t>Mystic, Conn. : Twenty-Third Publications, c1984, 1985 printing.</t>
        </is>
      </c>
      <c r="M1218" t="inlineStr">
        <is>
          <t>1984</t>
        </is>
      </c>
      <c r="O1218" t="inlineStr">
        <is>
          <t>eng</t>
        </is>
      </c>
      <c r="P1218" t="inlineStr">
        <is>
          <t>ctu</t>
        </is>
      </c>
      <c r="R1218" t="inlineStr">
        <is>
          <t xml:space="preserve">BT </t>
        </is>
      </c>
      <c r="S1218" t="n">
        <v>3</v>
      </c>
      <c r="T1218" t="n">
        <v>3</v>
      </c>
      <c r="U1218" t="inlineStr">
        <is>
          <t>2006-07-26</t>
        </is>
      </c>
      <c r="V1218" t="inlineStr">
        <is>
          <t>2006-07-26</t>
        </is>
      </c>
      <c r="W1218" t="inlineStr">
        <is>
          <t>1991-06-21</t>
        </is>
      </c>
      <c r="X1218" t="inlineStr">
        <is>
          <t>1991-06-21</t>
        </is>
      </c>
      <c r="Y1218" t="n">
        <v>457</v>
      </c>
      <c r="Z1218" t="n">
        <v>368</v>
      </c>
      <c r="AA1218" t="n">
        <v>375</v>
      </c>
      <c r="AB1218" t="n">
        <v>4</v>
      </c>
      <c r="AC1218" t="n">
        <v>4</v>
      </c>
      <c r="AD1218" t="n">
        <v>27</v>
      </c>
      <c r="AE1218" t="n">
        <v>27</v>
      </c>
      <c r="AF1218" t="n">
        <v>10</v>
      </c>
      <c r="AG1218" t="n">
        <v>10</v>
      </c>
      <c r="AH1218" t="n">
        <v>6</v>
      </c>
      <c r="AI1218" t="n">
        <v>6</v>
      </c>
      <c r="AJ1218" t="n">
        <v>16</v>
      </c>
      <c r="AK1218" t="n">
        <v>16</v>
      </c>
      <c r="AL1218" t="n">
        <v>2</v>
      </c>
      <c r="AM1218" t="n">
        <v>2</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HYPERLINK("https://creighton-primo.hosted.exlibrisgroup.com/primo-explore/search?tab=default_tab&amp;search_scope=EVERYTHING&amp;vid=01CRU&amp;lang=en_US&amp;offset=0&amp;query=any,contains,991000485799702656","Catalog Record")</f>
        <v/>
      </c>
      <c r="AT1218">
        <f>HYPERLINK("http://www.worldcat.org/oclc/11074617","WorldCat Record")</f>
        <v/>
      </c>
      <c r="AU1218" t="inlineStr">
        <is>
          <t>759292661:eng</t>
        </is>
      </c>
      <c r="AV1218" t="inlineStr">
        <is>
          <t>11074617</t>
        </is>
      </c>
      <c r="AW1218" t="inlineStr">
        <is>
          <t>991000485799702656</t>
        </is>
      </c>
      <c r="AX1218" t="inlineStr">
        <is>
          <t>991000485799702656</t>
        </is>
      </c>
      <c r="AY1218" t="inlineStr">
        <is>
          <t>2264956350002656</t>
        </is>
      </c>
      <c r="AZ1218" t="inlineStr">
        <is>
          <t>BOOK</t>
        </is>
      </c>
      <c r="BB1218" t="inlineStr">
        <is>
          <t>9780896221994</t>
        </is>
      </c>
      <c r="BC1218" t="inlineStr">
        <is>
          <t>32285000688456</t>
        </is>
      </c>
      <c r="BD1218" t="inlineStr">
        <is>
          <t>893321072</t>
        </is>
      </c>
    </row>
    <row r="1219">
      <c r="A1219" t="inlineStr">
        <is>
          <t>No</t>
        </is>
      </c>
      <c r="B1219" t="inlineStr">
        <is>
          <t>BT78 .D53 2003</t>
        </is>
      </c>
      <c r="C1219" t="inlineStr">
        <is>
          <t>0                      BT 0078000D  53          2003</t>
        </is>
      </c>
      <c r="D1219" t="inlineStr">
        <is>
          <t>The Gospel according to Moses : what my Jewish friends taught me about Jesus / by Athol Dickson.</t>
        </is>
      </c>
      <c r="F1219" t="inlineStr">
        <is>
          <t>No</t>
        </is>
      </c>
      <c r="G1219" t="inlineStr">
        <is>
          <t>1</t>
        </is>
      </c>
      <c r="H1219" t="inlineStr">
        <is>
          <t>No</t>
        </is>
      </c>
      <c r="I1219" t="inlineStr">
        <is>
          <t>No</t>
        </is>
      </c>
      <c r="J1219" t="inlineStr">
        <is>
          <t>0</t>
        </is>
      </c>
      <c r="K1219" t="inlineStr">
        <is>
          <t>Dickson, Athol, 1955-</t>
        </is>
      </c>
      <c r="L1219" t="inlineStr">
        <is>
          <t>Grand Rapids, Mich. : Brazos Press, c2003.</t>
        </is>
      </c>
      <c r="M1219" t="inlineStr">
        <is>
          <t>2003</t>
        </is>
      </c>
      <c r="O1219" t="inlineStr">
        <is>
          <t>eng</t>
        </is>
      </c>
      <c r="P1219" t="inlineStr">
        <is>
          <t>miu</t>
        </is>
      </c>
      <c r="R1219" t="inlineStr">
        <is>
          <t xml:space="preserve">BT </t>
        </is>
      </c>
      <c r="S1219" t="n">
        <v>4</v>
      </c>
      <c r="T1219" t="n">
        <v>4</v>
      </c>
      <c r="U1219" t="inlineStr">
        <is>
          <t>2006-11-20</t>
        </is>
      </c>
      <c r="V1219" t="inlineStr">
        <is>
          <t>2006-11-20</t>
        </is>
      </c>
      <c r="W1219" t="inlineStr">
        <is>
          <t>2003-09-30</t>
        </is>
      </c>
      <c r="X1219" t="inlineStr">
        <is>
          <t>2003-09-30</t>
        </is>
      </c>
      <c r="Y1219" t="n">
        <v>328</v>
      </c>
      <c r="Z1219" t="n">
        <v>302</v>
      </c>
      <c r="AA1219" t="n">
        <v>310</v>
      </c>
      <c r="AB1219" t="n">
        <v>1</v>
      </c>
      <c r="AC1219" t="n">
        <v>1</v>
      </c>
      <c r="AD1219" t="n">
        <v>9</v>
      </c>
      <c r="AE1219" t="n">
        <v>10</v>
      </c>
      <c r="AF1219" t="n">
        <v>6</v>
      </c>
      <c r="AG1219" t="n">
        <v>7</v>
      </c>
      <c r="AH1219" t="n">
        <v>1</v>
      </c>
      <c r="AI1219" t="n">
        <v>2</v>
      </c>
      <c r="AJ1219" t="n">
        <v>2</v>
      </c>
      <c r="AK1219" t="n">
        <v>2</v>
      </c>
      <c r="AL1219" t="n">
        <v>0</v>
      </c>
      <c r="AM1219" t="n">
        <v>0</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HYPERLINK("https://creighton-primo.hosted.exlibrisgroup.com/primo-explore/search?tab=default_tab&amp;search_scope=EVERYTHING&amp;vid=01CRU&amp;lang=en_US&amp;offset=0&amp;query=any,contains,991004143359702656","Catalog Record")</f>
        <v/>
      </c>
      <c r="AT1219">
        <f>HYPERLINK("http://www.worldcat.org/oclc/50948460","WorldCat Record")</f>
        <v/>
      </c>
      <c r="AU1219" t="inlineStr">
        <is>
          <t>797388:eng</t>
        </is>
      </c>
      <c r="AV1219" t="inlineStr">
        <is>
          <t>50948460</t>
        </is>
      </c>
      <c r="AW1219" t="inlineStr">
        <is>
          <t>991004143359702656</t>
        </is>
      </c>
      <c r="AX1219" t="inlineStr">
        <is>
          <t>991004143359702656</t>
        </is>
      </c>
      <c r="AY1219" t="inlineStr">
        <is>
          <t>2272396800002656</t>
        </is>
      </c>
      <c r="AZ1219" t="inlineStr">
        <is>
          <t>BOOK</t>
        </is>
      </c>
      <c r="BB1219" t="inlineStr">
        <is>
          <t>9781587430480</t>
        </is>
      </c>
      <c r="BC1219" t="inlineStr">
        <is>
          <t>32285004791975</t>
        </is>
      </c>
      <c r="BD1219" t="inlineStr">
        <is>
          <t>893722291</t>
        </is>
      </c>
    </row>
    <row r="1220">
      <c r="A1220" t="inlineStr">
        <is>
          <t>No</t>
        </is>
      </c>
      <c r="B1220" t="inlineStr">
        <is>
          <t>BT78 .F82 1963</t>
        </is>
      </c>
      <c r="C1220" t="inlineStr">
        <is>
          <t>0                      BT 0078000F  82          1963</t>
        </is>
      </c>
      <c r="D1220" t="inlineStr">
        <is>
          <t>The fundamentalist controversy, 1918-1931 / by Norman F. Furniss.</t>
        </is>
      </c>
      <c r="F1220" t="inlineStr">
        <is>
          <t>No</t>
        </is>
      </c>
      <c r="G1220" t="inlineStr">
        <is>
          <t>1</t>
        </is>
      </c>
      <c r="H1220" t="inlineStr">
        <is>
          <t>No</t>
        </is>
      </c>
      <c r="I1220" t="inlineStr">
        <is>
          <t>No</t>
        </is>
      </c>
      <c r="J1220" t="inlineStr">
        <is>
          <t>0</t>
        </is>
      </c>
      <c r="K1220" t="inlineStr">
        <is>
          <t>Furniss, Norman F.</t>
        </is>
      </c>
      <c r="L1220" t="inlineStr">
        <is>
          <t>Hamden, Conn., Archon Books, 1963 [c1954]</t>
        </is>
      </c>
      <c r="M1220" t="inlineStr">
        <is>
          <t>1963</t>
        </is>
      </c>
      <c r="O1220" t="inlineStr">
        <is>
          <t>eng</t>
        </is>
      </c>
      <c r="P1220" t="inlineStr">
        <is>
          <t>___</t>
        </is>
      </c>
      <c r="R1220" t="inlineStr">
        <is>
          <t xml:space="preserve">BT </t>
        </is>
      </c>
      <c r="S1220" t="n">
        <v>6</v>
      </c>
      <c r="T1220" t="n">
        <v>6</v>
      </c>
      <c r="U1220" t="inlineStr">
        <is>
          <t>1999-03-21</t>
        </is>
      </c>
      <c r="V1220" t="inlineStr">
        <is>
          <t>1999-03-21</t>
        </is>
      </c>
      <c r="W1220" t="inlineStr">
        <is>
          <t>1991-06-24</t>
        </is>
      </c>
      <c r="X1220" t="inlineStr">
        <is>
          <t>1991-06-24</t>
        </is>
      </c>
      <c r="Y1220" t="n">
        <v>592</v>
      </c>
      <c r="Z1220" t="n">
        <v>540</v>
      </c>
      <c r="AA1220" t="n">
        <v>848</v>
      </c>
      <c r="AB1220" t="n">
        <v>5</v>
      </c>
      <c r="AC1220" t="n">
        <v>9</v>
      </c>
      <c r="AD1220" t="n">
        <v>24</v>
      </c>
      <c r="AE1220" t="n">
        <v>38</v>
      </c>
      <c r="AF1220" t="n">
        <v>10</v>
      </c>
      <c r="AG1220" t="n">
        <v>14</v>
      </c>
      <c r="AH1220" t="n">
        <v>3</v>
      </c>
      <c r="AI1220" t="n">
        <v>6</v>
      </c>
      <c r="AJ1220" t="n">
        <v>13</v>
      </c>
      <c r="AK1220" t="n">
        <v>19</v>
      </c>
      <c r="AL1220" t="n">
        <v>4</v>
      </c>
      <c r="AM1220" t="n">
        <v>7</v>
      </c>
      <c r="AN1220" t="n">
        <v>0</v>
      </c>
      <c r="AO1220" t="n">
        <v>1</v>
      </c>
      <c r="AP1220" t="inlineStr">
        <is>
          <t>No</t>
        </is>
      </c>
      <c r="AQ1220" t="inlineStr">
        <is>
          <t>Yes</t>
        </is>
      </c>
      <c r="AR1220">
        <f>HYPERLINK("http://catalog.hathitrust.org/Record/001411704","HathiTrust Record")</f>
        <v/>
      </c>
      <c r="AS1220">
        <f>HYPERLINK("https://creighton-primo.hosted.exlibrisgroup.com/primo-explore/search?tab=default_tab&amp;search_scope=EVERYTHING&amp;vid=01CRU&amp;lang=en_US&amp;offset=0&amp;query=any,contains,991002644009702656","Catalog Record")</f>
        <v/>
      </c>
      <c r="AT1220">
        <f>HYPERLINK("http://www.worldcat.org/oclc/385162","WorldCat Record")</f>
        <v/>
      </c>
      <c r="AU1220" t="inlineStr">
        <is>
          <t>1506389:eng</t>
        </is>
      </c>
      <c r="AV1220" t="inlineStr">
        <is>
          <t>385162</t>
        </is>
      </c>
      <c r="AW1220" t="inlineStr">
        <is>
          <t>991002644009702656</t>
        </is>
      </c>
      <c r="AX1220" t="inlineStr">
        <is>
          <t>991002644009702656</t>
        </is>
      </c>
      <c r="AY1220" t="inlineStr">
        <is>
          <t>2258846430002656</t>
        </is>
      </c>
      <c r="AZ1220" t="inlineStr">
        <is>
          <t>BOOK</t>
        </is>
      </c>
      <c r="BC1220" t="inlineStr">
        <is>
          <t>32285000689009</t>
        </is>
      </c>
      <c r="BD1220" t="inlineStr">
        <is>
          <t>893899024</t>
        </is>
      </c>
    </row>
    <row r="1221">
      <c r="A1221" t="inlineStr">
        <is>
          <t>No</t>
        </is>
      </c>
      <c r="B1221" t="inlineStr">
        <is>
          <t>BT78 .G63 1982</t>
        </is>
      </c>
      <c r="C1221" t="inlineStr">
        <is>
          <t>0                      BT 0078000G  63          1982</t>
        </is>
      </c>
      <c r="D1221" t="inlineStr">
        <is>
          <t>Theology and narrative : a critical introduction / Michael Goldberg.</t>
        </is>
      </c>
      <c r="F1221" t="inlineStr">
        <is>
          <t>No</t>
        </is>
      </c>
      <c r="G1221" t="inlineStr">
        <is>
          <t>1</t>
        </is>
      </c>
      <c r="H1221" t="inlineStr">
        <is>
          <t>No</t>
        </is>
      </c>
      <c r="I1221" t="inlineStr">
        <is>
          <t>No</t>
        </is>
      </c>
      <c r="J1221" t="inlineStr">
        <is>
          <t>0</t>
        </is>
      </c>
      <c r="K1221" t="inlineStr">
        <is>
          <t>Goldberg, Michael, 1950-</t>
        </is>
      </c>
      <c r="L1221" t="inlineStr">
        <is>
          <t>Nashville : Abingdon, c1982.</t>
        </is>
      </c>
      <c r="M1221" t="inlineStr">
        <is>
          <t>1982</t>
        </is>
      </c>
      <c r="O1221" t="inlineStr">
        <is>
          <t>eng</t>
        </is>
      </c>
      <c r="P1221" t="inlineStr">
        <is>
          <t>tnu</t>
        </is>
      </c>
      <c r="R1221" t="inlineStr">
        <is>
          <t xml:space="preserve">BT </t>
        </is>
      </c>
      <c r="S1221" t="n">
        <v>1</v>
      </c>
      <c r="T1221" t="n">
        <v>1</v>
      </c>
      <c r="U1221" t="inlineStr">
        <is>
          <t>1992-02-10</t>
        </is>
      </c>
      <c r="V1221" t="inlineStr">
        <is>
          <t>1992-02-10</t>
        </is>
      </c>
      <c r="W1221" t="inlineStr">
        <is>
          <t>1991-06-21</t>
        </is>
      </c>
      <c r="X1221" t="inlineStr">
        <is>
          <t>1991-06-21</t>
        </is>
      </c>
      <c r="Y1221" t="n">
        <v>358</v>
      </c>
      <c r="Z1221" t="n">
        <v>299</v>
      </c>
      <c r="AA1221" t="n">
        <v>380</v>
      </c>
      <c r="AB1221" t="n">
        <v>2</v>
      </c>
      <c r="AC1221" t="n">
        <v>2</v>
      </c>
      <c r="AD1221" t="n">
        <v>16</v>
      </c>
      <c r="AE1221" t="n">
        <v>24</v>
      </c>
      <c r="AF1221" t="n">
        <v>5</v>
      </c>
      <c r="AG1221" t="n">
        <v>8</v>
      </c>
      <c r="AH1221" t="n">
        <v>4</v>
      </c>
      <c r="AI1221" t="n">
        <v>6</v>
      </c>
      <c r="AJ1221" t="n">
        <v>9</v>
      </c>
      <c r="AK1221" t="n">
        <v>15</v>
      </c>
      <c r="AL1221" t="n">
        <v>1</v>
      </c>
      <c r="AM1221" t="n">
        <v>1</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HYPERLINK("https://creighton-primo.hosted.exlibrisgroup.com/primo-explore/search?tab=default_tab&amp;search_scope=EVERYTHING&amp;vid=01CRU&amp;lang=en_US&amp;offset=0&amp;query=any,contains,991005229039702656","Catalog Record")</f>
        <v/>
      </c>
      <c r="AT1221">
        <f>HYPERLINK("http://www.worldcat.org/oclc/8305924","WorldCat Record")</f>
        <v/>
      </c>
      <c r="AU1221" t="inlineStr">
        <is>
          <t>23961232:eng</t>
        </is>
      </c>
      <c r="AV1221" t="inlineStr">
        <is>
          <t>8305924</t>
        </is>
      </c>
      <c r="AW1221" t="inlineStr">
        <is>
          <t>991005229039702656</t>
        </is>
      </c>
      <c r="AX1221" t="inlineStr">
        <is>
          <t>991005229039702656</t>
        </is>
      </c>
      <c r="AY1221" t="inlineStr">
        <is>
          <t>2269324050002656</t>
        </is>
      </c>
      <c r="AZ1221" t="inlineStr">
        <is>
          <t>BOOK</t>
        </is>
      </c>
      <c r="BB1221" t="inlineStr">
        <is>
          <t>9780687415038</t>
        </is>
      </c>
      <c r="BC1221" t="inlineStr">
        <is>
          <t>32285000688514</t>
        </is>
      </c>
      <c r="BD1221" t="inlineStr">
        <is>
          <t>893889900</t>
        </is>
      </c>
    </row>
    <row r="1222">
      <c r="A1222" t="inlineStr">
        <is>
          <t>No</t>
        </is>
      </c>
      <c r="B1222" t="inlineStr">
        <is>
          <t>BT78 .Q5 1922</t>
        </is>
      </c>
      <c r="C1222" t="inlineStr">
        <is>
          <t>0                      BT 0078000Q  5           1922</t>
        </is>
      </c>
      <c r="D1222" t="inlineStr">
        <is>
          <t>Liberalism, modernism and tradition : Bishop Paddock lectures, 1922 / by Oliver Chase Quick.</t>
        </is>
      </c>
      <c r="F1222" t="inlineStr">
        <is>
          <t>No</t>
        </is>
      </c>
      <c r="G1222" t="inlineStr">
        <is>
          <t>1</t>
        </is>
      </c>
      <c r="H1222" t="inlineStr">
        <is>
          <t>No</t>
        </is>
      </c>
      <c r="I1222" t="inlineStr">
        <is>
          <t>No</t>
        </is>
      </c>
      <c r="J1222" t="inlineStr">
        <is>
          <t>0</t>
        </is>
      </c>
      <c r="K1222" t="inlineStr">
        <is>
          <t>Quick, Oliver Chase, 1885-1944.</t>
        </is>
      </c>
      <c r="L1222" t="inlineStr">
        <is>
          <t>London ; New York : Longmans, Green ; 1922.</t>
        </is>
      </c>
      <c r="M1222" t="inlineStr">
        <is>
          <t>1922</t>
        </is>
      </c>
      <c r="O1222" t="inlineStr">
        <is>
          <t>eng</t>
        </is>
      </c>
      <c r="P1222" t="inlineStr">
        <is>
          <t>enk</t>
        </is>
      </c>
      <c r="R1222" t="inlineStr">
        <is>
          <t xml:space="preserve">BT </t>
        </is>
      </c>
      <c r="S1222" t="n">
        <v>1</v>
      </c>
      <c r="T1222" t="n">
        <v>1</v>
      </c>
      <c r="U1222" t="inlineStr">
        <is>
          <t>2002-11-22</t>
        </is>
      </c>
      <c r="V1222" t="inlineStr">
        <is>
          <t>2002-11-22</t>
        </is>
      </c>
      <c r="W1222" t="inlineStr">
        <is>
          <t>1992-03-06</t>
        </is>
      </c>
      <c r="X1222" t="inlineStr">
        <is>
          <t>1992-03-06</t>
        </is>
      </c>
      <c r="Y1222" t="n">
        <v>131</v>
      </c>
      <c r="Z1222" t="n">
        <v>107</v>
      </c>
      <c r="AA1222" t="n">
        <v>128</v>
      </c>
      <c r="AB1222" t="n">
        <v>1</v>
      </c>
      <c r="AC1222" t="n">
        <v>2</v>
      </c>
      <c r="AD1222" t="n">
        <v>7</v>
      </c>
      <c r="AE1222" t="n">
        <v>8</v>
      </c>
      <c r="AF1222" t="n">
        <v>3</v>
      </c>
      <c r="AG1222" t="n">
        <v>3</v>
      </c>
      <c r="AH1222" t="n">
        <v>2</v>
      </c>
      <c r="AI1222" t="n">
        <v>2</v>
      </c>
      <c r="AJ1222" t="n">
        <v>5</v>
      </c>
      <c r="AK1222" t="n">
        <v>5</v>
      </c>
      <c r="AL1222" t="n">
        <v>0</v>
      </c>
      <c r="AM1222" t="n">
        <v>1</v>
      </c>
      <c r="AN1222" t="n">
        <v>0</v>
      </c>
      <c r="AO1222" t="n">
        <v>0</v>
      </c>
      <c r="AP1222" t="inlineStr">
        <is>
          <t>Yes</t>
        </is>
      </c>
      <c r="AQ1222" t="inlineStr">
        <is>
          <t>No</t>
        </is>
      </c>
      <c r="AR1222">
        <f>HYPERLINK("http://catalog.hathitrust.org/Record/001411716","HathiTrust Record")</f>
        <v/>
      </c>
      <c r="AS1222">
        <f>HYPERLINK("https://creighton-primo.hosted.exlibrisgroup.com/primo-explore/search?tab=default_tab&amp;search_scope=EVERYTHING&amp;vid=01CRU&amp;lang=en_US&amp;offset=0&amp;query=any,contains,991004431659702656","Catalog Record")</f>
        <v/>
      </c>
      <c r="AT1222">
        <f>HYPERLINK("http://www.worldcat.org/oclc/3425217","WorldCat Record")</f>
        <v/>
      </c>
      <c r="AU1222" t="inlineStr">
        <is>
          <t>292533847:eng</t>
        </is>
      </c>
      <c r="AV1222" t="inlineStr">
        <is>
          <t>3425217</t>
        </is>
      </c>
      <c r="AW1222" t="inlineStr">
        <is>
          <t>991004431659702656</t>
        </is>
      </c>
      <c r="AX1222" t="inlineStr">
        <is>
          <t>991004431659702656</t>
        </is>
      </c>
      <c r="AY1222" t="inlineStr">
        <is>
          <t>2265401860002656</t>
        </is>
      </c>
      <c r="AZ1222" t="inlineStr">
        <is>
          <t>BOOK</t>
        </is>
      </c>
      <c r="BC1222" t="inlineStr">
        <is>
          <t>32285001000024</t>
        </is>
      </c>
      <c r="BD1222" t="inlineStr">
        <is>
          <t>893506843</t>
        </is>
      </c>
    </row>
    <row r="1223">
      <c r="A1223" t="inlineStr">
        <is>
          <t>No</t>
        </is>
      </c>
      <c r="B1223" t="inlineStr">
        <is>
          <t>BT78 .W585 1993</t>
        </is>
      </c>
      <c r="C1223" t="inlineStr">
        <is>
          <t>0                      BT 0078000W  585         1993</t>
        </is>
      </c>
      <c r="D1223" t="inlineStr">
        <is>
          <t>A guest in the house of Israel : post-Holocaust church theology / Clark M. Williamson.</t>
        </is>
      </c>
      <c r="F1223" t="inlineStr">
        <is>
          <t>No</t>
        </is>
      </c>
      <c r="G1223" t="inlineStr">
        <is>
          <t>1</t>
        </is>
      </c>
      <c r="H1223" t="inlineStr">
        <is>
          <t>No</t>
        </is>
      </c>
      <c r="I1223" t="inlineStr">
        <is>
          <t>No</t>
        </is>
      </c>
      <c r="J1223" t="inlineStr">
        <is>
          <t>0</t>
        </is>
      </c>
      <c r="K1223" t="inlineStr">
        <is>
          <t>Williamson, Clark M.</t>
        </is>
      </c>
      <c r="L1223" t="inlineStr">
        <is>
          <t>Louisville, Ky. : Westminster/John Knox Press, c1993.</t>
        </is>
      </c>
      <c r="M1223" t="inlineStr">
        <is>
          <t>1993</t>
        </is>
      </c>
      <c r="N1223" t="inlineStr">
        <is>
          <t>1st ed.</t>
        </is>
      </c>
      <c r="O1223" t="inlineStr">
        <is>
          <t>eng</t>
        </is>
      </c>
      <c r="P1223" t="inlineStr">
        <is>
          <t>kyu</t>
        </is>
      </c>
      <c r="R1223" t="inlineStr">
        <is>
          <t xml:space="preserve">BT </t>
        </is>
      </c>
      <c r="S1223" t="n">
        <v>4</v>
      </c>
      <c r="T1223" t="n">
        <v>4</v>
      </c>
      <c r="U1223" t="inlineStr">
        <is>
          <t>2008-12-12</t>
        </is>
      </c>
      <c r="V1223" t="inlineStr">
        <is>
          <t>2008-12-12</t>
        </is>
      </c>
      <c r="W1223" t="inlineStr">
        <is>
          <t>2008-05-05</t>
        </is>
      </c>
      <c r="X1223" t="inlineStr">
        <is>
          <t>2008-05-05</t>
        </is>
      </c>
      <c r="Y1223" t="n">
        <v>405</v>
      </c>
      <c r="Z1223" t="n">
        <v>356</v>
      </c>
      <c r="AA1223" t="n">
        <v>361</v>
      </c>
      <c r="AB1223" t="n">
        <v>3</v>
      </c>
      <c r="AC1223" t="n">
        <v>3</v>
      </c>
      <c r="AD1223" t="n">
        <v>22</v>
      </c>
      <c r="AE1223" t="n">
        <v>22</v>
      </c>
      <c r="AF1223" t="n">
        <v>7</v>
      </c>
      <c r="AG1223" t="n">
        <v>7</v>
      </c>
      <c r="AH1223" t="n">
        <v>6</v>
      </c>
      <c r="AI1223" t="n">
        <v>6</v>
      </c>
      <c r="AJ1223" t="n">
        <v>15</v>
      </c>
      <c r="AK1223" t="n">
        <v>15</v>
      </c>
      <c r="AL1223" t="n">
        <v>1</v>
      </c>
      <c r="AM1223" t="n">
        <v>1</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HYPERLINK("https://creighton-primo.hosted.exlibrisgroup.com/primo-explore/search?tab=default_tab&amp;search_scope=EVERYTHING&amp;vid=01CRU&amp;lang=en_US&amp;offset=0&amp;query=any,contains,991005216189702656","Catalog Record")</f>
        <v/>
      </c>
      <c r="AT1223">
        <f>HYPERLINK("http://www.worldcat.org/oclc/27726496","WorldCat Record")</f>
        <v/>
      </c>
      <c r="AU1223" t="inlineStr">
        <is>
          <t>371981966:eng</t>
        </is>
      </c>
      <c r="AV1223" t="inlineStr">
        <is>
          <t>27726496</t>
        </is>
      </c>
      <c r="AW1223" t="inlineStr">
        <is>
          <t>991005216189702656</t>
        </is>
      </c>
      <c r="AX1223" t="inlineStr">
        <is>
          <t>991005216189702656</t>
        </is>
      </c>
      <c r="AY1223" t="inlineStr">
        <is>
          <t>2264951720002656</t>
        </is>
      </c>
      <c r="AZ1223" t="inlineStr">
        <is>
          <t>BOOK</t>
        </is>
      </c>
      <c r="BB1223" t="inlineStr">
        <is>
          <t>9780664254544</t>
        </is>
      </c>
      <c r="BC1223" t="inlineStr">
        <is>
          <t>32285005405054</t>
        </is>
      </c>
      <c r="BD1223" t="inlineStr">
        <is>
          <t>893263683</t>
        </is>
      </c>
    </row>
    <row r="1224">
      <c r="A1224" t="inlineStr">
        <is>
          <t>No</t>
        </is>
      </c>
      <c r="B1224" t="inlineStr">
        <is>
          <t>BT780 .C58</t>
        </is>
      </c>
      <c r="C1224" t="inlineStr">
        <is>
          <t>0                      BT 0780000C  58</t>
        </is>
      </c>
      <c r="D1224" t="inlineStr">
        <is>
          <t>Conversion, perspectives on personal and social transformation / edited by Walter E. Conn. --</t>
        </is>
      </c>
      <c r="F1224" t="inlineStr">
        <is>
          <t>No</t>
        </is>
      </c>
      <c r="G1224" t="inlineStr">
        <is>
          <t>1</t>
        </is>
      </c>
      <c r="H1224" t="inlineStr">
        <is>
          <t>No</t>
        </is>
      </c>
      <c r="I1224" t="inlineStr">
        <is>
          <t>No</t>
        </is>
      </c>
      <c r="J1224" t="inlineStr">
        <is>
          <t>0</t>
        </is>
      </c>
      <c r="L1224" t="inlineStr">
        <is>
          <t>New York : Alba House, c1978.</t>
        </is>
      </c>
      <c r="M1224" t="inlineStr">
        <is>
          <t>1978</t>
        </is>
      </c>
      <c r="O1224" t="inlineStr">
        <is>
          <t>eng</t>
        </is>
      </c>
      <c r="P1224" t="inlineStr">
        <is>
          <t>nyu</t>
        </is>
      </c>
      <c r="R1224" t="inlineStr">
        <is>
          <t xml:space="preserve">BT </t>
        </is>
      </c>
      <c r="S1224" t="n">
        <v>6</v>
      </c>
      <c r="T1224" t="n">
        <v>6</v>
      </c>
      <c r="U1224" t="inlineStr">
        <is>
          <t>2008-08-01</t>
        </is>
      </c>
      <c r="V1224" t="inlineStr">
        <is>
          <t>2008-08-01</t>
        </is>
      </c>
      <c r="W1224" t="inlineStr">
        <is>
          <t>1990-08-08</t>
        </is>
      </c>
      <c r="X1224" t="inlineStr">
        <is>
          <t>1990-08-08</t>
        </is>
      </c>
      <c r="Y1224" t="n">
        <v>310</v>
      </c>
      <c r="Z1224" t="n">
        <v>248</v>
      </c>
      <c r="AA1224" t="n">
        <v>255</v>
      </c>
      <c r="AB1224" t="n">
        <v>1</v>
      </c>
      <c r="AC1224" t="n">
        <v>1</v>
      </c>
      <c r="AD1224" t="n">
        <v>26</v>
      </c>
      <c r="AE1224" t="n">
        <v>26</v>
      </c>
      <c r="AF1224" t="n">
        <v>9</v>
      </c>
      <c r="AG1224" t="n">
        <v>9</v>
      </c>
      <c r="AH1224" t="n">
        <v>7</v>
      </c>
      <c r="AI1224" t="n">
        <v>7</v>
      </c>
      <c r="AJ1224" t="n">
        <v>21</v>
      </c>
      <c r="AK1224" t="n">
        <v>21</v>
      </c>
      <c r="AL1224" t="n">
        <v>0</v>
      </c>
      <c r="AM1224" t="n">
        <v>0</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HYPERLINK("https://creighton-primo.hosted.exlibrisgroup.com/primo-explore/search?tab=default_tab&amp;search_scope=EVERYTHING&amp;vid=01CRU&amp;lang=en_US&amp;offset=0&amp;query=any,contains,991004565879702656","Catalog Record")</f>
        <v/>
      </c>
      <c r="AT1224">
        <f>HYPERLINK("http://www.worldcat.org/oclc/4004533","WorldCat Record")</f>
        <v/>
      </c>
      <c r="AU1224" t="inlineStr">
        <is>
          <t>482859:eng</t>
        </is>
      </c>
      <c r="AV1224" t="inlineStr">
        <is>
          <t>4004533</t>
        </is>
      </c>
      <c r="AW1224" t="inlineStr">
        <is>
          <t>991004565879702656</t>
        </is>
      </c>
      <c r="AX1224" t="inlineStr">
        <is>
          <t>991004565879702656</t>
        </is>
      </c>
      <c r="AY1224" t="inlineStr">
        <is>
          <t>2264907910002656</t>
        </is>
      </c>
      <c r="AZ1224" t="inlineStr">
        <is>
          <t>BOOK</t>
        </is>
      </c>
      <c r="BB1224" t="inlineStr">
        <is>
          <t>9780818903687</t>
        </is>
      </c>
      <c r="BC1224" t="inlineStr">
        <is>
          <t>32285000269307</t>
        </is>
      </c>
      <c r="BD1224" t="inlineStr">
        <is>
          <t>893442759</t>
        </is>
      </c>
    </row>
    <row r="1225">
      <c r="A1225" t="inlineStr">
        <is>
          <t>No</t>
        </is>
      </c>
      <c r="B1225" t="inlineStr">
        <is>
          <t>BT780 .G44 1976</t>
        </is>
      </c>
      <c r="C1225" t="inlineStr">
        <is>
          <t>0                      BT 0780000G  44          1976</t>
        </is>
      </c>
      <c r="D1225" t="inlineStr">
        <is>
          <t>Charism and sacrament : a theology of Christian conversion / by Donald L. Gelpi.</t>
        </is>
      </c>
      <c r="F1225" t="inlineStr">
        <is>
          <t>No</t>
        </is>
      </c>
      <c r="G1225" t="inlineStr">
        <is>
          <t>1</t>
        </is>
      </c>
      <c r="H1225" t="inlineStr">
        <is>
          <t>No</t>
        </is>
      </c>
      <c r="I1225" t="inlineStr">
        <is>
          <t>No</t>
        </is>
      </c>
      <c r="J1225" t="inlineStr">
        <is>
          <t>0</t>
        </is>
      </c>
      <c r="K1225" t="inlineStr">
        <is>
          <t>Gelpi, Donald L., 1934-2011.</t>
        </is>
      </c>
      <c r="L1225" t="inlineStr">
        <is>
          <t>New York : Paulist Press, c1976.</t>
        </is>
      </c>
      <c r="M1225" t="inlineStr">
        <is>
          <t>1976</t>
        </is>
      </c>
      <c r="O1225" t="inlineStr">
        <is>
          <t>eng</t>
        </is>
      </c>
      <c r="P1225" t="inlineStr">
        <is>
          <t>nyu</t>
        </is>
      </c>
      <c r="R1225" t="inlineStr">
        <is>
          <t xml:space="preserve">BT </t>
        </is>
      </c>
      <c r="S1225" t="n">
        <v>5</v>
      </c>
      <c r="T1225" t="n">
        <v>5</v>
      </c>
      <c r="U1225" t="inlineStr">
        <is>
          <t>1999-10-13</t>
        </is>
      </c>
      <c r="V1225" t="inlineStr">
        <is>
          <t>1999-10-13</t>
        </is>
      </c>
      <c r="W1225" t="inlineStr">
        <is>
          <t>1990-08-08</t>
        </is>
      </c>
      <c r="X1225" t="inlineStr">
        <is>
          <t>1990-08-08</t>
        </is>
      </c>
      <c r="Y1225" t="n">
        <v>230</v>
      </c>
      <c r="Z1225" t="n">
        <v>187</v>
      </c>
      <c r="AA1225" t="n">
        <v>192</v>
      </c>
      <c r="AB1225" t="n">
        <v>2</v>
      </c>
      <c r="AC1225" t="n">
        <v>2</v>
      </c>
      <c r="AD1225" t="n">
        <v>20</v>
      </c>
      <c r="AE1225" t="n">
        <v>20</v>
      </c>
      <c r="AF1225" t="n">
        <v>6</v>
      </c>
      <c r="AG1225" t="n">
        <v>6</v>
      </c>
      <c r="AH1225" t="n">
        <v>6</v>
      </c>
      <c r="AI1225" t="n">
        <v>6</v>
      </c>
      <c r="AJ1225" t="n">
        <v>16</v>
      </c>
      <c r="AK1225" t="n">
        <v>16</v>
      </c>
      <c r="AL1225" t="n">
        <v>0</v>
      </c>
      <c r="AM1225" t="n">
        <v>0</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HYPERLINK("https://creighton-primo.hosted.exlibrisgroup.com/primo-explore/search?tab=default_tab&amp;search_scope=EVERYTHING&amp;vid=01CRU&amp;lang=en_US&amp;offset=0&amp;query=any,contains,991004051119702656","Catalog Record")</f>
        <v/>
      </c>
      <c r="AT1225">
        <f>HYPERLINK("http://www.worldcat.org/oclc/2212905","WorldCat Record")</f>
        <v/>
      </c>
      <c r="AU1225" t="inlineStr">
        <is>
          <t>3979007:eng</t>
        </is>
      </c>
      <c r="AV1225" t="inlineStr">
        <is>
          <t>2212905</t>
        </is>
      </c>
      <c r="AW1225" t="inlineStr">
        <is>
          <t>991004051119702656</t>
        </is>
      </c>
      <c r="AX1225" t="inlineStr">
        <is>
          <t>991004051119702656</t>
        </is>
      </c>
      <c r="AY1225" t="inlineStr">
        <is>
          <t>2255646670002656</t>
        </is>
      </c>
      <c r="AZ1225" t="inlineStr">
        <is>
          <t>BOOK</t>
        </is>
      </c>
      <c r="BB1225" t="inlineStr">
        <is>
          <t>9780809119356</t>
        </is>
      </c>
      <c r="BC1225" t="inlineStr">
        <is>
          <t>32285000269315</t>
        </is>
      </c>
      <c r="BD1225" t="inlineStr">
        <is>
          <t>893240961</t>
        </is>
      </c>
    </row>
    <row r="1226">
      <c r="A1226" t="inlineStr">
        <is>
          <t>No</t>
        </is>
      </c>
      <c r="B1226" t="inlineStr">
        <is>
          <t>BT780 .H27 1983</t>
        </is>
      </c>
      <c r="C1226" t="inlineStr">
        <is>
          <t>0                      BT 0780000H  27          1983</t>
        </is>
      </c>
      <c r="D1226" t="inlineStr">
        <is>
          <t>Luther on conversion : the early years / Marilyn J. Harran.</t>
        </is>
      </c>
      <c r="F1226" t="inlineStr">
        <is>
          <t>No</t>
        </is>
      </c>
      <c r="G1226" t="inlineStr">
        <is>
          <t>1</t>
        </is>
      </c>
      <c r="H1226" t="inlineStr">
        <is>
          <t>No</t>
        </is>
      </c>
      <c r="I1226" t="inlineStr">
        <is>
          <t>No</t>
        </is>
      </c>
      <c r="J1226" t="inlineStr">
        <is>
          <t>0</t>
        </is>
      </c>
      <c r="K1226" t="inlineStr">
        <is>
          <t>Harran, Marilyn J., 1948-</t>
        </is>
      </c>
      <c r="L1226" t="inlineStr">
        <is>
          <t>Ithaca : Cornell University Press, 1983.</t>
        </is>
      </c>
      <c r="M1226" t="inlineStr">
        <is>
          <t>1983</t>
        </is>
      </c>
      <c r="O1226" t="inlineStr">
        <is>
          <t>eng</t>
        </is>
      </c>
      <c r="P1226" t="inlineStr">
        <is>
          <t>nyu</t>
        </is>
      </c>
      <c r="R1226" t="inlineStr">
        <is>
          <t xml:space="preserve">BT </t>
        </is>
      </c>
      <c r="S1226" t="n">
        <v>1</v>
      </c>
      <c r="T1226" t="n">
        <v>1</v>
      </c>
      <c r="U1226" t="inlineStr">
        <is>
          <t>2004-11-12</t>
        </is>
      </c>
      <c r="V1226" t="inlineStr">
        <is>
          <t>2004-11-12</t>
        </is>
      </c>
      <c r="W1226" t="inlineStr">
        <is>
          <t>1990-08-08</t>
        </is>
      </c>
      <c r="X1226" t="inlineStr">
        <is>
          <t>1990-08-08</t>
        </is>
      </c>
      <c r="Y1226" t="n">
        <v>642</v>
      </c>
      <c r="Z1226" t="n">
        <v>542</v>
      </c>
      <c r="AA1226" t="n">
        <v>689</v>
      </c>
      <c r="AB1226" t="n">
        <v>5</v>
      </c>
      <c r="AC1226" t="n">
        <v>5</v>
      </c>
      <c r="AD1226" t="n">
        <v>35</v>
      </c>
      <c r="AE1226" t="n">
        <v>39</v>
      </c>
      <c r="AF1226" t="n">
        <v>12</v>
      </c>
      <c r="AG1226" t="n">
        <v>15</v>
      </c>
      <c r="AH1226" t="n">
        <v>7</v>
      </c>
      <c r="AI1226" t="n">
        <v>9</v>
      </c>
      <c r="AJ1226" t="n">
        <v>19</v>
      </c>
      <c r="AK1226" t="n">
        <v>20</v>
      </c>
      <c r="AL1226" t="n">
        <v>4</v>
      </c>
      <c r="AM1226" t="n">
        <v>4</v>
      </c>
      <c r="AN1226" t="n">
        <v>0</v>
      </c>
      <c r="AO1226" t="n">
        <v>0</v>
      </c>
      <c r="AP1226" t="inlineStr">
        <is>
          <t>No</t>
        </is>
      </c>
      <c r="AQ1226" t="inlineStr">
        <is>
          <t>Yes</t>
        </is>
      </c>
      <c r="AR1226">
        <f>HYPERLINK("http://catalog.hathitrust.org/Record/000315815","HathiTrust Record")</f>
        <v/>
      </c>
      <c r="AS1226">
        <f>HYPERLINK("https://creighton-primo.hosted.exlibrisgroup.com/primo-explore/search?tab=default_tab&amp;search_scope=EVERYTHING&amp;vid=01CRU&amp;lang=en_US&amp;offset=0&amp;query=any,contains,991000192629702656","Catalog Record")</f>
        <v/>
      </c>
      <c r="AT1226">
        <f>HYPERLINK("http://www.worldcat.org/oclc/9413467","WorldCat Record")</f>
        <v/>
      </c>
      <c r="AU1226" t="inlineStr">
        <is>
          <t>836721258:eng</t>
        </is>
      </c>
      <c r="AV1226" t="inlineStr">
        <is>
          <t>9413467</t>
        </is>
      </c>
      <c r="AW1226" t="inlineStr">
        <is>
          <t>991000192629702656</t>
        </is>
      </c>
      <c r="AX1226" t="inlineStr">
        <is>
          <t>991000192629702656</t>
        </is>
      </c>
      <c r="AY1226" t="inlineStr">
        <is>
          <t>2264000330002656</t>
        </is>
      </c>
      <c r="AZ1226" t="inlineStr">
        <is>
          <t>BOOK</t>
        </is>
      </c>
      <c r="BB1226" t="inlineStr">
        <is>
          <t>9780801415661</t>
        </is>
      </c>
      <c r="BC1226" t="inlineStr">
        <is>
          <t>32285000269331</t>
        </is>
      </c>
      <c r="BD1226" t="inlineStr">
        <is>
          <t>893224818</t>
        </is>
      </c>
    </row>
    <row r="1227">
      <c r="A1227" t="inlineStr">
        <is>
          <t>No</t>
        </is>
      </c>
      <c r="B1227" t="inlineStr">
        <is>
          <t>BT780 .H3 1967</t>
        </is>
      </c>
      <c r="C1227" t="inlineStr">
        <is>
          <t>0                      BT 0780000H  3           1967</t>
        </is>
      </c>
      <c r="D1227" t="inlineStr">
        <is>
          <t>The transformation of man : a study of conversion and community / Rosemary Haughton.</t>
        </is>
      </c>
      <c r="F1227" t="inlineStr">
        <is>
          <t>No</t>
        </is>
      </c>
      <c r="G1227" t="inlineStr">
        <is>
          <t>1</t>
        </is>
      </c>
      <c r="H1227" t="inlineStr">
        <is>
          <t>No</t>
        </is>
      </c>
      <c r="I1227" t="inlineStr">
        <is>
          <t>No</t>
        </is>
      </c>
      <c r="J1227" t="inlineStr">
        <is>
          <t>0</t>
        </is>
      </c>
      <c r="K1227" t="inlineStr">
        <is>
          <t>Haughton, Rosemary.</t>
        </is>
      </c>
      <c r="L1227" t="inlineStr">
        <is>
          <t>Springfield, Ill. : Templegate, 1967.</t>
        </is>
      </c>
      <c r="M1227" t="inlineStr">
        <is>
          <t>1967</t>
        </is>
      </c>
      <c r="O1227" t="inlineStr">
        <is>
          <t>eng</t>
        </is>
      </c>
      <c r="P1227" t="inlineStr">
        <is>
          <t>ilu</t>
        </is>
      </c>
      <c r="R1227" t="inlineStr">
        <is>
          <t xml:space="preserve">BT </t>
        </is>
      </c>
      <c r="S1227" t="n">
        <v>8</v>
      </c>
      <c r="T1227" t="n">
        <v>8</v>
      </c>
      <c r="U1227" t="inlineStr">
        <is>
          <t>1998-10-28</t>
        </is>
      </c>
      <c r="V1227" t="inlineStr">
        <is>
          <t>1998-10-28</t>
        </is>
      </c>
      <c r="W1227" t="inlineStr">
        <is>
          <t>1990-08-08</t>
        </is>
      </c>
      <c r="X1227" t="inlineStr">
        <is>
          <t>1990-08-08</t>
        </is>
      </c>
      <c r="Y1227" t="n">
        <v>276</v>
      </c>
      <c r="Z1227" t="n">
        <v>245</v>
      </c>
      <c r="AA1227" t="n">
        <v>335</v>
      </c>
      <c r="AB1227" t="n">
        <v>3</v>
      </c>
      <c r="AC1227" t="n">
        <v>3</v>
      </c>
      <c r="AD1227" t="n">
        <v>24</v>
      </c>
      <c r="AE1227" t="n">
        <v>31</v>
      </c>
      <c r="AF1227" t="n">
        <v>6</v>
      </c>
      <c r="AG1227" t="n">
        <v>9</v>
      </c>
      <c r="AH1227" t="n">
        <v>6</v>
      </c>
      <c r="AI1227" t="n">
        <v>8</v>
      </c>
      <c r="AJ1227" t="n">
        <v>18</v>
      </c>
      <c r="AK1227" t="n">
        <v>22</v>
      </c>
      <c r="AL1227" t="n">
        <v>1</v>
      </c>
      <c r="AM1227" t="n">
        <v>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HYPERLINK("https://creighton-primo.hosted.exlibrisgroup.com/primo-explore/search?tab=default_tab&amp;search_scope=EVERYTHING&amp;vid=01CRU&amp;lang=en_US&amp;offset=0&amp;query=any,contains,991002223699702656","Catalog Record")</f>
        <v/>
      </c>
      <c r="AT1227">
        <f>HYPERLINK("http://www.worldcat.org/oclc/290975","WorldCat Record")</f>
        <v/>
      </c>
      <c r="AU1227" t="inlineStr">
        <is>
          <t>836683422:eng</t>
        </is>
      </c>
      <c r="AV1227" t="inlineStr">
        <is>
          <t>290975</t>
        </is>
      </c>
      <c r="AW1227" t="inlineStr">
        <is>
          <t>991002223699702656</t>
        </is>
      </c>
      <c r="AX1227" t="inlineStr">
        <is>
          <t>991002223699702656</t>
        </is>
      </c>
      <c r="AY1227" t="inlineStr">
        <is>
          <t>2270674870002656</t>
        </is>
      </c>
      <c r="AZ1227" t="inlineStr">
        <is>
          <t>BOOK</t>
        </is>
      </c>
      <c r="BC1227" t="inlineStr">
        <is>
          <t>32285000269349</t>
        </is>
      </c>
      <c r="BD1227" t="inlineStr">
        <is>
          <t>893523340</t>
        </is>
      </c>
    </row>
    <row r="1228">
      <c r="A1228" t="inlineStr">
        <is>
          <t>No</t>
        </is>
      </c>
      <c r="B1228" t="inlineStr">
        <is>
          <t>BT780 .Y37 1993</t>
        </is>
      </c>
      <c r="C1228" t="inlineStr">
        <is>
          <t>0                      BT 0780000Y  37          1993</t>
        </is>
      </c>
      <c r="D1228" t="inlineStr">
        <is>
          <t>Delightful conviction : Jonathan Edwards and the rhetoric of conversion / Stephen R. Yarbrough and John C. Adams ; foreword by Bernard K. Duffy.</t>
        </is>
      </c>
      <c r="F1228" t="inlineStr">
        <is>
          <t>No</t>
        </is>
      </c>
      <c r="G1228" t="inlineStr">
        <is>
          <t>1</t>
        </is>
      </c>
      <c r="H1228" t="inlineStr">
        <is>
          <t>No</t>
        </is>
      </c>
      <c r="I1228" t="inlineStr">
        <is>
          <t>No</t>
        </is>
      </c>
      <c r="J1228" t="inlineStr">
        <is>
          <t>0</t>
        </is>
      </c>
      <c r="K1228" t="inlineStr">
        <is>
          <t>Yarbrough, Stephen R.</t>
        </is>
      </c>
      <c r="L1228" t="inlineStr">
        <is>
          <t>Westport, Conn. : Greenwood Press, 1993.</t>
        </is>
      </c>
      <c r="M1228" t="inlineStr">
        <is>
          <t>1993</t>
        </is>
      </c>
      <c r="O1228" t="inlineStr">
        <is>
          <t>eng</t>
        </is>
      </c>
      <c r="P1228" t="inlineStr">
        <is>
          <t>ctu</t>
        </is>
      </c>
      <c r="Q1228" t="inlineStr">
        <is>
          <t>Great American orators, 0898-8277 ; no. 20</t>
        </is>
      </c>
      <c r="R1228" t="inlineStr">
        <is>
          <t xml:space="preserve">BT </t>
        </is>
      </c>
      <c r="S1228" t="n">
        <v>8</v>
      </c>
      <c r="T1228" t="n">
        <v>8</v>
      </c>
      <c r="U1228" t="inlineStr">
        <is>
          <t>1998-03-23</t>
        </is>
      </c>
      <c r="V1228" t="inlineStr">
        <is>
          <t>1998-03-23</t>
        </is>
      </c>
      <c r="W1228" t="inlineStr">
        <is>
          <t>1994-05-17</t>
        </is>
      </c>
      <c r="X1228" t="inlineStr">
        <is>
          <t>1994-05-17</t>
        </is>
      </c>
      <c r="Y1228" t="n">
        <v>252</v>
      </c>
      <c r="Z1228" t="n">
        <v>223</v>
      </c>
      <c r="AA1228" t="n">
        <v>587</v>
      </c>
      <c r="AB1228" t="n">
        <v>3</v>
      </c>
      <c r="AC1228" t="n">
        <v>5</v>
      </c>
      <c r="AD1228" t="n">
        <v>11</v>
      </c>
      <c r="AE1228" t="n">
        <v>17</v>
      </c>
      <c r="AF1228" t="n">
        <v>4</v>
      </c>
      <c r="AG1228" t="n">
        <v>7</v>
      </c>
      <c r="AH1228" t="n">
        <v>1</v>
      </c>
      <c r="AI1228" t="n">
        <v>2</v>
      </c>
      <c r="AJ1228" t="n">
        <v>7</v>
      </c>
      <c r="AK1228" t="n">
        <v>9</v>
      </c>
      <c r="AL1228" t="n">
        <v>2</v>
      </c>
      <c r="AM1228" t="n">
        <v>4</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HYPERLINK("https://creighton-primo.hosted.exlibrisgroup.com/primo-explore/search?tab=default_tab&amp;search_scope=EVERYTHING&amp;vid=01CRU&amp;lang=en_US&amp;offset=0&amp;query=any,contains,991002064119702656","Catalog Record")</f>
        <v/>
      </c>
      <c r="AT1228">
        <f>HYPERLINK("http://www.worldcat.org/oclc/26400020","WorldCat Record")</f>
        <v/>
      </c>
      <c r="AU1228" t="inlineStr">
        <is>
          <t>797285989:eng</t>
        </is>
      </c>
      <c r="AV1228" t="inlineStr">
        <is>
          <t>26400020</t>
        </is>
      </c>
      <c r="AW1228" t="inlineStr">
        <is>
          <t>991002064119702656</t>
        </is>
      </c>
      <c r="AX1228" t="inlineStr">
        <is>
          <t>991002064119702656</t>
        </is>
      </c>
      <c r="AY1228" t="inlineStr">
        <is>
          <t>2267830930002656</t>
        </is>
      </c>
      <c r="AZ1228" t="inlineStr">
        <is>
          <t>BOOK</t>
        </is>
      </c>
      <c r="BB1228" t="inlineStr">
        <is>
          <t>9780313275821</t>
        </is>
      </c>
      <c r="BC1228" t="inlineStr">
        <is>
          <t>32285001896314</t>
        </is>
      </c>
      <c r="BD1228" t="inlineStr">
        <is>
          <t>893232530</t>
        </is>
      </c>
    </row>
    <row r="1229">
      <c r="A1229" t="inlineStr">
        <is>
          <t>No</t>
        </is>
      </c>
      <c r="B1229" t="inlineStr">
        <is>
          <t>BT79 .A413</t>
        </is>
      </c>
      <c r="C1229" t="inlineStr">
        <is>
          <t>0                      BT 0079000A  413</t>
        </is>
      </c>
      <c r="D1229" t="inlineStr">
        <is>
          <t>The divine command; a new perspective on law and gospel / by Paul Althaus. Translated by Franklin Sherman. Introd. by William H. Lazareth.</t>
        </is>
      </c>
      <c r="F1229" t="inlineStr">
        <is>
          <t>No</t>
        </is>
      </c>
      <c r="G1229" t="inlineStr">
        <is>
          <t>1</t>
        </is>
      </c>
      <c r="H1229" t="inlineStr">
        <is>
          <t>No</t>
        </is>
      </c>
      <c r="I1229" t="inlineStr">
        <is>
          <t>No</t>
        </is>
      </c>
      <c r="J1229" t="inlineStr">
        <is>
          <t>0</t>
        </is>
      </c>
      <c r="K1229" t="inlineStr">
        <is>
          <t>Althaus, Paul, 1888-1966.</t>
        </is>
      </c>
      <c r="L1229" t="inlineStr">
        <is>
          <t>Philadelphia, Fortress Press [1966]</t>
        </is>
      </c>
      <c r="M1229" t="inlineStr">
        <is>
          <t>1966</t>
        </is>
      </c>
      <c r="O1229" t="inlineStr">
        <is>
          <t>eng</t>
        </is>
      </c>
      <c r="P1229" t="inlineStr">
        <is>
          <t>pau</t>
        </is>
      </c>
      <c r="Q1229" t="inlineStr">
        <is>
          <t>Facet books. Social ethics series ; 9</t>
        </is>
      </c>
      <c r="R1229" t="inlineStr">
        <is>
          <t xml:space="preserve">BT </t>
        </is>
      </c>
      <c r="S1229" t="n">
        <v>5</v>
      </c>
      <c r="T1229" t="n">
        <v>5</v>
      </c>
      <c r="U1229" t="inlineStr">
        <is>
          <t>2006-02-20</t>
        </is>
      </c>
      <c r="V1229" t="inlineStr">
        <is>
          <t>2006-02-20</t>
        </is>
      </c>
      <c r="W1229" t="inlineStr">
        <is>
          <t>1991-06-21</t>
        </is>
      </c>
      <c r="X1229" t="inlineStr">
        <is>
          <t>1991-06-21</t>
        </is>
      </c>
      <c r="Y1229" t="n">
        <v>207</v>
      </c>
      <c r="Z1229" t="n">
        <v>183</v>
      </c>
      <c r="AA1229" t="n">
        <v>183</v>
      </c>
      <c r="AB1229" t="n">
        <v>2</v>
      </c>
      <c r="AC1229" t="n">
        <v>2</v>
      </c>
      <c r="AD1229" t="n">
        <v>16</v>
      </c>
      <c r="AE1229" t="n">
        <v>16</v>
      </c>
      <c r="AF1229" t="n">
        <v>4</v>
      </c>
      <c r="AG1229" t="n">
        <v>4</v>
      </c>
      <c r="AH1229" t="n">
        <v>2</v>
      </c>
      <c r="AI1229" t="n">
        <v>2</v>
      </c>
      <c r="AJ1229" t="n">
        <v>11</v>
      </c>
      <c r="AK1229" t="n">
        <v>11</v>
      </c>
      <c r="AL1229" t="n">
        <v>1</v>
      </c>
      <c r="AM1229" t="n">
        <v>1</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HYPERLINK("https://creighton-primo.hosted.exlibrisgroup.com/primo-explore/search?tab=default_tab&amp;search_scope=EVERYTHING&amp;vid=01CRU&amp;lang=en_US&amp;offset=0&amp;query=any,contains,991003022509702656","Catalog Record")</f>
        <v/>
      </c>
      <c r="AT1229">
        <f>HYPERLINK("http://www.worldcat.org/oclc/587155","WorldCat Record")</f>
        <v/>
      </c>
      <c r="AU1229" t="inlineStr">
        <is>
          <t>3769180508:eng</t>
        </is>
      </c>
      <c r="AV1229" t="inlineStr">
        <is>
          <t>587155</t>
        </is>
      </c>
      <c r="AW1229" t="inlineStr">
        <is>
          <t>991003022509702656</t>
        </is>
      </c>
      <c r="AX1229" t="inlineStr">
        <is>
          <t>991003022509702656</t>
        </is>
      </c>
      <c r="AY1229" t="inlineStr">
        <is>
          <t>2267079090002656</t>
        </is>
      </c>
      <c r="AZ1229" t="inlineStr">
        <is>
          <t>BOOK</t>
        </is>
      </c>
      <c r="BC1229" t="inlineStr">
        <is>
          <t>32285000688589</t>
        </is>
      </c>
      <c r="BD1229" t="inlineStr">
        <is>
          <t>893511493</t>
        </is>
      </c>
    </row>
    <row r="1230">
      <c r="A1230" t="inlineStr">
        <is>
          <t>No</t>
        </is>
      </c>
      <c r="B1230" t="inlineStr">
        <is>
          <t>BT79 .E413</t>
        </is>
      </c>
      <c r="C1230" t="inlineStr">
        <is>
          <t>0                      BT 0079000E  413</t>
        </is>
      </c>
      <c r="D1230" t="inlineStr">
        <is>
          <t>Law and gospel / by Werner Elert. Translated by Edward H. Schroeder.</t>
        </is>
      </c>
      <c r="F1230" t="inlineStr">
        <is>
          <t>No</t>
        </is>
      </c>
      <c r="G1230" t="inlineStr">
        <is>
          <t>1</t>
        </is>
      </c>
      <c r="H1230" t="inlineStr">
        <is>
          <t>No</t>
        </is>
      </c>
      <c r="I1230" t="inlineStr">
        <is>
          <t>No</t>
        </is>
      </c>
      <c r="J1230" t="inlineStr">
        <is>
          <t>0</t>
        </is>
      </c>
      <c r="K1230" t="inlineStr">
        <is>
          <t>Elert, Werner, 1885-1954.</t>
        </is>
      </c>
      <c r="L1230" t="inlineStr">
        <is>
          <t>Philadelphia, Fortress Press [1967]</t>
        </is>
      </c>
      <c r="M1230" t="inlineStr">
        <is>
          <t>1967</t>
        </is>
      </c>
      <c r="O1230" t="inlineStr">
        <is>
          <t>eng</t>
        </is>
      </c>
      <c r="P1230" t="inlineStr">
        <is>
          <t>___</t>
        </is>
      </c>
      <c r="Q1230" t="inlineStr">
        <is>
          <t>Facet books. Social ethics series ; 16</t>
        </is>
      </c>
      <c r="R1230" t="inlineStr">
        <is>
          <t xml:space="preserve">BT </t>
        </is>
      </c>
      <c r="S1230" t="n">
        <v>2</v>
      </c>
      <c r="T1230" t="n">
        <v>2</v>
      </c>
      <c r="U1230" t="inlineStr">
        <is>
          <t>1996-11-09</t>
        </is>
      </c>
      <c r="V1230" t="inlineStr">
        <is>
          <t>1996-11-09</t>
        </is>
      </c>
      <c r="W1230" t="inlineStr">
        <is>
          <t>1991-06-21</t>
        </is>
      </c>
      <c r="X1230" t="inlineStr">
        <is>
          <t>1991-06-21</t>
        </is>
      </c>
      <c r="Y1230" t="n">
        <v>265</v>
      </c>
      <c r="Z1230" t="n">
        <v>229</v>
      </c>
      <c r="AA1230" t="n">
        <v>235</v>
      </c>
      <c r="AB1230" t="n">
        <v>3</v>
      </c>
      <c r="AC1230" t="n">
        <v>3</v>
      </c>
      <c r="AD1230" t="n">
        <v>14</v>
      </c>
      <c r="AE1230" t="n">
        <v>15</v>
      </c>
      <c r="AF1230" t="n">
        <v>4</v>
      </c>
      <c r="AG1230" t="n">
        <v>4</v>
      </c>
      <c r="AH1230" t="n">
        <v>2</v>
      </c>
      <c r="AI1230" t="n">
        <v>2</v>
      </c>
      <c r="AJ1230" t="n">
        <v>8</v>
      </c>
      <c r="AK1230" t="n">
        <v>9</v>
      </c>
      <c r="AL1230" t="n">
        <v>2</v>
      </c>
      <c r="AM1230" t="n">
        <v>2</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HYPERLINK("https://creighton-primo.hosted.exlibrisgroup.com/primo-explore/search?tab=default_tab&amp;search_scope=EVERYTHING&amp;vid=01CRU&amp;lang=en_US&amp;offset=0&amp;query=any,contains,991003251029702656","Catalog Record")</f>
        <v/>
      </c>
      <c r="AT1230">
        <f>HYPERLINK("http://www.worldcat.org/oclc/775750","WorldCat Record")</f>
        <v/>
      </c>
      <c r="AU1230" t="inlineStr">
        <is>
          <t>1688405:eng</t>
        </is>
      </c>
      <c r="AV1230" t="inlineStr">
        <is>
          <t>775750</t>
        </is>
      </c>
      <c r="AW1230" t="inlineStr">
        <is>
          <t>991003251029702656</t>
        </is>
      </c>
      <c r="AX1230" t="inlineStr">
        <is>
          <t>991003251029702656</t>
        </is>
      </c>
      <c r="AY1230" t="inlineStr">
        <is>
          <t>2266496980002656</t>
        </is>
      </c>
      <c r="AZ1230" t="inlineStr">
        <is>
          <t>BOOK</t>
        </is>
      </c>
      <c r="BC1230" t="inlineStr">
        <is>
          <t>32285000688597</t>
        </is>
      </c>
      <c r="BD1230" t="inlineStr">
        <is>
          <t>893441078</t>
        </is>
      </c>
    </row>
    <row r="1231">
      <c r="A1231" t="inlineStr">
        <is>
          <t>No</t>
        </is>
      </c>
      <c r="B1231" t="inlineStr">
        <is>
          <t>BT80 .B3331</t>
        </is>
      </c>
      <c r="C1231" t="inlineStr">
        <is>
          <t>0                      BT 0080000B  3331</t>
        </is>
      </c>
      <c r="D1231" t="inlineStr">
        <is>
          <t>Word and redemption / translated by A. V. Littledale in cooperation with Alexander Dru.</t>
        </is>
      </c>
      <c r="F1231" t="inlineStr">
        <is>
          <t>No</t>
        </is>
      </c>
      <c r="G1231" t="inlineStr">
        <is>
          <t>1</t>
        </is>
      </c>
      <c r="H1231" t="inlineStr">
        <is>
          <t>No</t>
        </is>
      </c>
      <c r="I1231" t="inlineStr">
        <is>
          <t>Yes</t>
        </is>
      </c>
      <c r="J1231" t="inlineStr">
        <is>
          <t>0</t>
        </is>
      </c>
      <c r="K1231" t="inlineStr">
        <is>
          <t>Balthasar, Hans Urs von, 1905-1988.</t>
        </is>
      </c>
      <c r="L1231" t="inlineStr">
        <is>
          <t>New York : Herder and Herder, 1965.</t>
        </is>
      </c>
      <c r="M1231" t="inlineStr">
        <is>
          <t>1965</t>
        </is>
      </c>
      <c r="O1231" t="inlineStr">
        <is>
          <t>eng</t>
        </is>
      </c>
      <c r="P1231" t="inlineStr">
        <is>
          <t>___</t>
        </is>
      </c>
      <c r="Q1231" t="inlineStr">
        <is>
          <t>His Essays in theology, 2</t>
        </is>
      </c>
      <c r="R1231" t="inlineStr">
        <is>
          <t xml:space="preserve">BT </t>
        </is>
      </c>
      <c r="S1231" t="n">
        <v>3</v>
      </c>
      <c r="T1231" t="n">
        <v>3</v>
      </c>
      <c r="U1231" t="inlineStr">
        <is>
          <t>2008-08-11</t>
        </is>
      </c>
      <c r="V1231" t="inlineStr">
        <is>
          <t>2008-08-11</t>
        </is>
      </c>
      <c r="W1231" t="inlineStr">
        <is>
          <t>1990-02-26</t>
        </is>
      </c>
      <c r="X1231" t="inlineStr">
        <is>
          <t>1990-02-26</t>
        </is>
      </c>
      <c r="Y1231" t="n">
        <v>279</v>
      </c>
      <c r="Z1231" t="n">
        <v>250</v>
      </c>
      <c r="AA1231" t="n">
        <v>396</v>
      </c>
      <c r="AB1231" t="n">
        <v>4</v>
      </c>
      <c r="AC1231" t="n">
        <v>4</v>
      </c>
      <c r="AD1231" t="n">
        <v>32</v>
      </c>
      <c r="AE1231" t="n">
        <v>39</v>
      </c>
      <c r="AF1231" t="n">
        <v>9</v>
      </c>
      <c r="AG1231" t="n">
        <v>14</v>
      </c>
      <c r="AH1231" t="n">
        <v>9</v>
      </c>
      <c r="AI1231" t="n">
        <v>9</v>
      </c>
      <c r="AJ1231" t="n">
        <v>24</v>
      </c>
      <c r="AK1231" t="n">
        <v>28</v>
      </c>
      <c r="AL1231" t="n">
        <v>1</v>
      </c>
      <c r="AM1231" t="n">
        <v>1</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HYPERLINK("https://creighton-primo.hosted.exlibrisgroup.com/primo-explore/search?tab=default_tab&amp;search_scope=EVERYTHING&amp;vid=01CRU&amp;lang=en_US&amp;offset=0&amp;query=any,contains,991003481269702656","Catalog Record")</f>
        <v/>
      </c>
      <c r="AT1231">
        <f>HYPERLINK("http://www.worldcat.org/oclc/1029010","WorldCat Record")</f>
        <v/>
      </c>
      <c r="AU1231" t="inlineStr">
        <is>
          <t>58281471:eng</t>
        </is>
      </c>
      <c r="AV1231" t="inlineStr">
        <is>
          <t>1029010</t>
        </is>
      </c>
      <c r="AW1231" t="inlineStr">
        <is>
          <t>991003481269702656</t>
        </is>
      </c>
      <c r="AX1231" t="inlineStr">
        <is>
          <t>991003481269702656</t>
        </is>
      </c>
      <c r="AY1231" t="inlineStr">
        <is>
          <t>2256654390002656</t>
        </is>
      </c>
      <c r="AZ1231" t="inlineStr">
        <is>
          <t>BOOK</t>
        </is>
      </c>
      <c r="BC1231" t="inlineStr">
        <is>
          <t>32285000070408</t>
        </is>
      </c>
      <c r="BD1231" t="inlineStr">
        <is>
          <t>893240242</t>
        </is>
      </c>
    </row>
    <row r="1232">
      <c r="A1232" t="inlineStr">
        <is>
          <t>No</t>
        </is>
      </c>
      <c r="B1232" t="inlineStr">
        <is>
          <t>BT80 .B8</t>
        </is>
      </c>
      <c r="C1232" t="inlineStr">
        <is>
          <t>0                      BT 0080000B  8</t>
        </is>
      </c>
      <c r="D1232" t="inlineStr">
        <is>
          <t>The Word in history; the St. Xavier symposium / edited by T. Patrick Burke.</t>
        </is>
      </c>
      <c r="F1232" t="inlineStr">
        <is>
          <t>No</t>
        </is>
      </c>
      <c r="G1232" t="inlineStr">
        <is>
          <t>1</t>
        </is>
      </c>
      <c r="H1232" t="inlineStr">
        <is>
          <t>No</t>
        </is>
      </c>
      <c r="I1232" t="inlineStr">
        <is>
          <t>No</t>
        </is>
      </c>
      <c r="J1232" t="inlineStr">
        <is>
          <t>0</t>
        </is>
      </c>
      <c r="K1232" t="inlineStr">
        <is>
          <t>Burke, T. Patrick (Thomas Patrick), 1934- editor.</t>
        </is>
      </c>
      <c r="L1232" t="inlineStr">
        <is>
          <t>New York, Sheed and Ward [1966]</t>
        </is>
      </c>
      <c r="M1232" t="inlineStr">
        <is>
          <t>1966</t>
        </is>
      </c>
      <c r="O1232" t="inlineStr">
        <is>
          <t>eng</t>
        </is>
      </c>
      <c r="P1232" t="inlineStr">
        <is>
          <t>nyu</t>
        </is>
      </c>
      <c r="R1232" t="inlineStr">
        <is>
          <t xml:space="preserve">BT </t>
        </is>
      </c>
      <c r="S1232" t="n">
        <v>1</v>
      </c>
      <c r="T1232" t="n">
        <v>1</v>
      </c>
      <c r="U1232" t="inlineStr">
        <is>
          <t>2000-07-08</t>
        </is>
      </c>
      <c r="V1232" t="inlineStr">
        <is>
          <t>2000-07-08</t>
        </is>
      </c>
      <c r="W1232" t="inlineStr">
        <is>
          <t>1991-06-24</t>
        </is>
      </c>
      <c r="X1232" t="inlineStr">
        <is>
          <t>1991-06-24</t>
        </is>
      </c>
      <c r="Y1232" t="n">
        <v>398</v>
      </c>
      <c r="Z1232" t="n">
        <v>348</v>
      </c>
      <c r="AA1232" t="n">
        <v>359</v>
      </c>
      <c r="AB1232" t="n">
        <v>4</v>
      </c>
      <c r="AC1232" t="n">
        <v>4</v>
      </c>
      <c r="AD1232" t="n">
        <v>34</v>
      </c>
      <c r="AE1232" t="n">
        <v>34</v>
      </c>
      <c r="AF1232" t="n">
        <v>11</v>
      </c>
      <c r="AG1232" t="n">
        <v>11</v>
      </c>
      <c r="AH1232" t="n">
        <v>8</v>
      </c>
      <c r="AI1232" t="n">
        <v>8</v>
      </c>
      <c r="AJ1232" t="n">
        <v>24</v>
      </c>
      <c r="AK1232" t="n">
        <v>24</v>
      </c>
      <c r="AL1232" t="n">
        <v>2</v>
      </c>
      <c r="AM1232" t="n">
        <v>2</v>
      </c>
      <c r="AN1232" t="n">
        <v>0</v>
      </c>
      <c r="AO1232" t="n">
        <v>0</v>
      </c>
      <c r="AP1232" t="inlineStr">
        <is>
          <t>No</t>
        </is>
      </c>
      <c r="AQ1232" t="inlineStr">
        <is>
          <t>Yes</t>
        </is>
      </c>
      <c r="AR1232">
        <f>HYPERLINK("http://catalog.hathitrust.org/Record/009974796","HathiTrust Record")</f>
        <v/>
      </c>
      <c r="AS1232">
        <f>HYPERLINK("https://creighton-primo.hosted.exlibrisgroup.com/primo-explore/search?tab=default_tab&amp;search_scope=EVERYTHING&amp;vid=01CRU&amp;lang=en_US&amp;offset=0&amp;query=any,contains,991002643749702656","Catalog Record")</f>
        <v/>
      </c>
      <c r="AT1232">
        <f>HYPERLINK("http://www.worldcat.org/oclc/385101","WorldCat Record")</f>
        <v/>
      </c>
      <c r="AU1232" t="inlineStr">
        <is>
          <t>5090752708:eng</t>
        </is>
      </c>
      <c r="AV1232" t="inlineStr">
        <is>
          <t>385101</t>
        </is>
      </c>
      <c r="AW1232" t="inlineStr">
        <is>
          <t>991002643749702656</t>
        </is>
      </c>
      <c r="AX1232" t="inlineStr">
        <is>
          <t>991002643749702656</t>
        </is>
      </c>
      <c r="AY1232" t="inlineStr">
        <is>
          <t>2258862290002656</t>
        </is>
      </c>
      <c r="AZ1232" t="inlineStr">
        <is>
          <t>BOOK</t>
        </is>
      </c>
      <c r="BC1232" t="inlineStr">
        <is>
          <t>32285000688639</t>
        </is>
      </c>
      <c r="BD1232" t="inlineStr">
        <is>
          <t>893622527</t>
        </is>
      </c>
    </row>
    <row r="1233">
      <c r="A1233" t="inlineStr">
        <is>
          <t>No</t>
        </is>
      </c>
      <c r="B1233" t="inlineStr">
        <is>
          <t>BT80 .C49 1983</t>
        </is>
      </c>
      <c r="C1233" t="inlineStr">
        <is>
          <t>0                      BT 0080000C  49          1983</t>
        </is>
      </c>
      <c r="D1233" t="inlineStr">
        <is>
          <t>Christian theology : an introduction to its traditions and tasks / edited by Peter C. Hodgson and Robert H. King.</t>
        </is>
      </c>
      <c r="F1233" t="inlineStr">
        <is>
          <t>No</t>
        </is>
      </c>
      <c r="G1233" t="inlineStr">
        <is>
          <t>1</t>
        </is>
      </c>
      <c r="H1233" t="inlineStr">
        <is>
          <t>No</t>
        </is>
      </c>
      <c r="I1233" t="inlineStr">
        <is>
          <t>No</t>
        </is>
      </c>
      <c r="J1233" t="inlineStr">
        <is>
          <t>0</t>
        </is>
      </c>
      <c r="L1233" t="inlineStr">
        <is>
          <t>London : SPCK, 1983.</t>
        </is>
      </c>
      <c r="M1233" t="inlineStr">
        <is>
          <t>1983</t>
        </is>
      </c>
      <c r="O1233" t="inlineStr">
        <is>
          <t>eng</t>
        </is>
      </c>
      <c r="P1233" t="inlineStr">
        <is>
          <t>xxk</t>
        </is>
      </c>
      <c r="R1233" t="inlineStr">
        <is>
          <t xml:space="preserve">BT </t>
        </is>
      </c>
      <c r="S1233" t="n">
        <v>9</v>
      </c>
      <c r="T1233" t="n">
        <v>9</v>
      </c>
      <c r="U1233" t="inlineStr">
        <is>
          <t>2001-03-20</t>
        </is>
      </c>
      <c r="V1233" t="inlineStr">
        <is>
          <t>2001-03-20</t>
        </is>
      </c>
      <c r="W1233" t="inlineStr">
        <is>
          <t>1990-07-13</t>
        </is>
      </c>
      <c r="X1233" t="inlineStr">
        <is>
          <t>1990-07-13</t>
        </is>
      </c>
      <c r="Y1233" t="n">
        <v>17</v>
      </c>
      <c r="Z1233" t="n">
        <v>6</v>
      </c>
      <c r="AA1233" t="n">
        <v>555</v>
      </c>
      <c r="AB1233" t="n">
        <v>1</v>
      </c>
      <c r="AC1233" t="n">
        <v>4</v>
      </c>
      <c r="AD1233" t="n">
        <v>0</v>
      </c>
      <c r="AE1233" t="n">
        <v>35</v>
      </c>
      <c r="AF1233" t="n">
        <v>0</v>
      </c>
      <c r="AG1233" t="n">
        <v>17</v>
      </c>
      <c r="AH1233" t="n">
        <v>0</v>
      </c>
      <c r="AI1233" t="n">
        <v>6</v>
      </c>
      <c r="AJ1233" t="n">
        <v>0</v>
      </c>
      <c r="AK1233" t="n">
        <v>20</v>
      </c>
      <c r="AL1233" t="n">
        <v>0</v>
      </c>
      <c r="AM1233" t="n">
        <v>2</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HYPERLINK("https://creighton-primo.hosted.exlibrisgroup.com/primo-explore/search?tab=default_tab&amp;search_scope=EVERYTHING&amp;vid=01CRU&amp;lang=en_US&amp;offset=0&amp;query=any,contains,991000420529702656","Catalog Record")</f>
        <v/>
      </c>
      <c r="AT1233">
        <f>HYPERLINK("http://www.worldcat.org/oclc/10727445","WorldCat Record")</f>
        <v/>
      </c>
      <c r="AU1233" t="inlineStr">
        <is>
          <t>836629014:eng</t>
        </is>
      </c>
      <c r="AV1233" t="inlineStr">
        <is>
          <t>10727445</t>
        </is>
      </c>
      <c r="AW1233" t="inlineStr">
        <is>
          <t>991000420529702656</t>
        </is>
      </c>
      <c r="AX1233" t="inlineStr">
        <is>
          <t>991000420529702656</t>
        </is>
      </c>
      <c r="AY1233" t="inlineStr">
        <is>
          <t>2262145460002656</t>
        </is>
      </c>
      <c r="AZ1233" t="inlineStr">
        <is>
          <t>BOOK</t>
        </is>
      </c>
      <c r="BB1233" t="inlineStr">
        <is>
          <t>9780281040728</t>
        </is>
      </c>
      <c r="BC1233" t="inlineStr">
        <is>
          <t>32285000236777</t>
        </is>
      </c>
      <c r="BD1233" t="inlineStr">
        <is>
          <t>893884366</t>
        </is>
      </c>
    </row>
    <row r="1234">
      <c r="A1234" t="inlineStr">
        <is>
          <t>No</t>
        </is>
      </c>
      <c r="B1234" t="inlineStr">
        <is>
          <t>BT80 .C66 1982</t>
        </is>
      </c>
      <c r="C1234" t="inlineStr">
        <is>
          <t>0                      BT 0080000C  66          1982</t>
        </is>
      </c>
      <c r="D1234" t="inlineStr">
        <is>
          <t>Contemporary American theologies II : a book of readings / edited by Deane William Ferm.</t>
        </is>
      </c>
      <c r="F1234" t="inlineStr">
        <is>
          <t>No</t>
        </is>
      </c>
      <c r="G1234" t="inlineStr">
        <is>
          <t>1</t>
        </is>
      </c>
      <c r="H1234" t="inlineStr">
        <is>
          <t>No</t>
        </is>
      </c>
      <c r="I1234" t="inlineStr">
        <is>
          <t>No</t>
        </is>
      </c>
      <c r="J1234" t="inlineStr">
        <is>
          <t>0</t>
        </is>
      </c>
      <c r="L1234" t="inlineStr">
        <is>
          <t>New York : Seabury Press, 1982.</t>
        </is>
      </c>
      <c r="M1234" t="inlineStr">
        <is>
          <t>1982</t>
        </is>
      </c>
      <c r="O1234" t="inlineStr">
        <is>
          <t>eng</t>
        </is>
      </c>
      <c r="P1234" t="inlineStr">
        <is>
          <t>nyu</t>
        </is>
      </c>
      <c r="R1234" t="inlineStr">
        <is>
          <t xml:space="preserve">BT </t>
        </is>
      </c>
      <c r="S1234" t="n">
        <v>2</v>
      </c>
      <c r="T1234" t="n">
        <v>2</v>
      </c>
      <c r="U1234" t="inlineStr">
        <is>
          <t>1992-11-23</t>
        </is>
      </c>
      <c r="V1234" t="inlineStr">
        <is>
          <t>1992-11-23</t>
        </is>
      </c>
      <c r="W1234" t="inlineStr">
        <is>
          <t>1991-06-24</t>
        </is>
      </c>
      <c r="X1234" t="inlineStr">
        <is>
          <t>1991-06-24</t>
        </is>
      </c>
      <c r="Y1234" t="n">
        <v>427</v>
      </c>
      <c r="Z1234" t="n">
        <v>386</v>
      </c>
      <c r="AA1234" t="n">
        <v>394</v>
      </c>
      <c r="AB1234" t="n">
        <v>5</v>
      </c>
      <c r="AC1234" t="n">
        <v>5</v>
      </c>
      <c r="AD1234" t="n">
        <v>27</v>
      </c>
      <c r="AE1234" t="n">
        <v>27</v>
      </c>
      <c r="AF1234" t="n">
        <v>9</v>
      </c>
      <c r="AG1234" t="n">
        <v>9</v>
      </c>
      <c r="AH1234" t="n">
        <v>6</v>
      </c>
      <c r="AI1234" t="n">
        <v>6</v>
      </c>
      <c r="AJ1234" t="n">
        <v>15</v>
      </c>
      <c r="AK1234" t="n">
        <v>15</v>
      </c>
      <c r="AL1234" t="n">
        <v>4</v>
      </c>
      <c r="AM1234" t="n">
        <v>4</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HYPERLINK("https://creighton-primo.hosted.exlibrisgroup.com/primo-explore/search?tab=default_tab&amp;search_scope=EVERYTHING&amp;vid=01CRU&amp;lang=en_US&amp;offset=0&amp;query=any,contains,991005240849702656","Catalog Record")</f>
        <v/>
      </c>
      <c r="AT1234">
        <f>HYPERLINK("http://www.worldcat.org/oclc/8411101","WorldCat Record")</f>
        <v/>
      </c>
      <c r="AU1234" t="inlineStr">
        <is>
          <t>2864349055:eng</t>
        </is>
      </c>
      <c r="AV1234" t="inlineStr">
        <is>
          <t>8411101</t>
        </is>
      </c>
      <c r="AW1234" t="inlineStr">
        <is>
          <t>991005240849702656</t>
        </is>
      </c>
      <c r="AX1234" t="inlineStr">
        <is>
          <t>991005240849702656</t>
        </is>
      </c>
      <c r="AY1234" t="inlineStr">
        <is>
          <t>2257268880002656</t>
        </is>
      </c>
      <c r="AZ1234" t="inlineStr">
        <is>
          <t>BOOK</t>
        </is>
      </c>
      <c r="BB1234" t="inlineStr">
        <is>
          <t>9780816424078</t>
        </is>
      </c>
      <c r="BC1234" t="inlineStr">
        <is>
          <t>32285000688662</t>
        </is>
      </c>
      <c r="BD1234" t="inlineStr">
        <is>
          <t>893688817</t>
        </is>
      </c>
    </row>
    <row r="1235">
      <c r="A1235" t="inlineStr">
        <is>
          <t>No</t>
        </is>
      </c>
      <c r="B1235" t="inlineStr">
        <is>
          <t>BT80 .E9 1983</t>
        </is>
      </c>
      <c r="C1235" t="inlineStr">
        <is>
          <t>0                      BT 0080000E  9           1983</t>
        </is>
      </c>
      <c r="D1235" t="inlineStr">
        <is>
          <t>The Evangelical and Oxford movements / edited by Elisabeth Jay.</t>
        </is>
      </c>
      <c r="F1235" t="inlineStr">
        <is>
          <t>No</t>
        </is>
      </c>
      <c r="G1235" t="inlineStr">
        <is>
          <t>1</t>
        </is>
      </c>
      <c r="H1235" t="inlineStr">
        <is>
          <t>No</t>
        </is>
      </c>
      <c r="I1235" t="inlineStr">
        <is>
          <t>No</t>
        </is>
      </c>
      <c r="J1235" t="inlineStr">
        <is>
          <t>0</t>
        </is>
      </c>
      <c r="L1235" t="inlineStr">
        <is>
          <t>Cambridge [Cambridgeshire] ; New York : Cambridge University Press, 1983.</t>
        </is>
      </c>
      <c r="M1235" t="inlineStr">
        <is>
          <t>1983</t>
        </is>
      </c>
      <c r="O1235" t="inlineStr">
        <is>
          <t>eng</t>
        </is>
      </c>
      <c r="P1235" t="inlineStr">
        <is>
          <t>enk</t>
        </is>
      </c>
      <c r="Q1235" t="inlineStr">
        <is>
          <t>Cambridge English prose texts</t>
        </is>
      </c>
      <c r="R1235" t="inlineStr">
        <is>
          <t xml:space="preserve">BT </t>
        </is>
      </c>
      <c r="S1235" t="n">
        <v>3</v>
      </c>
      <c r="T1235" t="n">
        <v>3</v>
      </c>
      <c r="U1235" t="inlineStr">
        <is>
          <t>1997-01-19</t>
        </is>
      </c>
      <c r="V1235" t="inlineStr">
        <is>
          <t>1997-01-19</t>
        </is>
      </c>
      <c r="W1235" t="inlineStr">
        <is>
          <t>1991-06-24</t>
        </is>
      </c>
      <c r="X1235" t="inlineStr">
        <is>
          <t>1991-06-24</t>
        </is>
      </c>
      <c r="Y1235" t="n">
        <v>561</v>
      </c>
      <c r="Z1235" t="n">
        <v>378</v>
      </c>
      <c r="AA1235" t="n">
        <v>383</v>
      </c>
      <c r="AB1235" t="n">
        <v>3</v>
      </c>
      <c r="AC1235" t="n">
        <v>3</v>
      </c>
      <c r="AD1235" t="n">
        <v>21</v>
      </c>
      <c r="AE1235" t="n">
        <v>21</v>
      </c>
      <c r="AF1235" t="n">
        <v>5</v>
      </c>
      <c r="AG1235" t="n">
        <v>5</v>
      </c>
      <c r="AH1235" t="n">
        <v>6</v>
      </c>
      <c r="AI1235" t="n">
        <v>6</v>
      </c>
      <c r="AJ1235" t="n">
        <v>14</v>
      </c>
      <c r="AK1235" t="n">
        <v>14</v>
      </c>
      <c r="AL1235" t="n">
        <v>2</v>
      </c>
      <c r="AM1235" t="n">
        <v>2</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HYPERLINK("https://creighton-primo.hosted.exlibrisgroup.com/primo-explore/search?tab=default_tab&amp;search_scope=EVERYTHING&amp;vid=01CRU&amp;lang=en_US&amp;offset=0&amp;query=any,contains,991000007889702656","Catalog Record")</f>
        <v/>
      </c>
      <c r="AT1235">
        <f>HYPERLINK("http://www.worldcat.org/oclc/8532679","WorldCat Record")</f>
        <v/>
      </c>
      <c r="AU1235" t="inlineStr">
        <is>
          <t>505255:eng</t>
        </is>
      </c>
      <c r="AV1235" t="inlineStr">
        <is>
          <t>8532679</t>
        </is>
      </c>
      <c r="AW1235" t="inlineStr">
        <is>
          <t>991000007889702656</t>
        </is>
      </c>
      <c r="AX1235" t="inlineStr">
        <is>
          <t>991000007889702656</t>
        </is>
      </c>
      <c r="AY1235" t="inlineStr">
        <is>
          <t>2269320040002656</t>
        </is>
      </c>
      <c r="AZ1235" t="inlineStr">
        <is>
          <t>BOOK</t>
        </is>
      </c>
      <c r="BB1235" t="inlineStr">
        <is>
          <t>9780521286695</t>
        </is>
      </c>
      <c r="BC1235" t="inlineStr">
        <is>
          <t>32285000688712</t>
        </is>
      </c>
      <c r="BD1235" t="inlineStr">
        <is>
          <t>893714212</t>
        </is>
      </c>
    </row>
    <row r="1236">
      <c r="A1236" t="inlineStr">
        <is>
          <t>No</t>
        </is>
      </c>
      <c r="B1236" t="inlineStr">
        <is>
          <t>BT80 .I54 1986</t>
        </is>
      </c>
      <c r="C1236" t="inlineStr">
        <is>
          <t>0                      BT 0080000I  54          1986</t>
        </is>
      </c>
      <c r="D1236" t="inlineStr">
        <is>
          <t>Initiation à la pratique de la théologie / publié sous la direction de Bernard Lauret et François Refoulé.</t>
        </is>
      </c>
      <c r="F1236" t="inlineStr">
        <is>
          <t>Yes</t>
        </is>
      </c>
      <c r="G1236" t="inlineStr">
        <is>
          <t>1</t>
        </is>
      </c>
      <c r="H1236" t="inlineStr">
        <is>
          <t>No</t>
        </is>
      </c>
      <c r="I1236" t="inlineStr">
        <is>
          <t>No</t>
        </is>
      </c>
      <c r="J1236" t="inlineStr">
        <is>
          <t>0</t>
        </is>
      </c>
      <c r="L1236" t="inlineStr">
        <is>
          <t>Paris : Éditions du Cerf, 1986, c1983.</t>
        </is>
      </c>
      <c r="M1236" t="inlineStr">
        <is>
          <t>1986</t>
        </is>
      </c>
      <c r="N1236" t="inlineStr">
        <is>
          <t>2e éd. corr.</t>
        </is>
      </c>
      <c r="O1236" t="inlineStr">
        <is>
          <t>fre</t>
        </is>
      </c>
      <c r="P1236" t="inlineStr">
        <is>
          <t xml:space="preserve">fr </t>
        </is>
      </c>
      <c r="R1236" t="inlineStr">
        <is>
          <t xml:space="preserve">BT </t>
        </is>
      </c>
      <c r="S1236" t="n">
        <v>1</v>
      </c>
      <c r="T1236" t="n">
        <v>1</v>
      </c>
      <c r="U1236" t="inlineStr">
        <is>
          <t>1995-11-26</t>
        </is>
      </c>
      <c r="V1236" t="inlineStr">
        <is>
          <t>1995-11-26</t>
        </is>
      </c>
      <c r="W1236" t="inlineStr">
        <is>
          <t>1991-06-24</t>
        </is>
      </c>
      <c r="X1236" t="inlineStr">
        <is>
          <t>1991-06-24</t>
        </is>
      </c>
      <c r="Y1236" t="n">
        <v>7</v>
      </c>
      <c r="Z1236" t="n">
        <v>3</v>
      </c>
      <c r="AA1236" t="n">
        <v>53</v>
      </c>
      <c r="AB1236" t="n">
        <v>1</v>
      </c>
      <c r="AC1236" t="n">
        <v>2</v>
      </c>
      <c r="AD1236" t="n">
        <v>0</v>
      </c>
      <c r="AE1236" t="n">
        <v>9</v>
      </c>
      <c r="AF1236" t="n">
        <v>0</v>
      </c>
      <c r="AG1236" t="n">
        <v>0</v>
      </c>
      <c r="AH1236" t="n">
        <v>0</v>
      </c>
      <c r="AI1236" t="n">
        <v>3</v>
      </c>
      <c r="AJ1236" t="n">
        <v>0</v>
      </c>
      <c r="AK1236" t="n">
        <v>7</v>
      </c>
      <c r="AL1236" t="n">
        <v>0</v>
      </c>
      <c r="AM1236" t="n">
        <v>0</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HYPERLINK("https://creighton-primo.hosted.exlibrisgroup.com/primo-explore/search?tab=default_tab&amp;search_scope=EVERYTHING&amp;vid=01CRU&amp;lang=en_US&amp;offset=0&amp;query=any,contains,991001039009702656","Catalog Record")</f>
        <v/>
      </c>
      <c r="AT1236">
        <f>HYPERLINK("http://www.worldcat.org/oclc/15554903","WorldCat Record")</f>
        <v/>
      </c>
      <c r="AU1236" t="inlineStr">
        <is>
          <t>365049330:fre</t>
        </is>
      </c>
      <c r="AV1236" t="inlineStr">
        <is>
          <t>15554903</t>
        </is>
      </c>
      <c r="AW1236" t="inlineStr">
        <is>
          <t>991001039009702656</t>
        </is>
      </c>
      <c r="AX1236" t="inlineStr">
        <is>
          <t>991001039009702656</t>
        </is>
      </c>
      <c r="AY1236" t="inlineStr">
        <is>
          <t>2258326120002656</t>
        </is>
      </c>
      <c r="AZ1236" t="inlineStr">
        <is>
          <t>BOOK</t>
        </is>
      </c>
      <c r="BB1236" t="inlineStr">
        <is>
          <t>9782204019453</t>
        </is>
      </c>
      <c r="BC1236" t="inlineStr">
        <is>
          <t>32285000688738</t>
        </is>
      </c>
      <c r="BD1236" t="inlineStr">
        <is>
          <t>893237828</t>
        </is>
      </c>
    </row>
    <row r="1237">
      <c r="A1237" t="inlineStr">
        <is>
          <t>No</t>
        </is>
      </c>
      <c r="B1237" t="inlineStr">
        <is>
          <t>BT80 .K76</t>
        </is>
      </c>
      <c r="C1237" t="inlineStr">
        <is>
          <t>0                      BT 0080000K  76</t>
        </is>
      </c>
      <c r="D1237" t="inlineStr">
        <is>
          <t>Between faith and thought, reflections and suggestions / Richard Kroner.</t>
        </is>
      </c>
      <c r="F1237" t="inlineStr">
        <is>
          <t>No</t>
        </is>
      </c>
      <c r="G1237" t="inlineStr">
        <is>
          <t>1</t>
        </is>
      </c>
      <c r="H1237" t="inlineStr">
        <is>
          <t>No</t>
        </is>
      </c>
      <c r="I1237" t="inlineStr">
        <is>
          <t>No</t>
        </is>
      </c>
      <c r="J1237" t="inlineStr">
        <is>
          <t>0</t>
        </is>
      </c>
      <c r="K1237" t="inlineStr">
        <is>
          <t>Kroner, Richard, 1884-1974.</t>
        </is>
      </c>
      <c r="L1237" t="inlineStr">
        <is>
          <t>New York, Oxford University Press, 1966.</t>
        </is>
      </c>
      <c r="M1237" t="inlineStr">
        <is>
          <t>1966</t>
        </is>
      </c>
      <c r="O1237" t="inlineStr">
        <is>
          <t>eng</t>
        </is>
      </c>
      <c r="P1237" t="inlineStr">
        <is>
          <t>___</t>
        </is>
      </c>
      <c r="R1237" t="inlineStr">
        <is>
          <t xml:space="preserve">BT </t>
        </is>
      </c>
      <c r="S1237" t="n">
        <v>1</v>
      </c>
      <c r="T1237" t="n">
        <v>1</v>
      </c>
      <c r="U1237" t="inlineStr">
        <is>
          <t>2002-11-04</t>
        </is>
      </c>
      <c r="V1237" t="inlineStr">
        <is>
          <t>2002-11-04</t>
        </is>
      </c>
      <c r="W1237" t="inlineStr">
        <is>
          <t>1991-06-24</t>
        </is>
      </c>
      <c r="X1237" t="inlineStr">
        <is>
          <t>1991-06-24</t>
        </is>
      </c>
      <c r="Y1237" t="n">
        <v>430</v>
      </c>
      <c r="Z1237" t="n">
        <v>375</v>
      </c>
      <c r="AA1237" t="n">
        <v>435</v>
      </c>
      <c r="AB1237" t="n">
        <v>2</v>
      </c>
      <c r="AC1237" t="n">
        <v>3</v>
      </c>
      <c r="AD1237" t="n">
        <v>19</v>
      </c>
      <c r="AE1237" t="n">
        <v>22</v>
      </c>
      <c r="AF1237" t="n">
        <v>6</v>
      </c>
      <c r="AG1237" t="n">
        <v>7</v>
      </c>
      <c r="AH1237" t="n">
        <v>3</v>
      </c>
      <c r="AI1237" t="n">
        <v>4</v>
      </c>
      <c r="AJ1237" t="n">
        <v>15</v>
      </c>
      <c r="AK1237" t="n">
        <v>17</v>
      </c>
      <c r="AL1237" t="n">
        <v>1</v>
      </c>
      <c r="AM1237" t="n">
        <v>2</v>
      </c>
      <c r="AN1237" t="n">
        <v>0</v>
      </c>
      <c r="AO1237" t="n">
        <v>0</v>
      </c>
      <c r="AP1237" t="inlineStr">
        <is>
          <t>No</t>
        </is>
      </c>
      <c r="AQ1237" t="inlineStr">
        <is>
          <t>Yes</t>
        </is>
      </c>
      <c r="AR1237">
        <f>HYPERLINK("http://catalog.hathitrust.org/Record/007051259","HathiTrust Record")</f>
        <v/>
      </c>
      <c r="AS1237">
        <f>HYPERLINK("https://creighton-primo.hosted.exlibrisgroup.com/primo-explore/search?tab=default_tab&amp;search_scope=EVERYTHING&amp;vid=01CRU&amp;lang=en_US&amp;offset=0&amp;query=any,contains,991003374539702656","Catalog Record")</f>
        <v/>
      </c>
      <c r="AT1237">
        <f>HYPERLINK("http://www.worldcat.org/oclc/911255","WorldCat Record")</f>
        <v/>
      </c>
      <c r="AU1237" t="inlineStr">
        <is>
          <t>890946912:eng</t>
        </is>
      </c>
      <c r="AV1237" t="inlineStr">
        <is>
          <t>911255</t>
        </is>
      </c>
      <c r="AW1237" t="inlineStr">
        <is>
          <t>991003374539702656</t>
        </is>
      </c>
      <c r="AX1237" t="inlineStr">
        <is>
          <t>991003374539702656</t>
        </is>
      </c>
      <c r="AY1237" t="inlineStr">
        <is>
          <t>2266514830002656</t>
        </is>
      </c>
      <c r="AZ1237" t="inlineStr">
        <is>
          <t>BOOK</t>
        </is>
      </c>
      <c r="BC1237" t="inlineStr">
        <is>
          <t>32285000688746</t>
        </is>
      </c>
      <c r="BD1237" t="inlineStr">
        <is>
          <t>893604737</t>
        </is>
      </c>
    </row>
    <row r="1238">
      <c r="A1238" t="inlineStr">
        <is>
          <t>No</t>
        </is>
      </c>
      <c r="B1238" t="inlineStr">
        <is>
          <t>BT80 .M32 1986a</t>
        </is>
      </c>
      <c r="C1238" t="inlineStr">
        <is>
          <t>0                      BT 0080000M  32          1986a</t>
        </is>
      </c>
      <c r="D1238" t="inlineStr">
        <is>
          <t>Theology, church and ministry / John Macquarrie.</t>
        </is>
      </c>
      <c r="F1238" t="inlineStr">
        <is>
          <t>No</t>
        </is>
      </c>
      <c r="G1238" t="inlineStr">
        <is>
          <t>1</t>
        </is>
      </c>
      <c r="H1238" t="inlineStr">
        <is>
          <t>No</t>
        </is>
      </c>
      <c r="I1238" t="inlineStr">
        <is>
          <t>No</t>
        </is>
      </c>
      <c r="J1238" t="inlineStr">
        <is>
          <t>0</t>
        </is>
      </c>
      <c r="K1238" t="inlineStr">
        <is>
          <t>Macquarrie, John.</t>
        </is>
      </c>
      <c r="L1238" t="inlineStr">
        <is>
          <t>London : SCM Press, 1986.</t>
        </is>
      </c>
      <c r="M1238" t="inlineStr">
        <is>
          <t>1986</t>
        </is>
      </c>
      <c r="O1238" t="inlineStr">
        <is>
          <t>eng</t>
        </is>
      </c>
      <c r="P1238" t="inlineStr">
        <is>
          <t>enk</t>
        </is>
      </c>
      <c r="R1238" t="inlineStr">
        <is>
          <t xml:space="preserve">BT </t>
        </is>
      </c>
      <c r="S1238" t="n">
        <v>3</v>
      </c>
      <c r="T1238" t="n">
        <v>3</v>
      </c>
      <c r="U1238" t="inlineStr">
        <is>
          <t>1994-03-21</t>
        </is>
      </c>
      <c r="V1238" t="inlineStr">
        <is>
          <t>1994-03-21</t>
        </is>
      </c>
      <c r="W1238" t="inlineStr">
        <is>
          <t>1991-06-24</t>
        </is>
      </c>
      <c r="X1238" t="inlineStr">
        <is>
          <t>1991-06-24</t>
        </is>
      </c>
      <c r="Y1238" t="n">
        <v>135</v>
      </c>
      <c r="Z1238" t="n">
        <v>44</v>
      </c>
      <c r="AA1238" t="n">
        <v>248</v>
      </c>
      <c r="AB1238" t="n">
        <v>1</v>
      </c>
      <c r="AC1238" t="n">
        <v>3</v>
      </c>
      <c r="AD1238" t="n">
        <v>1</v>
      </c>
      <c r="AE1238" t="n">
        <v>23</v>
      </c>
      <c r="AF1238" t="n">
        <v>0</v>
      </c>
      <c r="AG1238" t="n">
        <v>7</v>
      </c>
      <c r="AH1238" t="n">
        <v>0</v>
      </c>
      <c r="AI1238" t="n">
        <v>5</v>
      </c>
      <c r="AJ1238" t="n">
        <v>1</v>
      </c>
      <c r="AK1238" t="n">
        <v>16</v>
      </c>
      <c r="AL1238" t="n">
        <v>0</v>
      </c>
      <c r="AM1238" t="n">
        <v>2</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HYPERLINK("https://creighton-primo.hosted.exlibrisgroup.com/primo-explore/search?tab=default_tab&amp;search_scope=EVERYTHING&amp;vid=01CRU&amp;lang=en_US&amp;offset=0&amp;query=any,contains,991000862909702656","Catalog Record")</f>
        <v/>
      </c>
      <c r="AT1238">
        <f>HYPERLINK("http://www.worldcat.org/oclc/13700870","WorldCat Record")</f>
        <v/>
      </c>
      <c r="AU1238" t="inlineStr">
        <is>
          <t>6780799:eng</t>
        </is>
      </c>
      <c r="AV1238" t="inlineStr">
        <is>
          <t>13700870</t>
        </is>
      </c>
      <c r="AW1238" t="inlineStr">
        <is>
          <t>991000862909702656</t>
        </is>
      </c>
      <c r="AX1238" t="inlineStr">
        <is>
          <t>991000862909702656</t>
        </is>
      </c>
      <c r="AY1238" t="inlineStr">
        <is>
          <t>2262203970002656</t>
        </is>
      </c>
      <c r="AZ1238" t="inlineStr">
        <is>
          <t>BOOK</t>
        </is>
      </c>
      <c r="BB1238" t="inlineStr">
        <is>
          <t>9780334023531</t>
        </is>
      </c>
      <c r="BC1238" t="inlineStr">
        <is>
          <t>32285000688787</t>
        </is>
      </c>
      <c r="BD1238" t="inlineStr">
        <is>
          <t>893346037</t>
        </is>
      </c>
    </row>
    <row r="1239">
      <c r="A1239" t="inlineStr">
        <is>
          <t>No</t>
        </is>
      </c>
      <c r="B1239" t="inlineStr">
        <is>
          <t>BT80 .N4862513 1993</t>
        </is>
      </c>
      <c r="C1239" t="inlineStr">
        <is>
          <t>0                      BT 0080000N  4862513     1993</t>
        </is>
      </c>
      <c r="D1239" t="inlineStr">
        <is>
          <t>Toward a new Council of Florence : 'On the peace of faith' and other works by Nicolaus of Cusa / translated and with an introduction by William F. Wertz, Jr.</t>
        </is>
      </c>
      <c r="F1239" t="inlineStr">
        <is>
          <t>No</t>
        </is>
      </c>
      <c r="G1239" t="inlineStr">
        <is>
          <t>1</t>
        </is>
      </c>
      <c r="H1239" t="inlineStr">
        <is>
          <t>No</t>
        </is>
      </c>
      <c r="I1239" t="inlineStr">
        <is>
          <t>No</t>
        </is>
      </c>
      <c r="J1239" t="inlineStr">
        <is>
          <t>0</t>
        </is>
      </c>
      <c r="K1239" t="inlineStr">
        <is>
          <t>Nicholas, of Cusa, Cardinal, 1401-1464.</t>
        </is>
      </c>
      <c r="L1239" t="inlineStr">
        <is>
          <t>Washington, D.C. : Schiller Institute, 1993.</t>
        </is>
      </c>
      <c r="M1239" t="inlineStr">
        <is>
          <t>1993</t>
        </is>
      </c>
      <c r="O1239" t="inlineStr">
        <is>
          <t>eng</t>
        </is>
      </c>
      <c r="P1239" t="inlineStr">
        <is>
          <t>dcu</t>
        </is>
      </c>
      <c r="R1239" t="inlineStr">
        <is>
          <t xml:space="preserve">BT </t>
        </is>
      </c>
      <c r="S1239" t="n">
        <v>1</v>
      </c>
      <c r="T1239" t="n">
        <v>1</v>
      </c>
      <c r="U1239" t="inlineStr">
        <is>
          <t>2007-10-29</t>
        </is>
      </c>
      <c r="V1239" t="inlineStr">
        <is>
          <t>2007-10-29</t>
        </is>
      </c>
      <c r="W1239" t="inlineStr">
        <is>
          <t>1993-06-21</t>
        </is>
      </c>
      <c r="X1239" t="inlineStr">
        <is>
          <t>1993-06-21</t>
        </is>
      </c>
      <c r="Y1239" t="n">
        <v>446</v>
      </c>
      <c r="Z1239" t="n">
        <v>442</v>
      </c>
      <c r="AA1239" t="n">
        <v>449</v>
      </c>
      <c r="AB1239" t="n">
        <v>2</v>
      </c>
      <c r="AC1239" t="n">
        <v>2</v>
      </c>
      <c r="AD1239" t="n">
        <v>36</v>
      </c>
      <c r="AE1239" t="n">
        <v>36</v>
      </c>
      <c r="AF1239" t="n">
        <v>16</v>
      </c>
      <c r="AG1239" t="n">
        <v>16</v>
      </c>
      <c r="AH1239" t="n">
        <v>9</v>
      </c>
      <c r="AI1239" t="n">
        <v>9</v>
      </c>
      <c r="AJ1239" t="n">
        <v>22</v>
      </c>
      <c r="AK1239" t="n">
        <v>22</v>
      </c>
      <c r="AL1239" t="n">
        <v>1</v>
      </c>
      <c r="AM1239" t="n">
        <v>1</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HYPERLINK("https://creighton-primo.hosted.exlibrisgroup.com/primo-explore/search?tab=default_tab&amp;search_scope=EVERYTHING&amp;vid=01CRU&amp;lang=en_US&amp;offset=0&amp;query=any,contains,991002184859702656","Catalog Record")</f>
        <v/>
      </c>
      <c r="AT1239">
        <f>HYPERLINK("http://www.worldcat.org/oclc/28147177","WorldCat Record")</f>
        <v/>
      </c>
      <c r="AU1239" t="inlineStr">
        <is>
          <t>2767535519:eng</t>
        </is>
      </c>
      <c r="AV1239" t="inlineStr">
        <is>
          <t>28147177</t>
        </is>
      </c>
      <c r="AW1239" t="inlineStr">
        <is>
          <t>991002184859702656</t>
        </is>
      </c>
      <c r="AX1239" t="inlineStr">
        <is>
          <t>991002184859702656</t>
        </is>
      </c>
      <c r="AY1239" t="inlineStr">
        <is>
          <t>2254988730002656</t>
        </is>
      </c>
      <c r="AZ1239" t="inlineStr">
        <is>
          <t>BOOK</t>
        </is>
      </c>
      <c r="BB1239" t="inlineStr">
        <is>
          <t>9780962109584</t>
        </is>
      </c>
      <c r="BC1239" t="inlineStr">
        <is>
          <t>32285001706513</t>
        </is>
      </c>
      <c r="BD1239" t="inlineStr">
        <is>
          <t>893238743</t>
        </is>
      </c>
    </row>
    <row r="1240">
      <c r="A1240" t="inlineStr">
        <is>
          <t>No</t>
        </is>
      </c>
      <c r="B1240" t="inlineStr">
        <is>
          <t>BT80 .O39 1986</t>
        </is>
      </c>
      <c r="C1240" t="inlineStr">
        <is>
          <t>0                      BT 0080000O  39          1986</t>
        </is>
      </c>
      <c r="D1240" t="inlineStr">
        <is>
          <t>On theology / Schubert M. Ogden.</t>
        </is>
      </c>
      <c r="F1240" t="inlineStr">
        <is>
          <t>No</t>
        </is>
      </c>
      <c r="G1240" t="inlineStr">
        <is>
          <t>1</t>
        </is>
      </c>
      <c r="H1240" t="inlineStr">
        <is>
          <t>No</t>
        </is>
      </c>
      <c r="I1240" t="inlineStr">
        <is>
          <t>No</t>
        </is>
      </c>
      <c r="J1240" t="inlineStr">
        <is>
          <t>0</t>
        </is>
      </c>
      <c r="K1240" t="inlineStr">
        <is>
          <t>Ogden, Schubert M. (Schubert Miles), 1928-2019.</t>
        </is>
      </c>
      <c r="L1240" t="inlineStr">
        <is>
          <t>San Francisco : Harper &amp; Row, c1986.</t>
        </is>
      </c>
      <c r="M1240" t="inlineStr">
        <is>
          <t>1986</t>
        </is>
      </c>
      <c r="N1240" t="inlineStr">
        <is>
          <t>1st ed.</t>
        </is>
      </c>
      <c r="O1240" t="inlineStr">
        <is>
          <t>eng</t>
        </is>
      </c>
      <c r="P1240" t="inlineStr">
        <is>
          <t>cau</t>
        </is>
      </c>
      <c r="R1240" t="inlineStr">
        <is>
          <t xml:space="preserve">BT </t>
        </is>
      </c>
      <c r="S1240" t="n">
        <v>2</v>
      </c>
      <c r="T1240" t="n">
        <v>2</v>
      </c>
      <c r="U1240" t="inlineStr">
        <is>
          <t>1995-01-16</t>
        </is>
      </c>
      <c r="V1240" t="inlineStr">
        <is>
          <t>1995-01-16</t>
        </is>
      </c>
      <c r="W1240" t="inlineStr">
        <is>
          <t>1990-03-27</t>
        </is>
      </c>
      <c r="X1240" t="inlineStr">
        <is>
          <t>1990-03-27</t>
        </is>
      </c>
      <c r="Y1240" t="n">
        <v>350</v>
      </c>
      <c r="Z1240" t="n">
        <v>310</v>
      </c>
      <c r="AA1240" t="n">
        <v>349</v>
      </c>
      <c r="AB1240" t="n">
        <v>2</v>
      </c>
      <c r="AC1240" t="n">
        <v>2</v>
      </c>
      <c r="AD1240" t="n">
        <v>26</v>
      </c>
      <c r="AE1240" t="n">
        <v>28</v>
      </c>
      <c r="AF1240" t="n">
        <v>12</v>
      </c>
      <c r="AG1240" t="n">
        <v>14</v>
      </c>
      <c r="AH1240" t="n">
        <v>5</v>
      </c>
      <c r="AI1240" t="n">
        <v>5</v>
      </c>
      <c r="AJ1240" t="n">
        <v>17</v>
      </c>
      <c r="AK1240" t="n">
        <v>17</v>
      </c>
      <c r="AL1240" t="n">
        <v>1</v>
      </c>
      <c r="AM1240" t="n">
        <v>1</v>
      </c>
      <c r="AN1240" t="n">
        <v>0</v>
      </c>
      <c r="AO1240" t="n">
        <v>0</v>
      </c>
      <c r="AP1240" t="inlineStr">
        <is>
          <t>No</t>
        </is>
      </c>
      <c r="AQ1240" t="inlineStr">
        <is>
          <t>Yes</t>
        </is>
      </c>
      <c r="AR1240">
        <f>HYPERLINK("http://catalog.hathitrust.org/Record/000491369","HathiTrust Record")</f>
        <v/>
      </c>
      <c r="AS1240">
        <f>HYPERLINK("https://creighton-primo.hosted.exlibrisgroup.com/primo-explore/search?tab=default_tab&amp;search_scope=EVERYTHING&amp;vid=01CRU&amp;lang=en_US&amp;offset=0&amp;query=any,contains,991000843199702656","Catalog Record")</f>
        <v/>
      </c>
      <c r="AT1240">
        <f>HYPERLINK("http://www.worldcat.org/oclc/13527080","WorldCat Record")</f>
        <v/>
      </c>
      <c r="AU1240" t="inlineStr">
        <is>
          <t>7408446:eng</t>
        </is>
      </c>
      <c r="AV1240" t="inlineStr">
        <is>
          <t>13527080</t>
        </is>
      </c>
      <c r="AW1240" t="inlineStr">
        <is>
          <t>991000843199702656</t>
        </is>
      </c>
      <c r="AX1240" t="inlineStr">
        <is>
          <t>991000843199702656</t>
        </is>
      </c>
      <c r="AY1240" t="inlineStr">
        <is>
          <t>2261584390002656</t>
        </is>
      </c>
      <c r="AZ1240" t="inlineStr">
        <is>
          <t>BOOK</t>
        </is>
      </c>
      <c r="BB1240" t="inlineStr">
        <is>
          <t>9780866835299</t>
        </is>
      </c>
      <c r="BC1240" t="inlineStr">
        <is>
          <t>32285000090521</t>
        </is>
      </c>
      <c r="BD1240" t="inlineStr">
        <is>
          <t>893496605</t>
        </is>
      </c>
    </row>
    <row r="1241">
      <c r="A1241" t="inlineStr">
        <is>
          <t>No</t>
        </is>
      </c>
      <c r="B1241" t="inlineStr">
        <is>
          <t>BT80 .T6</t>
        </is>
      </c>
      <c r="C1241" t="inlineStr">
        <is>
          <t>0                      BT 0080000T  6</t>
        </is>
      </c>
      <c r="D1241" t="inlineStr">
        <is>
          <t>Theology in reconstruction / T. F. Torrance.</t>
        </is>
      </c>
      <c r="F1241" t="inlineStr">
        <is>
          <t>No</t>
        </is>
      </c>
      <c r="G1241" t="inlineStr">
        <is>
          <t>1</t>
        </is>
      </c>
      <c r="H1241" t="inlineStr">
        <is>
          <t>No</t>
        </is>
      </c>
      <c r="I1241" t="inlineStr">
        <is>
          <t>No</t>
        </is>
      </c>
      <c r="J1241" t="inlineStr">
        <is>
          <t>0</t>
        </is>
      </c>
      <c r="K1241" t="inlineStr">
        <is>
          <t>Torrance, Thomas F. (Thomas Forsyth), 1913-2007.</t>
        </is>
      </c>
      <c r="L1241" t="inlineStr">
        <is>
          <t>London : SCM Press, 1965.</t>
        </is>
      </c>
      <c r="M1241" t="inlineStr">
        <is>
          <t>1965</t>
        </is>
      </c>
      <c r="O1241" t="inlineStr">
        <is>
          <t>eng</t>
        </is>
      </c>
      <c r="P1241" t="inlineStr">
        <is>
          <t>enk</t>
        </is>
      </c>
      <c r="R1241" t="inlineStr">
        <is>
          <t xml:space="preserve">BT </t>
        </is>
      </c>
      <c r="S1241" t="n">
        <v>1</v>
      </c>
      <c r="T1241" t="n">
        <v>1</v>
      </c>
      <c r="U1241" t="inlineStr">
        <is>
          <t>2003-04-22</t>
        </is>
      </c>
      <c r="V1241" t="inlineStr">
        <is>
          <t>2003-04-22</t>
        </is>
      </c>
      <c r="W1241" t="inlineStr">
        <is>
          <t>1991-06-24</t>
        </is>
      </c>
      <c r="X1241" t="inlineStr">
        <is>
          <t>1991-06-24</t>
        </is>
      </c>
      <c r="Y1241" t="n">
        <v>178</v>
      </c>
      <c r="Z1241" t="n">
        <v>86</v>
      </c>
      <c r="AA1241" t="n">
        <v>366</v>
      </c>
      <c r="AB1241" t="n">
        <v>2</v>
      </c>
      <c r="AC1241" t="n">
        <v>4</v>
      </c>
      <c r="AD1241" t="n">
        <v>2</v>
      </c>
      <c r="AE1241" t="n">
        <v>19</v>
      </c>
      <c r="AF1241" t="n">
        <v>1</v>
      </c>
      <c r="AG1241" t="n">
        <v>8</v>
      </c>
      <c r="AH1241" t="n">
        <v>0</v>
      </c>
      <c r="AI1241" t="n">
        <v>4</v>
      </c>
      <c r="AJ1241" t="n">
        <v>2</v>
      </c>
      <c r="AK1241" t="n">
        <v>11</v>
      </c>
      <c r="AL1241" t="n">
        <v>0</v>
      </c>
      <c r="AM1241" t="n">
        <v>1</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HYPERLINK("https://creighton-primo.hosted.exlibrisgroup.com/primo-explore/search?tab=default_tab&amp;search_scope=EVERYTHING&amp;vid=01CRU&amp;lang=en_US&amp;offset=0&amp;query=any,contains,991004331219702656","Catalog Record")</f>
        <v/>
      </c>
      <c r="AT1241">
        <f>HYPERLINK("http://www.worldcat.org/oclc/3060510","WorldCat Record")</f>
        <v/>
      </c>
      <c r="AU1241" t="inlineStr">
        <is>
          <t>117231458:eng</t>
        </is>
      </c>
      <c r="AV1241" t="inlineStr">
        <is>
          <t>3060510</t>
        </is>
      </c>
      <c r="AW1241" t="inlineStr">
        <is>
          <t>991004331219702656</t>
        </is>
      </c>
      <c r="AX1241" t="inlineStr">
        <is>
          <t>991004331219702656</t>
        </is>
      </c>
      <c r="AY1241" t="inlineStr">
        <is>
          <t>2272064270002656</t>
        </is>
      </c>
      <c r="AZ1241" t="inlineStr">
        <is>
          <t>BOOK</t>
        </is>
      </c>
      <c r="BC1241" t="inlineStr">
        <is>
          <t>32285000688852</t>
        </is>
      </c>
      <c r="BD1241" t="inlineStr">
        <is>
          <t>893712458</t>
        </is>
      </c>
    </row>
    <row r="1242">
      <c r="A1242" t="inlineStr">
        <is>
          <t>No</t>
        </is>
      </c>
      <c r="B1242" t="inlineStr">
        <is>
          <t>BT80 .V34</t>
        </is>
      </c>
      <c r="C1242" t="inlineStr">
        <is>
          <t>0                      BT 0080000V  34</t>
        </is>
      </c>
      <c r="D1242" t="inlineStr">
        <is>
          <t>Theological explorations / [by] Paul M. van Buren.</t>
        </is>
      </c>
      <c r="F1242" t="inlineStr">
        <is>
          <t>No</t>
        </is>
      </c>
      <c r="G1242" t="inlineStr">
        <is>
          <t>1</t>
        </is>
      </c>
      <c r="H1242" t="inlineStr">
        <is>
          <t>No</t>
        </is>
      </c>
      <c r="I1242" t="inlineStr">
        <is>
          <t>No</t>
        </is>
      </c>
      <c r="J1242" t="inlineStr">
        <is>
          <t>0</t>
        </is>
      </c>
      <c r="K1242" t="inlineStr">
        <is>
          <t>Van Buren, Paul Matthews, 1924-</t>
        </is>
      </c>
      <c r="L1242" t="inlineStr">
        <is>
          <t>New York, Macmillan [1968]</t>
        </is>
      </c>
      <c r="M1242" t="inlineStr">
        <is>
          <t>1968</t>
        </is>
      </c>
      <c r="O1242" t="inlineStr">
        <is>
          <t>eng</t>
        </is>
      </c>
      <c r="P1242" t="inlineStr">
        <is>
          <t>nyu</t>
        </is>
      </c>
      <c r="R1242" t="inlineStr">
        <is>
          <t xml:space="preserve">BT </t>
        </is>
      </c>
      <c r="S1242" t="n">
        <v>4</v>
      </c>
      <c r="T1242" t="n">
        <v>4</v>
      </c>
      <c r="U1242" t="inlineStr">
        <is>
          <t>1994-11-09</t>
        </is>
      </c>
      <c r="V1242" t="inlineStr">
        <is>
          <t>1994-11-09</t>
        </is>
      </c>
      <c r="W1242" t="inlineStr">
        <is>
          <t>1991-06-24</t>
        </is>
      </c>
      <c r="X1242" t="inlineStr">
        <is>
          <t>1991-06-24</t>
        </is>
      </c>
      <c r="Y1242" t="n">
        <v>440</v>
      </c>
      <c r="Z1242" t="n">
        <v>399</v>
      </c>
      <c r="AA1242" t="n">
        <v>411</v>
      </c>
      <c r="AB1242" t="n">
        <v>5</v>
      </c>
      <c r="AC1242" t="n">
        <v>5</v>
      </c>
      <c r="AD1242" t="n">
        <v>26</v>
      </c>
      <c r="AE1242" t="n">
        <v>27</v>
      </c>
      <c r="AF1242" t="n">
        <v>9</v>
      </c>
      <c r="AG1242" t="n">
        <v>9</v>
      </c>
      <c r="AH1242" t="n">
        <v>5</v>
      </c>
      <c r="AI1242" t="n">
        <v>5</v>
      </c>
      <c r="AJ1242" t="n">
        <v>14</v>
      </c>
      <c r="AK1242" t="n">
        <v>15</v>
      </c>
      <c r="AL1242" t="n">
        <v>4</v>
      </c>
      <c r="AM1242" t="n">
        <v>4</v>
      </c>
      <c r="AN1242" t="n">
        <v>0</v>
      </c>
      <c r="AO1242" t="n">
        <v>0</v>
      </c>
      <c r="AP1242" t="inlineStr">
        <is>
          <t>No</t>
        </is>
      </c>
      <c r="AQ1242" t="inlineStr">
        <is>
          <t>Yes</t>
        </is>
      </c>
      <c r="AR1242">
        <f>HYPERLINK("http://catalog.hathitrust.org/Record/001411751","HathiTrust Record")</f>
        <v/>
      </c>
      <c r="AS1242">
        <f>HYPERLINK("https://creighton-primo.hosted.exlibrisgroup.com/primo-explore/search?tab=default_tab&amp;search_scope=EVERYTHING&amp;vid=01CRU&amp;lang=en_US&amp;offset=0&amp;query=any,contains,991002779169702656","Catalog Record")</f>
        <v/>
      </c>
      <c r="AT1242">
        <f>HYPERLINK("http://www.worldcat.org/oclc/439615","WorldCat Record")</f>
        <v/>
      </c>
      <c r="AU1242" t="inlineStr">
        <is>
          <t>1564152:eng</t>
        </is>
      </c>
      <c r="AV1242" t="inlineStr">
        <is>
          <t>439615</t>
        </is>
      </c>
      <c r="AW1242" t="inlineStr">
        <is>
          <t>991002779169702656</t>
        </is>
      </c>
      <c r="AX1242" t="inlineStr">
        <is>
          <t>991002779169702656</t>
        </is>
      </c>
      <c r="AY1242" t="inlineStr">
        <is>
          <t>2266587640002656</t>
        </is>
      </c>
      <c r="AZ1242" t="inlineStr">
        <is>
          <t>BOOK</t>
        </is>
      </c>
      <c r="BC1242" t="inlineStr">
        <is>
          <t>32285000688886</t>
        </is>
      </c>
      <c r="BD1242" t="inlineStr">
        <is>
          <t>893597864</t>
        </is>
      </c>
    </row>
    <row r="1243">
      <c r="A1243" t="inlineStr">
        <is>
          <t>No</t>
        </is>
      </c>
      <c r="B1243" t="inlineStr">
        <is>
          <t>BT80 .W52</t>
        </is>
      </c>
      <c r="C1243" t="inlineStr">
        <is>
          <t>0                      BT 0080000W  52</t>
        </is>
      </c>
      <c r="D1243" t="inlineStr">
        <is>
          <t>The remaking of Christian doctrine / Maurice Wiles.</t>
        </is>
      </c>
      <c r="F1243" t="inlineStr">
        <is>
          <t>No</t>
        </is>
      </c>
      <c r="G1243" t="inlineStr">
        <is>
          <t>1</t>
        </is>
      </c>
      <c r="H1243" t="inlineStr">
        <is>
          <t>No</t>
        </is>
      </c>
      <c r="I1243" t="inlineStr">
        <is>
          <t>No</t>
        </is>
      </c>
      <c r="J1243" t="inlineStr">
        <is>
          <t>0</t>
        </is>
      </c>
      <c r="K1243" t="inlineStr">
        <is>
          <t>Wiles, Maurice, 1923-2005.</t>
        </is>
      </c>
      <c r="L1243" t="inlineStr">
        <is>
          <t>London : S.C.M. Press, 1974.</t>
        </is>
      </c>
      <c r="M1243" t="inlineStr">
        <is>
          <t>1974</t>
        </is>
      </c>
      <c r="O1243" t="inlineStr">
        <is>
          <t>eng</t>
        </is>
      </c>
      <c r="P1243" t="inlineStr">
        <is>
          <t>enk</t>
        </is>
      </c>
      <c r="Q1243" t="inlineStr">
        <is>
          <t>Hulsean lectures ; 1973</t>
        </is>
      </c>
      <c r="R1243" t="inlineStr">
        <is>
          <t xml:space="preserve">BT </t>
        </is>
      </c>
      <c r="S1243" t="n">
        <v>4</v>
      </c>
      <c r="T1243" t="n">
        <v>4</v>
      </c>
      <c r="U1243" t="inlineStr">
        <is>
          <t>1995-03-19</t>
        </is>
      </c>
      <c r="V1243" t="inlineStr">
        <is>
          <t>1995-03-19</t>
        </is>
      </c>
      <c r="W1243" t="inlineStr">
        <is>
          <t>1991-06-24</t>
        </is>
      </c>
      <c r="X1243" t="inlineStr">
        <is>
          <t>1991-06-24</t>
        </is>
      </c>
      <c r="Y1243" t="n">
        <v>256</v>
      </c>
      <c r="Z1243" t="n">
        <v>127</v>
      </c>
      <c r="AA1243" t="n">
        <v>279</v>
      </c>
      <c r="AB1243" t="n">
        <v>2</v>
      </c>
      <c r="AC1243" t="n">
        <v>3</v>
      </c>
      <c r="AD1243" t="n">
        <v>10</v>
      </c>
      <c r="AE1243" t="n">
        <v>21</v>
      </c>
      <c r="AF1243" t="n">
        <v>2</v>
      </c>
      <c r="AG1243" t="n">
        <v>5</v>
      </c>
      <c r="AH1243" t="n">
        <v>1</v>
      </c>
      <c r="AI1243" t="n">
        <v>5</v>
      </c>
      <c r="AJ1243" t="n">
        <v>7</v>
      </c>
      <c r="AK1243" t="n">
        <v>15</v>
      </c>
      <c r="AL1243" t="n">
        <v>1</v>
      </c>
      <c r="AM1243" t="n">
        <v>2</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HYPERLINK("https://creighton-primo.hosted.exlibrisgroup.com/primo-explore/search?tab=default_tab&amp;search_scope=EVERYTHING&amp;vid=01CRU&amp;lang=en_US&amp;offset=0&amp;query=any,contains,991003680469702656","Catalog Record")</f>
        <v/>
      </c>
      <c r="AT1243">
        <f>HYPERLINK("http://www.worldcat.org/oclc/1240750","WorldCat Record")</f>
        <v/>
      </c>
      <c r="AU1243" t="inlineStr">
        <is>
          <t>3855325246:eng</t>
        </is>
      </c>
      <c r="AV1243" t="inlineStr">
        <is>
          <t>1240750</t>
        </is>
      </c>
      <c r="AW1243" t="inlineStr">
        <is>
          <t>991003680469702656</t>
        </is>
      </c>
      <c r="AX1243" t="inlineStr">
        <is>
          <t>991003680469702656</t>
        </is>
      </c>
      <c r="AY1243" t="inlineStr">
        <is>
          <t>2264367870002656</t>
        </is>
      </c>
      <c r="AZ1243" t="inlineStr">
        <is>
          <t>BOOK</t>
        </is>
      </c>
      <c r="BB1243" t="inlineStr">
        <is>
          <t>9780334014232</t>
        </is>
      </c>
      <c r="BC1243" t="inlineStr">
        <is>
          <t>32285000688894</t>
        </is>
      </c>
      <c r="BD1243" t="inlineStr">
        <is>
          <t>893441586</t>
        </is>
      </c>
    </row>
    <row r="1244">
      <c r="A1244" t="inlineStr">
        <is>
          <t>No</t>
        </is>
      </c>
      <c r="B1244" t="inlineStr">
        <is>
          <t>BT80.C34 C6</t>
        </is>
      </c>
      <c r="C1244" t="inlineStr">
        <is>
          <t>0                      BT 0080000C  34                 C  6</t>
        </is>
      </c>
      <c r="D1244" t="inlineStr">
        <is>
          <t>Concerning the eternal predestination of God / by John Calvin. Translated, with an introd., by J.K.S. Reid.</t>
        </is>
      </c>
      <c r="F1244" t="inlineStr">
        <is>
          <t>No</t>
        </is>
      </c>
      <c r="G1244" t="inlineStr">
        <is>
          <t>1</t>
        </is>
      </c>
      <c r="H1244" t="inlineStr">
        <is>
          <t>No</t>
        </is>
      </c>
      <c r="I1244" t="inlineStr">
        <is>
          <t>No</t>
        </is>
      </c>
      <c r="J1244" t="inlineStr">
        <is>
          <t>0</t>
        </is>
      </c>
      <c r="K1244" t="inlineStr">
        <is>
          <t>Calvin, Jean, 1509-1564.</t>
        </is>
      </c>
      <c r="L1244" t="inlineStr">
        <is>
          <t>London, J. Clarke [1961]</t>
        </is>
      </c>
      <c r="M1244" t="inlineStr">
        <is>
          <t>1961</t>
        </is>
      </c>
      <c r="O1244" t="inlineStr">
        <is>
          <t>eng</t>
        </is>
      </c>
      <c r="P1244" t="inlineStr">
        <is>
          <t>enk</t>
        </is>
      </c>
      <c r="R1244" t="inlineStr">
        <is>
          <t xml:space="preserve">BT </t>
        </is>
      </c>
      <c r="S1244" t="n">
        <v>7</v>
      </c>
      <c r="T1244" t="n">
        <v>7</v>
      </c>
      <c r="U1244" t="inlineStr">
        <is>
          <t>2004-11-15</t>
        </is>
      </c>
      <c r="V1244" t="inlineStr">
        <is>
          <t>2004-11-15</t>
        </is>
      </c>
      <c r="W1244" t="inlineStr">
        <is>
          <t>1991-06-24</t>
        </is>
      </c>
      <c r="X1244" t="inlineStr">
        <is>
          <t>1991-06-24</t>
        </is>
      </c>
      <c r="Y1244" t="n">
        <v>281</v>
      </c>
      <c r="Z1244" t="n">
        <v>209</v>
      </c>
      <c r="AA1244" t="n">
        <v>350</v>
      </c>
      <c r="AB1244" t="n">
        <v>1</v>
      </c>
      <c r="AC1244" t="n">
        <v>1</v>
      </c>
      <c r="AD1244" t="n">
        <v>10</v>
      </c>
      <c r="AE1244" t="n">
        <v>19</v>
      </c>
      <c r="AF1244" t="n">
        <v>2</v>
      </c>
      <c r="AG1244" t="n">
        <v>8</v>
      </c>
      <c r="AH1244" t="n">
        <v>2</v>
      </c>
      <c r="AI1244" t="n">
        <v>3</v>
      </c>
      <c r="AJ1244" t="n">
        <v>6</v>
      </c>
      <c r="AK1244" t="n">
        <v>12</v>
      </c>
      <c r="AL1244" t="n">
        <v>0</v>
      </c>
      <c r="AM1244" t="n">
        <v>0</v>
      </c>
      <c r="AN1244" t="n">
        <v>0</v>
      </c>
      <c r="AO1244" t="n">
        <v>0</v>
      </c>
      <c r="AP1244" t="inlineStr">
        <is>
          <t>No</t>
        </is>
      </c>
      <c r="AQ1244" t="inlineStr">
        <is>
          <t>Yes</t>
        </is>
      </c>
      <c r="AR1244">
        <f>HYPERLINK("http://catalog.hathitrust.org/Record/001412659","HathiTrust Record")</f>
        <v/>
      </c>
      <c r="AS1244">
        <f>HYPERLINK("https://creighton-primo.hosted.exlibrisgroup.com/primo-explore/search?tab=default_tab&amp;search_scope=EVERYTHING&amp;vid=01CRU&amp;lang=en_US&amp;offset=0&amp;query=any,contains,991003323169702656","Catalog Record")</f>
        <v/>
      </c>
      <c r="AT1244">
        <f>HYPERLINK("http://www.worldcat.org/oclc/851812","WorldCat Record")</f>
        <v/>
      </c>
      <c r="AU1244" t="inlineStr">
        <is>
          <t>1790782:eng</t>
        </is>
      </c>
      <c r="AV1244" t="inlineStr">
        <is>
          <t>851812</t>
        </is>
      </c>
      <c r="AW1244" t="inlineStr">
        <is>
          <t>991003323169702656</t>
        </is>
      </c>
      <c r="AX1244" t="inlineStr">
        <is>
          <t>991003323169702656</t>
        </is>
      </c>
      <c r="AY1244" t="inlineStr">
        <is>
          <t>2264440440002656</t>
        </is>
      </c>
      <c r="AZ1244" t="inlineStr">
        <is>
          <t>BOOK</t>
        </is>
      </c>
      <c r="BC1244" t="inlineStr">
        <is>
          <t>32285000688647</t>
        </is>
      </c>
      <c r="BD1244" t="inlineStr">
        <is>
          <t>893428680</t>
        </is>
      </c>
    </row>
    <row r="1245">
      <c r="A1245" t="inlineStr">
        <is>
          <t>No</t>
        </is>
      </c>
      <c r="B1245" t="inlineStr">
        <is>
          <t>BT800 .H3813 1982</t>
        </is>
      </c>
      <c r="C1245" t="inlineStr">
        <is>
          <t>0                      BT 0800000H  3813        1982</t>
        </is>
      </c>
      <c r="D1245" t="inlineStr">
        <is>
          <t>Penthos : the doctrine of compunction in the Christian East / by Irénée Hausherr ; translated by Anselm Hufstader.</t>
        </is>
      </c>
      <c r="F1245" t="inlineStr">
        <is>
          <t>No</t>
        </is>
      </c>
      <c r="G1245" t="inlineStr">
        <is>
          <t>1</t>
        </is>
      </c>
      <c r="H1245" t="inlineStr">
        <is>
          <t>No</t>
        </is>
      </c>
      <c r="I1245" t="inlineStr">
        <is>
          <t>No</t>
        </is>
      </c>
      <c r="J1245" t="inlineStr">
        <is>
          <t>0</t>
        </is>
      </c>
      <c r="K1245" t="inlineStr">
        <is>
          <t>Hausherr, Irénée, 1891-1978.</t>
        </is>
      </c>
      <c r="L1245" t="inlineStr">
        <is>
          <t>Kalamazoo, Mich. : Cistercian Publications, 1982.</t>
        </is>
      </c>
      <c r="M1245" t="inlineStr">
        <is>
          <t>1982</t>
        </is>
      </c>
      <c r="O1245" t="inlineStr">
        <is>
          <t>eng</t>
        </is>
      </c>
      <c r="P1245" t="inlineStr">
        <is>
          <t>miu</t>
        </is>
      </c>
      <c r="Q1245" t="inlineStr">
        <is>
          <t>Cistercian studies series ; no. 53</t>
        </is>
      </c>
      <c r="R1245" t="inlineStr">
        <is>
          <t xml:space="preserve">BT </t>
        </is>
      </c>
      <c r="S1245" t="n">
        <v>3</v>
      </c>
      <c r="T1245" t="n">
        <v>3</v>
      </c>
      <c r="U1245" t="inlineStr">
        <is>
          <t>2010-06-24</t>
        </is>
      </c>
      <c r="V1245" t="inlineStr">
        <is>
          <t>2010-06-24</t>
        </is>
      </c>
      <c r="W1245" t="inlineStr">
        <is>
          <t>1991-10-21</t>
        </is>
      </c>
      <c r="X1245" t="inlineStr">
        <is>
          <t>1991-10-21</t>
        </is>
      </c>
      <c r="Y1245" t="n">
        <v>256</v>
      </c>
      <c r="Z1245" t="n">
        <v>207</v>
      </c>
      <c r="AA1245" t="n">
        <v>214</v>
      </c>
      <c r="AB1245" t="n">
        <v>1</v>
      </c>
      <c r="AC1245" t="n">
        <v>1</v>
      </c>
      <c r="AD1245" t="n">
        <v>20</v>
      </c>
      <c r="AE1245" t="n">
        <v>20</v>
      </c>
      <c r="AF1245" t="n">
        <v>7</v>
      </c>
      <c r="AG1245" t="n">
        <v>7</v>
      </c>
      <c r="AH1245" t="n">
        <v>6</v>
      </c>
      <c r="AI1245" t="n">
        <v>6</v>
      </c>
      <c r="AJ1245" t="n">
        <v>15</v>
      </c>
      <c r="AK1245" t="n">
        <v>15</v>
      </c>
      <c r="AL1245" t="n">
        <v>0</v>
      </c>
      <c r="AM1245" t="n">
        <v>0</v>
      </c>
      <c r="AN1245" t="n">
        <v>0</v>
      </c>
      <c r="AO1245" t="n">
        <v>0</v>
      </c>
      <c r="AP1245" t="inlineStr">
        <is>
          <t>No</t>
        </is>
      </c>
      <c r="AQ1245" t="inlineStr">
        <is>
          <t>Yes</t>
        </is>
      </c>
      <c r="AR1245">
        <f>HYPERLINK("http://catalog.hathitrust.org/Record/000269146","HathiTrust Record")</f>
        <v/>
      </c>
      <c r="AS1245">
        <f>HYPERLINK("https://creighton-primo.hosted.exlibrisgroup.com/primo-explore/search?tab=default_tab&amp;search_scope=EVERYTHING&amp;vid=01CRU&amp;lang=en_US&amp;offset=0&amp;query=any,contains,991005219609702656","Catalog Record")</f>
        <v/>
      </c>
      <c r="AT1245">
        <f>HYPERLINK("http://www.worldcat.org/oclc/8219642","WorldCat Record")</f>
        <v/>
      </c>
      <c r="AU1245" t="inlineStr">
        <is>
          <t>806963272:eng</t>
        </is>
      </c>
      <c r="AV1245" t="inlineStr">
        <is>
          <t>8219642</t>
        </is>
      </c>
      <c r="AW1245" t="inlineStr">
        <is>
          <t>991005219609702656</t>
        </is>
      </c>
      <c r="AX1245" t="inlineStr">
        <is>
          <t>991005219609702656</t>
        </is>
      </c>
      <c r="AY1245" t="inlineStr">
        <is>
          <t>2255696120002656</t>
        </is>
      </c>
      <c r="AZ1245" t="inlineStr">
        <is>
          <t>BOOK</t>
        </is>
      </c>
      <c r="BB1245" t="inlineStr">
        <is>
          <t>9780879078539</t>
        </is>
      </c>
      <c r="BC1245" t="inlineStr">
        <is>
          <t>32285000806777</t>
        </is>
      </c>
      <c r="BD1245" t="inlineStr">
        <is>
          <t>893326398</t>
        </is>
      </c>
    </row>
    <row r="1246">
      <c r="A1246" t="inlineStr">
        <is>
          <t>No</t>
        </is>
      </c>
      <c r="B1246" t="inlineStr">
        <is>
          <t>BT800 .W43 1997</t>
        </is>
      </c>
      <c r="C1246" t="inlineStr">
        <is>
          <t>0                      BT 0800000W  43          1997</t>
        </is>
      </c>
      <c r="D1246" t="inlineStr">
        <is>
          <t>Law and Gospel : Philip Melanchthon's debate with John Agricola of Eisleben over poenitentia / Timothy J. Wengert.</t>
        </is>
      </c>
      <c r="F1246" t="inlineStr">
        <is>
          <t>No</t>
        </is>
      </c>
      <c r="G1246" t="inlineStr">
        <is>
          <t>1</t>
        </is>
      </c>
      <c r="H1246" t="inlineStr">
        <is>
          <t>No</t>
        </is>
      </c>
      <c r="I1246" t="inlineStr">
        <is>
          <t>No</t>
        </is>
      </c>
      <c r="J1246" t="inlineStr">
        <is>
          <t>0</t>
        </is>
      </c>
      <c r="K1246" t="inlineStr">
        <is>
          <t>Wengert, Timothy J.</t>
        </is>
      </c>
      <c r="L1246" t="inlineStr">
        <is>
          <t>Carlisle, Cumbria, U.K. : Paternoster ; Grand Rapids, Mich. : Baker Books, c1997.</t>
        </is>
      </c>
      <c r="M1246" t="inlineStr">
        <is>
          <t>1997</t>
        </is>
      </c>
      <c r="O1246" t="inlineStr">
        <is>
          <t>eng</t>
        </is>
      </c>
      <c r="P1246" t="inlineStr">
        <is>
          <t>enk</t>
        </is>
      </c>
      <c r="Q1246" t="inlineStr">
        <is>
          <t>Texts and studies in Reformation and Post-Reformation thought</t>
        </is>
      </c>
      <c r="R1246" t="inlineStr">
        <is>
          <t xml:space="preserve">BT </t>
        </is>
      </c>
      <c r="S1246" t="n">
        <v>1</v>
      </c>
      <c r="T1246" t="n">
        <v>1</v>
      </c>
      <c r="U1246" t="inlineStr">
        <is>
          <t>2010-03-10</t>
        </is>
      </c>
      <c r="V1246" t="inlineStr">
        <is>
          <t>2010-03-10</t>
        </is>
      </c>
      <c r="W1246" t="inlineStr">
        <is>
          <t>2010-03-10</t>
        </is>
      </c>
      <c r="X1246" t="inlineStr">
        <is>
          <t>2010-03-10</t>
        </is>
      </c>
      <c r="Y1246" t="n">
        <v>260</v>
      </c>
      <c r="Z1246" t="n">
        <v>209</v>
      </c>
      <c r="AA1246" t="n">
        <v>211</v>
      </c>
      <c r="AB1246" t="n">
        <v>3</v>
      </c>
      <c r="AC1246" t="n">
        <v>3</v>
      </c>
      <c r="AD1246" t="n">
        <v>11</v>
      </c>
      <c r="AE1246" t="n">
        <v>11</v>
      </c>
      <c r="AF1246" t="n">
        <v>4</v>
      </c>
      <c r="AG1246" t="n">
        <v>4</v>
      </c>
      <c r="AH1246" t="n">
        <v>2</v>
      </c>
      <c r="AI1246" t="n">
        <v>2</v>
      </c>
      <c r="AJ1246" t="n">
        <v>4</v>
      </c>
      <c r="AK1246" t="n">
        <v>4</v>
      </c>
      <c r="AL1246" t="n">
        <v>2</v>
      </c>
      <c r="AM1246" t="n">
        <v>2</v>
      </c>
      <c r="AN1246" t="n">
        <v>0</v>
      </c>
      <c r="AO1246" t="n">
        <v>0</v>
      </c>
      <c r="AP1246" t="inlineStr">
        <is>
          <t>No</t>
        </is>
      </c>
      <c r="AQ1246" t="inlineStr">
        <is>
          <t>Yes</t>
        </is>
      </c>
      <c r="AR1246">
        <f>HYPERLINK("http://catalog.hathitrust.org/Record/003970778","HathiTrust Record")</f>
        <v/>
      </c>
      <c r="AS1246">
        <f>HYPERLINK("https://creighton-primo.hosted.exlibrisgroup.com/primo-explore/search?tab=default_tab&amp;search_scope=EVERYTHING&amp;vid=01CRU&amp;lang=en_US&amp;offset=0&amp;query=any,contains,991005373449702656","Catalog Record")</f>
        <v/>
      </c>
      <c r="AT1246">
        <f>HYPERLINK("http://www.worldcat.org/oclc/37755141","WorldCat Record")</f>
        <v/>
      </c>
      <c r="AU1246" t="inlineStr">
        <is>
          <t>837010577:eng</t>
        </is>
      </c>
      <c r="AV1246" t="inlineStr">
        <is>
          <t>37755141</t>
        </is>
      </c>
      <c r="AW1246" t="inlineStr">
        <is>
          <t>991005373449702656</t>
        </is>
      </c>
      <c r="AX1246" t="inlineStr">
        <is>
          <t>991005373449702656</t>
        </is>
      </c>
      <c r="AY1246" t="inlineStr">
        <is>
          <t>2262935360002656</t>
        </is>
      </c>
      <c r="AZ1246" t="inlineStr">
        <is>
          <t>BOOK</t>
        </is>
      </c>
      <c r="BB1246" t="inlineStr">
        <is>
          <t>9780801021589</t>
        </is>
      </c>
      <c r="BC1246" t="inlineStr">
        <is>
          <t>32285005577449</t>
        </is>
      </c>
      <c r="BD1246" t="inlineStr">
        <is>
          <t>893446866</t>
        </is>
      </c>
    </row>
    <row r="1247">
      <c r="A1247" t="inlineStr">
        <is>
          <t>No</t>
        </is>
      </c>
      <c r="B1247" t="inlineStr">
        <is>
          <t>BT809 .G84 1989</t>
        </is>
      </c>
      <c r="C1247" t="inlineStr">
        <is>
          <t>0                      BT 0809000G  84          1989</t>
        </is>
      </c>
      <c r="D1247" t="inlineStr">
        <is>
          <t>Edwards on the will : a century of American theological debate / Allen C. Guelzo.</t>
        </is>
      </c>
      <c r="F1247" t="inlineStr">
        <is>
          <t>No</t>
        </is>
      </c>
      <c r="G1247" t="inlineStr">
        <is>
          <t>1</t>
        </is>
      </c>
      <c r="H1247" t="inlineStr">
        <is>
          <t>No</t>
        </is>
      </c>
      <c r="I1247" t="inlineStr">
        <is>
          <t>No</t>
        </is>
      </c>
      <c r="J1247" t="inlineStr">
        <is>
          <t>0</t>
        </is>
      </c>
      <c r="K1247" t="inlineStr">
        <is>
          <t>Guelzo, Allen C.</t>
        </is>
      </c>
      <c r="L1247" t="inlineStr">
        <is>
          <t>Middletown, Conn. : Wesleyan University Press, c1989.</t>
        </is>
      </c>
      <c r="M1247" t="inlineStr">
        <is>
          <t>1989</t>
        </is>
      </c>
      <c r="N1247" t="inlineStr">
        <is>
          <t>1st ed.</t>
        </is>
      </c>
      <c r="O1247" t="inlineStr">
        <is>
          <t>eng</t>
        </is>
      </c>
      <c r="P1247" t="inlineStr">
        <is>
          <t>ctu</t>
        </is>
      </c>
      <c r="R1247" t="inlineStr">
        <is>
          <t xml:space="preserve">BT </t>
        </is>
      </c>
      <c r="S1247" t="n">
        <v>8</v>
      </c>
      <c r="T1247" t="n">
        <v>8</v>
      </c>
      <c r="U1247" t="inlineStr">
        <is>
          <t>2001-02-24</t>
        </is>
      </c>
      <c r="V1247" t="inlineStr">
        <is>
          <t>2001-02-24</t>
        </is>
      </c>
      <c r="W1247" t="inlineStr">
        <is>
          <t>1991-09-17</t>
        </is>
      </c>
      <c r="X1247" t="inlineStr">
        <is>
          <t>1991-09-17</t>
        </is>
      </c>
      <c r="Y1247" t="n">
        <v>503</v>
      </c>
      <c r="Z1247" t="n">
        <v>450</v>
      </c>
      <c r="AA1247" t="n">
        <v>467</v>
      </c>
      <c r="AB1247" t="n">
        <v>3</v>
      </c>
      <c r="AC1247" t="n">
        <v>3</v>
      </c>
      <c r="AD1247" t="n">
        <v>24</v>
      </c>
      <c r="AE1247" t="n">
        <v>25</v>
      </c>
      <c r="AF1247" t="n">
        <v>9</v>
      </c>
      <c r="AG1247" t="n">
        <v>10</v>
      </c>
      <c r="AH1247" t="n">
        <v>7</v>
      </c>
      <c r="AI1247" t="n">
        <v>8</v>
      </c>
      <c r="AJ1247" t="n">
        <v>14</v>
      </c>
      <c r="AK1247" t="n">
        <v>14</v>
      </c>
      <c r="AL1247" t="n">
        <v>1</v>
      </c>
      <c r="AM1247" t="n">
        <v>1</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HYPERLINK("https://creighton-primo.hosted.exlibrisgroup.com/primo-explore/search?tab=default_tab&amp;search_scope=EVERYTHING&amp;vid=01CRU&amp;lang=en_US&amp;offset=0&amp;query=any,contains,991001312449702656","Catalog Record")</f>
        <v/>
      </c>
      <c r="AT1247">
        <f>HYPERLINK("http://www.worldcat.org/oclc/18162699","WorldCat Record")</f>
        <v/>
      </c>
      <c r="AU1247" t="inlineStr">
        <is>
          <t>2796298:eng</t>
        </is>
      </c>
      <c r="AV1247" t="inlineStr">
        <is>
          <t>18162699</t>
        </is>
      </c>
      <c r="AW1247" t="inlineStr">
        <is>
          <t>991001312449702656</t>
        </is>
      </c>
      <c r="AX1247" t="inlineStr">
        <is>
          <t>991001312449702656</t>
        </is>
      </c>
      <c r="AY1247" t="inlineStr">
        <is>
          <t>2260060960002656</t>
        </is>
      </c>
      <c r="AZ1247" t="inlineStr">
        <is>
          <t>BOOK</t>
        </is>
      </c>
      <c r="BB1247" t="inlineStr">
        <is>
          <t>9780819551931</t>
        </is>
      </c>
      <c r="BC1247" t="inlineStr">
        <is>
          <t>32285000703321</t>
        </is>
      </c>
      <c r="BD1247" t="inlineStr">
        <is>
          <t>893346413</t>
        </is>
      </c>
    </row>
    <row r="1248">
      <c r="A1248" t="inlineStr">
        <is>
          <t>No</t>
        </is>
      </c>
      <c r="B1248" t="inlineStr">
        <is>
          <t>BT809 .M33 1990</t>
        </is>
      </c>
      <c r="C1248" t="inlineStr">
        <is>
          <t>0                      BT 0809000M  33          1990</t>
        </is>
      </c>
      <c r="D1248" t="inlineStr">
        <is>
          <t>The autonomy theme in the Church dogmatics : Karl Barth and his critics / John Macken.</t>
        </is>
      </c>
      <c r="F1248" t="inlineStr">
        <is>
          <t>No</t>
        </is>
      </c>
      <c r="G1248" t="inlineStr">
        <is>
          <t>1</t>
        </is>
      </c>
      <c r="H1248" t="inlineStr">
        <is>
          <t>No</t>
        </is>
      </c>
      <c r="I1248" t="inlineStr">
        <is>
          <t>No</t>
        </is>
      </c>
      <c r="J1248" t="inlineStr">
        <is>
          <t>0</t>
        </is>
      </c>
      <c r="K1248" t="inlineStr">
        <is>
          <t>Macken, John, 1943-</t>
        </is>
      </c>
      <c r="L1248" t="inlineStr">
        <is>
          <t>Cambridge [England] ; New York : Cambridge University Press, 1990.</t>
        </is>
      </c>
      <c r="M1248" t="inlineStr">
        <is>
          <t>1990</t>
        </is>
      </c>
      <c r="O1248" t="inlineStr">
        <is>
          <t>eng</t>
        </is>
      </c>
      <c r="P1248" t="inlineStr">
        <is>
          <t>enk</t>
        </is>
      </c>
      <c r="R1248" t="inlineStr">
        <is>
          <t xml:space="preserve">BT </t>
        </is>
      </c>
      <c r="S1248" t="n">
        <v>3</v>
      </c>
      <c r="T1248" t="n">
        <v>3</v>
      </c>
      <c r="U1248" t="inlineStr">
        <is>
          <t>2009-04-07</t>
        </is>
      </c>
      <c r="V1248" t="inlineStr">
        <is>
          <t>2009-04-07</t>
        </is>
      </c>
      <c r="W1248" t="inlineStr">
        <is>
          <t>1992-06-29</t>
        </is>
      </c>
      <c r="X1248" t="inlineStr">
        <is>
          <t>1992-06-29</t>
        </is>
      </c>
      <c r="Y1248" t="n">
        <v>306</v>
      </c>
      <c r="Z1248" t="n">
        <v>233</v>
      </c>
      <c r="AA1248" t="n">
        <v>250</v>
      </c>
      <c r="AB1248" t="n">
        <v>2</v>
      </c>
      <c r="AC1248" t="n">
        <v>2</v>
      </c>
      <c r="AD1248" t="n">
        <v>18</v>
      </c>
      <c r="AE1248" t="n">
        <v>18</v>
      </c>
      <c r="AF1248" t="n">
        <v>6</v>
      </c>
      <c r="AG1248" t="n">
        <v>6</v>
      </c>
      <c r="AH1248" t="n">
        <v>5</v>
      </c>
      <c r="AI1248" t="n">
        <v>5</v>
      </c>
      <c r="AJ1248" t="n">
        <v>14</v>
      </c>
      <c r="AK1248" t="n">
        <v>14</v>
      </c>
      <c r="AL1248" t="n">
        <v>1</v>
      </c>
      <c r="AM1248" t="n">
        <v>1</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HYPERLINK("https://creighton-primo.hosted.exlibrisgroup.com/primo-explore/search?tab=default_tab&amp;search_scope=EVERYTHING&amp;vid=01CRU&amp;lang=en_US&amp;offset=0&amp;query=any,contains,991001553789702656","Catalog Record")</f>
        <v/>
      </c>
      <c r="AT1248">
        <f>HYPERLINK("http://www.worldcat.org/oclc/20260614","WorldCat Record")</f>
        <v/>
      </c>
      <c r="AU1248" t="inlineStr">
        <is>
          <t>836725434:eng</t>
        </is>
      </c>
      <c r="AV1248" t="inlineStr">
        <is>
          <t>20260614</t>
        </is>
      </c>
      <c r="AW1248" t="inlineStr">
        <is>
          <t>991001553789702656</t>
        </is>
      </c>
      <c r="AX1248" t="inlineStr">
        <is>
          <t>991001553789702656</t>
        </is>
      </c>
      <c r="AY1248" t="inlineStr">
        <is>
          <t>2259350700002656</t>
        </is>
      </c>
      <c r="AZ1248" t="inlineStr">
        <is>
          <t>BOOK</t>
        </is>
      </c>
      <c r="BB1248" t="inlineStr">
        <is>
          <t>9780521346269</t>
        </is>
      </c>
      <c r="BC1248" t="inlineStr">
        <is>
          <t>32285001156388</t>
        </is>
      </c>
      <c r="BD1248" t="inlineStr">
        <is>
          <t>893432924</t>
        </is>
      </c>
    </row>
    <row r="1249">
      <c r="A1249" t="inlineStr">
        <is>
          <t>No</t>
        </is>
      </c>
      <c r="B1249" t="inlineStr">
        <is>
          <t>BT810.2 .C37 1969</t>
        </is>
      </c>
      <c r="C1249" t="inlineStr">
        <is>
          <t>0                      BT 0810200C  37          1969</t>
        </is>
      </c>
      <c r="D1249" t="inlineStr">
        <is>
          <t>The Case for freedom : human rights in the church / edited by James A. Coriden. Foreword by Ladislas M. Örsy.</t>
        </is>
      </c>
      <c r="F1249" t="inlineStr">
        <is>
          <t>No</t>
        </is>
      </c>
      <c r="G1249" t="inlineStr">
        <is>
          <t>1</t>
        </is>
      </c>
      <c r="H1249" t="inlineStr">
        <is>
          <t>No</t>
        </is>
      </c>
      <c r="I1249" t="inlineStr">
        <is>
          <t>No</t>
        </is>
      </c>
      <c r="J1249" t="inlineStr">
        <is>
          <t>0</t>
        </is>
      </c>
      <c r="L1249" t="inlineStr">
        <is>
          <t>Washington : Corpus Books, [1969]</t>
        </is>
      </c>
      <c r="M1249" t="inlineStr">
        <is>
          <t>1969</t>
        </is>
      </c>
      <c r="O1249" t="inlineStr">
        <is>
          <t>eng</t>
        </is>
      </c>
      <c r="P1249" t="inlineStr">
        <is>
          <t>dcu</t>
        </is>
      </c>
      <c r="R1249" t="inlineStr">
        <is>
          <t xml:space="preserve">BT </t>
        </is>
      </c>
      <c r="S1249" t="n">
        <v>6</v>
      </c>
      <c r="T1249" t="n">
        <v>6</v>
      </c>
      <c r="U1249" t="inlineStr">
        <is>
          <t>2009-03-03</t>
        </is>
      </c>
      <c r="V1249" t="inlineStr">
        <is>
          <t>2009-03-03</t>
        </is>
      </c>
      <c r="W1249" t="inlineStr">
        <is>
          <t>1991-10-21</t>
        </is>
      </c>
      <c r="X1249" t="inlineStr">
        <is>
          <t>1991-10-21</t>
        </is>
      </c>
      <c r="Y1249" t="n">
        <v>208</v>
      </c>
      <c r="Z1249" t="n">
        <v>191</v>
      </c>
      <c r="AA1249" t="n">
        <v>198</v>
      </c>
      <c r="AB1249" t="n">
        <v>2</v>
      </c>
      <c r="AC1249" t="n">
        <v>2</v>
      </c>
      <c r="AD1249" t="n">
        <v>19</v>
      </c>
      <c r="AE1249" t="n">
        <v>19</v>
      </c>
      <c r="AF1249" t="n">
        <v>5</v>
      </c>
      <c r="AG1249" t="n">
        <v>5</v>
      </c>
      <c r="AH1249" t="n">
        <v>7</v>
      </c>
      <c r="AI1249" t="n">
        <v>7</v>
      </c>
      <c r="AJ1249" t="n">
        <v>14</v>
      </c>
      <c r="AK1249" t="n">
        <v>14</v>
      </c>
      <c r="AL1249" t="n">
        <v>0</v>
      </c>
      <c r="AM1249" t="n">
        <v>0</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HYPERLINK("https://creighton-primo.hosted.exlibrisgroup.com/primo-explore/search?tab=default_tab&amp;search_scope=EVERYTHING&amp;vid=01CRU&amp;lang=en_US&amp;offset=0&amp;query=any,contains,991000725329702656","Catalog Record")</f>
        <v/>
      </c>
      <c r="AT1249">
        <f>HYPERLINK("http://www.worldcat.org/oclc/127507","WorldCat Record")</f>
        <v/>
      </c>
      <c r="AU1249" t="inlineStr">
        <is>
          <t>1255537:eng</t>
        </is>
      </c>
      <c r="AV1249" t="inlineStr">
        <is>
          <t>127507</t>
        </is>
      </c>
      <c r="AW1249" t="inlineStr">
        <is>
          <t>991000725329702656</t>
        </is>
      </c>
      <c r="AX1249" t="inlineStr">
        <is>
          <t>991000725329702656</t>
        </is>
      </c>
      <c r="AY1249" t="inlineStr">
        <is>
          <t>2261353720002656</t>
        </is>
      </c>
      <c r="AZ1249" t="inlineStr">
        <is>
          <t>BOOK</t>
        </is>
      </c>
      <c r="BC1249" t="inlineStr">
        <is>
          <t>32285000806868</t>
        </is>
      </c>
      <c r="BD1249" t="inlineStr">
        <is>
          <t>893521944</t>
        </is>
      </c>
    </row>
    <row r="1250">
      <c r="A1250" t="inlineStr">
        <is>
          <t>No</t>
        </is>
      </c>
      <c r="B1250" t="inlineStr">
        <is>
          <t>BT810.2 .G63 1995</t>
        </is>
      </c>
      <c r="C1250" t="inlineStr">
        <is>
          <t>0                      BT 0810200G  63          1995</t>
        </is>
      </c>
      <c r="D1250" t="inlineStr">
        <is>
          <t>God and freedom : essays in historical and systematic theology / edited by Colin E. Gunton for the Research Institute in Systematic Theology, King's College, London.</t>
        </is>
      </c>
      <c r="F1250" t="inlineStr">
        <is>
          <t>No</t>
        </is>
      </c>
      <c r="G1250" t="inlineStr">
        <is>
          <t>1</t>
        </is>
      </c>
      <c r="H1250" t="inlineStr">
        <is>
          <t>No</t>
        </is>
      </c>
      <c r="I1250" t="inlineStr">
        <is>
          <t>No</t>
        </is>
      </c>
      <c r="J1250" t="inlineStr">
        <is>
          <t>0</t>
        </is>
      </c>
      <c r="L1250" t="inlineStr">
        <is>
          <t>Edinburgh : T&amp;T Clark, 1995.</t>
        </is>
      </c>
      <c r="M1250" t="inlineStr">
        <is>
          <t>1995</t>
        </is>
      </c>
      <c r="O1250" t="inlineStr">
        <is>
          <t>eng</t>
        </is>
      </c>
      <c r="P1250" t="inlineStr">
        <is>
          <t>stk</t>
        </is>
      </c>
      <c r="R1250" t="inlineStr">
        <is>
          <t xml:space="preserve">BT </t>
        </is>
      </c>
      <c r="S1250" t="n">
        <v>4</v>
      </c>
      <c r="T1250" t="n">
        <v>4</v>
      </c>
      <c r="U1250" t="inlineStr">
        <is>
          <t>2010-09-20</t>
        </is>
      </c>
      <c r="V1250" t="inlineStr">
        <is>
          <t>2010-09-20</t>
        </is>
      </c>
      <c r="W1250" t="inlineStr">
        <is>
          <t>1996-01-08</t>
        </is>
      </c>
      <c r="X1250" t="inlineStr">
        <is>
          <t>1996-01-08</t>
        </is>
      </c>
      <c r="Y1250" t="n">
        <v>213</v>
      </c>
      <c r="Z1250" t="n">
        <v>151</v>
      </c>
      <c r="AA1250" t="n">
        <v>153</v>
      </c>
      <c r="AB1250" t="n">
        <v>1</v>
      </c>
      <c r="AC1250" t="n">
        <v>1</v>
      </c>
      <c r="AD1250" t="n">
        <v>11</v>
      </c>
      <c r="AE1250" t="n">
        <v>11</v>
      </c>
      <c r="AF1250" t="n">
        <v>4</v>
      </c>
      <c r="AG1250" t="n">
        <v>4</v>
      </c>
      <c r="AH1250" t="n">
        <v>3</v>
      </c>
      <c r="AI1250" t="n">
        <v>3</v>
      </c>
      <c r="AJ1250" t="n">
        <v>6</v>
      </c>
      <c r="AK1250" t="n">
        <v>6</v>
      </c>
      <c r="AL1250" t="n">
        <v>0</v>
      </c>
      <c r="AM1250" t="n">
        <v>0</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HYPERLINK("https://creighton-primo.hosted.exlibrisgroup.com/primo-explore/search?tab=default_tab&amp;search_scope=EVERYTHING&amp;vid=01CRU&amp;lang=en_US&amp;offset=0&amp;query=any,contains,991002525209702656","Catalog Record")</f>
        <v/>
      </c>
      <c r="AT1250">
        <f>HYPERLINK("http://www.worldcat.org/oclc/32839282","WorldCat Record")</f>
        <v/>
      </c>
      <c r="AU1250" t="inlineStr">
        <is>
          <t>836965672:eng</t>
        </is>
      </c>
      <c r="AV1250" t="inlineStr">
        <is>
          <t>32839282</t>
        </is>
      </c>
      <c r="AW1250" t="inlineStr">
        <is>
          <t>991002525209702656</t>
        </is>
      </c>
      <c r="AX1250" t="inlineStr">
        <is>
          <t>991002525209702656</t>
        </is>
      </c>
      <c r="AY1250" t="inlineStr">
        <is>
          <t>2264698160002656</t>
        </is>
      </c>
      <c r="AZ1250" t="inlineStr">
        <is>
          <t>BOOK</t>
        </is>
      </c>
      <c r="BB1250" t="inlineStr">
        <is>
          <t>9780567097255</t>
        </is>
      </c>
      <c r="BC1250" t="inlineStr">
        <is>
          <t>32285002115367</t>
        </is>
      </c>
      <c r="BD1250" t="inlineStr">
        <is>
          <t>893873650</t>
        </is>
      </c>
    </row>
    <row r="1251">
      <c r="A1251" t="inlineStr">
        <is>
          <t>No</t>
        </is>
      </c>
      <c r="B1251" t="inlineStr">
        <is>
          <t>BT810.2 .H58</t>
        </is>
      </c>
      <c r="C1251" t="inlineStr">
        <is>
          <t>0                      BT 0810200H  58</t>
        </is>
      </c>
      <c r="D1251" t="inlineStr">
        <is>
          <t>New birth of freedom : a theology of bondage and liberation / Peter C. Hodgson.</t>
        </is>
      </c>
      <c r="F1251" t="inlineStr">
        <is>
          <t>No</t>
        </is>
      </c>
      <c r="G1251" t="inlineStr">
        <is>
          <t>1</t>
        </is>
      </c>
      <c r="H1251" t="inlineStr">
        <is>
          <t>No</t>
        </is>
      </c>
      <c r="I1251" t="inlineStr">
        <is>
          <t>No</t>
        </is>
      </c>
      <c r="J1251" t="inlineStr">
        <is>
          <t>0</t>
        </is>
      </c>
      <c r="K1251" t="inlineStr">
        <is>
          <t>Hodgson, Peter Crafts, 1934-</t>
        </is>
      </c>
      <c r="L1251" t="inlineStr">
        <is>
          <t>Philadelphia : Fortress Press, c1976.</t>
        </is>
      </c>
      <c r="M1251" t="inlineStr">
        <is>
          <t>1976</t>
        </is>
      </c>
      <c r="O1251" t="inlineStr">
        <is>
          <t>eng</t>
        </is>
      </c>
      <c r="P1251" t="inlineStr">
        <is>
          <t>pau</t>
        </is>
      </c>
      <c r="R1251" t="inlineStr">
        <is>
          <t xml:space="preserve">BT </t>
        </is>
      </c>
      <c r="S1251" t="n">
        <v>1</v>
      </c>
      <c r="T1251" t="n">
        <v>1</v>
      </c>
      <c r="U1251" t="inlineStr">
        <is>
          <t>1994-07-12</t>
        </is>
      </c>
      <c r="V1251" t="inlineStr">
        <is>
          <t>1994-07-12</t>
        </is>
      </c>
      <c r="W1251" t="inlineStr">
        <is>
          <t>1991-10-21</t>
        </is>
      </c>
      <c r="X1251" t="inlineStr">
        <is>
          <t>1991-10-21</t>
        </is>
      </c>
      <c r="Y1251" t="n">
        <v>464</v>
      </c>
      <c r="Z1251" t="n">
        <v>403</v>
      </c>
      <c r="AA1251" t="n">
        <v>404</v>
      </c>
      <c r="AB1251" t="n">
        <v>3</v>
      </c>
      <c r="AC1251" t="n">
        <v>3</v>
      </c>
      <c r="AD1251" t="n">
        <v>25</v>
      </c>
      <c r="AE1251" t="n">
        <v>25</v>
      </c>
      <c r="AF1251" t="n">
        <v>8</v>
      </c>
      <c r="AG1251" t="n">
        <v>8</v>
      </c>
      <c r="AH1251" t="n">
        <v>6</v>
      </c>
      <c r="AI1251" t="n">
        <v>6</v>
      </c>
      <c r="AJ1251" t="n">
        <v>14</v>
      </c>
      <c r="AK1251" t="n">
        <v>14</v>
      </c>
      <c r="AL1251" t="n">
        <v>2</v>
      </c>
      <c r="AM1251" t="n">
        <v>2</v>
      </c>
      <c r="AN1251" t="n">
        <v>0</v>
      </c>
      <c r="AO1251" t="n">
        <v>0</v>
      </c>
      <c r="AP1251" t="inlineStr">
        <is>
          <t>No</t>
        </is>
      </c>
      <c r="AQ1251" t="inlineStr">
        <is>
          <t>Yes</t>
        </is>
      </c>
      <c r="AR1251">
        <f>HYPERLINK("http://catalog.hathitrust.org/Record/009814443","HathiTrust Record")</f>
        <v/>
      </c>
      <c r="AS1251">
        <f>HYPERLINK("https://creighton-primo.hosted.exlibrisgroup.com/primo-explore/search?tab=default_tab&amp;search_scope=EVERYTHING&amp;vid=01CRU&amp;lang=en_US&amp;offset=0&amp;query=any,contains,991004123389702656","Catalog Record")</f>
        <v/>
      </c>
      <c r="AT1251">
        <f>HYPERLINK("http://www.worldcat.org/oclc/2436031","WorldCat Record")</f>
        <v/>
      </c>
      <c r="AU1251" t="inlineStr">
        <is>
          <t>890793361:eng</t>
        </is>
      </c>
      <c r="AV1251" t="inlineStr">
        <is>
          <t>2436031</t>
        </is>
      </c>
      <c r="AW1251" t="inlineStr">
        <is>
          <t>991004123389702656</t>
        </is>
      </c>
      <c r="AX1251" t="inlineStr">
        <is>
          <t>991004123389702656</t>
        </is>
      </c>
      <c r="AY1251" t="inlineStr">
        <is>
          <t>2260896040002656</t>
        </is>
      </c>
      <c r="AZ1251" t="inlineStr">
        <is>
          <t>BOOK</t>
        </is>
      </c>
      <c r="BB1251" t="inlineStr">
        <is>
          <t>9780800604370</t>
        </is>
      </c>
      <c r="BC1251" t="inlineStr">
        <is>
          <t>32285000806892</t>
        </is>
      </c>
      <c r="BD1251" t="inlineStr">
        <is>
          <t>893253270</t>
        </is>
      </c>
    </row>
    <row r="1252">
      <c r="A1252" t="inlineStr">
        <is>
          <t>No</t>
        </is>
      </c>
      <c r="B1252" t="inlineStr">
        <is>
          <t>BT810.2 .O5 1989</t>
        </is>
      </c>
      <c r="C1252" t="inlineStr">
        <is>
          <t>0                      BT 0810200O  5           1989</t>
        </is>
      </c>
      <c r="D1252" t="inlineStr">
        <is>
          <t>On freedom / edited by Leroy S. Rouner.</t>
        </is>
      </c>
      <c r="F1252" t="inlineStr">
        <is>
          <t>No</t>
        </is>
      </c>
      <c r="G1252" t="inlineStr">
        <is>
          <t>1</t>
        </is>
      </c>
      <c r="H1252" t="inlineStr">
        <is>
          <t>No</t>
        </is>
      </c>
      <c r="I1252" t="inlineStr">
        <is>
          <t>No</t>
        </is>
      </c>
      <c r="J1252" t="inlineStr">
        <is>
          <t>0</t>
        </is>
      </c>
      <c r="L1252" t="inlineStr">
        <is>
          <t>Notre Dame, Ind. : University of Notre Dame Press, c1989.</t>
        </is>
      </c>
      <c r="M1252" t="inlineStr">
        <is>
          <t>1989</t>
        </is>
      </c>
      <c r="O1252" t="inlineStr">
        <is>
          <t>eng</t>
        </is>
      </c>
      <c r="P1252" t="inlineStr">
        <is>
          <t>inu</t>
        </is>
      </c>
      <c r="Q1252" t="inlineStr">
        <is>
          <t>Boston University studies in philosophy and religion ; v. 10</t>
        </is>
      </c>
      <c r="R1252" t="inlineStr">
        <is>
          <t xml:space="preserve">BT </t>
        </is>
      </c>
      <c r="S1252" t="n">
        <v>4</v>
      </c>
      <c r="T1252" t="n">
        <v>4</v>
      </c>
      <c r="U1252" t="inlineStr">
        <is>
          <t>2010-09-20</t>
        </is>
      </c>
      <c r="V1252" t="inlineStr">
        <is>
          <t>2010-09-20</t>
        </is>
      </c>
      <c r="W1252" t="inlineStr">
        <is>
          <t>1990-06-18</t>
        </is>
      </c>
      <c r="X1252" t="inlineStr">
        <is>
          <t>1990-06-18</t>
        </is>
      </c>
      <c r="Y1252" t="n">
        <v>479</v>
      </c>
      <c r="Z1252" t="n">
        <v>429</v>
      </c>
      <c r="AA1252" t="n">
        <v>431</v>
      </c>
      <c r="AB1252" t="n">
        <v>5</v>
      </c>
      <c r="AC1252" t="n">
        <v>5</v>
      </c>
      <c r="AD1252" t="n">
        <v>29</v>
      </c>
      <c r="AE1252" t="n">
        <v>29</v>
      </c>
      <c r="AF1252" t="n">
        <v>10</v>
      </c>
      <c r="AG1252" t="n">
        <v>10</v>
      </c>
      <c r="AH1252" t="n">
        <v>6</v>
      </c>
      <c r="AI1252" t="n">
        <v>6</v>
      </c>
      <c r="AJ1252" t="n">
        <v>19</v>
      </c>
      <c r="AK1252" t="n">
        <v>19</v>
      </c>
      <c r="AL1252" t="n">
        <v>3</v>
      </c>
      <c r="AM1252" t="n">
        <v>3</v>
      </c>
      <c r="AN1252" t="n">
        <v>0</v>
      </c>
      <c r="AO1252" t="n">
        <v>0</v>
      </c>
      <c r="AP1252" t="inlineStr">
        <is>
          <t>No</t>
        </is>
      </c>
      <c r="AQ1252" t="inlineStr">
        <is>
          <t>Yes</t>
        </is>
      </c>
      <c r="AR1252">
        <f>HYPERLINK("http://catalog.hathitrust.org/Record/001830019","HathiTrust Record")</f>
        <v/>
      </c>
      <c r="AS1252">
        <f>HYPERLINK("https://creighton-primo.hosted.exlibrisgroup.com/primo-explore/search?tab=default_tab&amp;search_scope=EVERYTHING&amp;vid=01CRU&amp;lang=en_US&amp;offset=0&amp;query=any,contains,991001483229702656","Catalog Record")</f>
        <v/>
      </c>
      <c r="AT1252">
        <f>HYPERLINK("http://www.worldcat.org/oclc/19629307","WorldCat Record")</f>
        <v/>
      </c>
      <c r="AU1252" t="inlineStr">
        <is>
          <t>3372669988:eng</t>
        </is>
      </c>
      <c r="AV1252" t="inlineStr">
        <is>
          <t>19629307</t>
        </is>
      </c>
      <c r="AW1252" t="inlineStr">
        <is>
          <t>991001483229702656</t>
        </is>
      </c>
      <c r="AX1252" t="inlineStr">
        <is>
          <t>991001483229702656</t>
        </is>
      </c>
      <c r="AY1252" t="inlineStr">
        <is>
          <t>2262639970002656</t>
        </is>
      </c>
      <c r="AZ1252" t="inlineStr">
        <is>
          <t>BOOK</t>
        </is>
      </c>
      <c r="BB1252" t="inlineStr">
        <is>
          <t>9780268015022</t>
        </is>
      </c>
      <c r="BC1252" t="inlineStr">
        <is>
          <t>32285000178037</t>
        </is>
      </c>
      <c r="BD1252" t="inlineStr">
        <is>
          <t>893897816</t>
        </is>
      </c>
    </row>
    <row r="1253">
      <c r="A1253" t="inlineStr">
        <is>
          <t>No</t>
        </is>
      </c>
      <c r="B1253" t="inlineStr">
        <is>
          <t>BT819.5 .H38 1989</t>
        </is>
      </c>
      <c r="C1253" t="inlineStr">
        <is>
          <t>0                      BT 0819500H  38          1989</t>
        </is>
      </c>
      <c r="D1253" t="inlineStr">
        <is>
          <t>Visions of a future : a study of Christian eschatology / by Zachary Hayes.</t>
        </is>
      </c>
      <c r="F1253" t="inlineStr">
        <is>
          <t>No</t>
        </is>
      </c>
      <c r="G1253" t="inlineStr">
        <is>
          <t>1</t>
        </is>
      </c>
      <c r="H1253" t="inlineStr">
        <is>
          <t>No</t>
        </is>
      </c>
      <c r="I1253" t="inlineStr">
        <is>
          <t>No</t>
        </is>
      </c>
      <c r="J1253" t="inlineStr">
        <is>
          <t>0</t>
        </is>
      </c>
      <c r="K1253" t="inlineStr">
        <is>
          <t>Hayes, Zachary.</t>
        </is>
      </c>
      <c r="L1253" t="inlineStr">
        <is>
          <t>Wilmington, Del. : M. Glazier, 1989.</t>
        </is>
      </c>
      <c r="M1253" t="inlineStr">
        <is>
          <t>1989</t>
        </is>
      </c>
      <c r="O1253" t="inlineStr">
        <is>
          <t>eng</t>
        </is>
      </c>
      <c r="P1253" t="inlineStr">
        <is>
          <t>deu</t>
        </is>
      </c>
      <c r="Q1253" t="inlineStr">
        <is>
          <t>New theology series ; v. 8</t>
        </is>
      </c>
      <c r="R1253" t="inlineStr">
        <is>
          <t xml:space="preserve">BT </t>
        </is>
      </c>
      <c r="S1253" t="n">
        <v>8</v>
      </c>
      <c r="T1253" t="n">
        <v>8</v>
      </c>
      <c r="U1253" t="inlineStr">
        <is>
          <t>2004-03-04</t>
        </is>
      </c>
      <c r="V1253" t="inlineStr">
        <is>
          <t>2004-03-04</t>
        </is>
      </c>
      <c r="W1253" t="inlineStr">
        <is>
          <t>1989-10-24</t>
        </is>
      </c>
      <c r="X1253" t="inlineStr">
        <is>
          <t>1989-10-24</t>
        </is>
      </c>
      <c r="Y1253" t="n">
        <v>184</v>
      </c>
      <c r="Z1253" t="n">
        <v>143</v>
      </c>
      <c r="AA1253" t="n">
        <v>223</v>
      </c>
      <c r="AB1253" t="n">
        <v>1</v>
      </c>
      <c r="AC1253" t="n">
        <v>4</v>
      </c>
      <c r="AD1253" t="n">
        <v>20</v>
      </c>
      <c r="AE1253" t="n">
        <v>28</v>
      </c>
      <c r="AF1253" t="n">
        <v>5</v>
      </c>
      <c r="AG1253" t="n">
        <v>6</v>
      </c>
      <c r="AH1253" t="n">
        <v>7</v>
      </c>
      <c r="AI1253" t="n">
        <v>8</v>
      </c>
      <c r="AJ1253" t="n">
        <v>14</v>
      </c>
      <c r="AK1253" t="n">
        <v>19</v>
      </c>
      <c r="AL1253" t="n">
        <v>0</v>
      </c>
      <c r="AM1253" t="n">
        <v>2</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HYPERLINK("https://creighton-primo.hosted.exlibrisgroup.com/primo-explore/search?tab=default_tab&amp;search_scope=EVERYTHING&amp;vid=01CRU&amp;lang=en_US&amp;offset=0&amp;query=any,contains,991001394289702656","Catalog Record")</f>
        <v/>
      </c>
      <c r="AT1253">
        <f>HYPERLINK("http://www.worldcat.org/oclc/18780309","WorldCat Record")</f>
        <v/>
      </c>
      <c r="AU1253" t="inlineStr">
        <is>
          <t>18868901:eng</t>
        </is>
      </c>
      <c r="AV1253" t="inlineStr">
        <is>
          <t>18780309</t>
        </is>
      </c>
      <c r="AW1253" t="inlineStr">
        <is>
          <t>991001394289702656</t>
        </is>
      </c>
      <c r="AX1253" t="inlineStr">
        <is>
          <t>991001394289702656</t>
        </is>
      </c>
      <c r="AY1253" t="inlineStr">
        <is>
          <t>2260418100002656</t>
        </is>
      </c>
      <c r="AZ1253" t="inlineStr">
        <is>
          <t>BOOK</t>
        </is>
      </c>
      <c r="BB1253" t="inlineStr">
        <is>
          <t>9780894537424</t>
        </is>
      </c>
      <c r="BC1253" t="inlineStr">
        <is>
          <t>32285000010453</t>
        </is>
      </c>
      <c r="BD1253" t="inlineStr">
        <is>
          <t>893797549</t>
        </is>
      </c>
    </row>
    <row r="1254">
      <c r="A1254" t="inlineStr">
        <is>
          <t>No</t>
        </is>
      </c>
      <c r="B1254" t="inlineStr">
        <is>
          <t>BT819.5 .H55 1992</t>
        </is>
      </c>
      <c r="C1254" t="inlineStr">
        <is>
          <t>0                      BT 0819500H  55          1992</t>
        </is>
      </c>
      <c r="D1254" t="inlineStr">
        <is>
          <t>Regnum caelorum : patterns of future hope in early Christianity / Charles E. Hill.</t>
        </is>
      </c>
      <c r="F1254" t="inlineStr">
        <is>
          <t>No</t>
        </is>
      </c>
      <c r="G1254" t="inlineStr">
        <is>
          <t>1</t>
        </is>
      </c>
      <c r="H1254" t="inlineStr">
        <is>
          <t>No</t>
        </is>
      </c>
      <c r="I1254" t="inlineStr">
        <is>
          <t>No</t>
        </is>
      </c>
      <c r="J1254" t="inlineStr">
        <is>
          <t>0</t>
        </is>
      </c>
      <c r="K1254" t="inlineStr">
        <is>
          <t>Hill, Charles E. (Charles Evan), 1956-</t>
        </is>
      </c>
      <c r="L1254" t="inlineStr">
        <is>
          <t>Oxford : Clarendon Press ; New York : Oxford University Press, 1992.</t>
        </is>
      </c>
      <c r="M1254" t="inlineStr">
        <is>
          <t>1992</t>
        </is>
      </c>
      <c r="O1254" t="inlineStr">
        <is>
          <t>eng</t>
        </is>
      </c>
      <c r="P1254" t="inlineStr">
        <is>
          <t>enk</t>
        </is>
      </c>
      <c r="Q1254" t="inlineStr">
        <is>
          <t>Oxford early Christian studies</t>
        </is>
      </c>
      <c r="R1254" t="inlineStr">
        <is>
          <t xml:space="preserve">BT </t>
        </is>
      </c>
      <c r="S1254" t="n">
        <v>6</v>
      </c>
      <c r="T1254" t="n">
        <v>6</v>
      </c>
      <c r="U1254" t="inlineStr">
        <is>
          <t>1999-06-05</t>
        </is>
      </c>
      <c r="V1254" t="inlineStr">
        <is>
          <t>1999-06-05</t>
        </is>
      </c>
      <c r="W1254" t="inlineStr">
        <is>
          <t>1992-11-20</t>
        </is>
      </c>
      <c r="X1254" t="inlineStr">
        <is>
          <t>1992-11-20</t>
        </is>
      </c>
      <c r="Y1254" t="n">
        <v>394</v>
      </c>
      <c r="Z1254" t="n">
        <v>322</v>
      </c>
      <c r="AA1254" t="n">
        <v>324</v>
      </c>
      <c r="AB1254" t="n">
        <v>1</v>
      </c>
      <c r="AC1254" t="n">
        <v>1</v>
      </c>
      <c r="AD1254" t="n">
        <v>28</v>
      </c>
      <c r="AE1254" t="n">
        <v>28</v>
      </c>
      <c r="AF1254" t="n">
        <v>11</v>
      </c>
      <c r="AG1254" t="n">
        <v>11</v>
      </c>
      <c r="AH1254" t="n">
        <v>7</v>
      </c>
      <c r="AI1254" t="n">
        <v>7</v>
      </c>
      <c r="AJ1254" t="n">
        <v>20</v>
      </c>
      <c r="AK1254" t="n">
        <v>20</v>
      </c>
      <c r="AL1254" t="n">
        <v>0</v>
      </c>
      <c r="AM1254" t="n">
        <v>0</v>
      </c>
      <c r="AN1254" t="n">
        <v>0</v>
      </c>
      <c r="AO1254" t="n">
        <v>0</v>
      </c>
      <c r="AP1254" t="inlineStr">
        <is>
          <t>No</t>
        </is>
      </c>
      <c r="AQ1254" t="inlineStr">
        <is>
          <t>Yes</t>
        </is>
      </c>
      <c r="AR1254">
        <f>HYPERLINK("http://catalog.hathitrust.org/Record/002571907","HathiTrust Record")</f>
        <v/>
      </c>
      <c r="AS1254">
        <f>HYPERLINK("https://creighton-primo.hosted.exlibrisgroup.com/primo-explore/search?tab=default_tab&amp;search_scope=EVERYTHING&amp;vid=01CRU&amp;lang=en_US&amp;offset=0&amp;query=any,contains,991001947479702656","Catalog Record")</f>
        <v/>
      </c>
      <c r="AT1254">
        <f>HYPERLINK("http://www.worldcat.org/oclc/24627055","WorldCat Record")</f>
        <v/>
      </c>
      <c r="AU1254" t="inlineStr">
        <is>
          <t>26959905:eng</t>
        </is>
      </c>
      <c r="AV1254" t="inlineStr">
        <is>
          <t>24627055</t>
        </is>
      </c>
      <c r="AW1254" t="inlineStr">
        <is>
          <t>991001947479702656</t>
        </is>
      </c>
      <c r="AX1254" t="inlineStr">
        <is>
          <t>991001947479702656</t>
        </is>
      </c>
      <c r="AY1254" t="inlineStr">
        <is>
          <t>2259856980002656</t>
        </is>
      </c>
      <c r="AZ1254" t="inlineStr">
        <is>
          <t>BOOK</t>
        </is>
      </c>
      <c r="BB1254" t="inlineStr">
        <is>
          <t>9780198267386</t>
        </is>
      </c>
      <c r="BC1254" t="inlineStr">
        <is>
          <t>32285001363695</t>
        </is>
      </c>
      <c r="BD1254" t="inlineStr">
        <is>
          <t>893510103</t>
        </is>
      </c>
    </row>
    <row r="1255">
      <c r="A1255" t="inlineStr">
        <is>
          <t>No</t>
        </is>
      </c>
      <c r="B1255" t="inlineStr">
        <is>
          <t>BT819.5 .K63 1992</t>
        </is>
      </c>
      <c r="C1255" t="inlineStr">
        <is>
          <t>0                      BT 0819500K  63          1992</t>
        </is>
      </c>
      <c r="D1255" t="inlineStr">
        <is>
          <t>Living at the end of the ages : apocalyptic expectation in the radical reformation / Walter Klaassen.</t>
        </is>
      </c>
      <c r="F1255" t="inlineStr">
        <is>
          <t>No</t>
        </is>
      </c>
      <c r="G1255" t="inlineStr">
        <is>
          <t>1</t>
        </is>
      </c>
      <c r="H1255" t="inlineStr">
        <is>
          <t>No</t>
        </is>
      </c>
      <c r="I1255" t="inlineStr">
        <is>
          <t>No</t>
        </is>
      </c>
      <c r="J1255" t="inlineStr">
        <is>
          <t>0</t>
        </is>
      </c>
      <c r="K1255" t="inlineStr">
        <is>
          <t>Klaassen, Walter, 1926-</t>
        </is>
      </c>
      <c r="L1255" t="inlineStr">
        <is>
          <t>Lanham, Md. : University Press of America ; Waterloo, Ontario : Institute for Anabaptist and Mennonite Studies, Conrad Grebel College, c1992.</t>
        </is>
      </c>
      <c r="M1255" t="inlineStr">
        <is>
          <t>1992</t>
        </is>
      </c>
      <c r="O1255" t="inlineStr">
        <is>
          <t>eng</t>
        </is>
      </c>
      <c r="P1255" t="inlineStr">
        <is>
          <t>mdu</t>
        </is>
      </c>
      <c r="R1255" t="inlineStr">
        <is>
          <t xml:space="preserve">BT </t>
        </is>
      </c>
      <c r="S1255" t="n">
        <v>4</v>
      </c>
      <c r="T1255" t="n">
        <v>4</v>
      </c>
      <c r="U1255" t="inlineStr">
        <is>
          <t>2006-01-30</t>
        </is>
      </c>
      <c r="V1255" t="inlineStr">
        <is>
          <t>2006-01-30</t>
        </is>
      </c>
      <c r="W1255" t="inlineStr">
        <is>
          <t>1994-02-08</t>
        </is>
      </c>
      <c r="X1255" t="inlineStr">
        <is>
          <t>1994-02-08</t>
        </is>
      </c>
      <c r="Y1255" t="n">
        <v>231</v>
      </c>
      <c r="Z1255" t="n">
        <v>167</v>
      </c>
      <c r="AA1255" t="n">
        <v>170</v>
      </c>
      <c r="AB1255" t="n">
        <v>2</v>
      </c>
      <c r="AC1255" t="n">
        <v>2</v>
      </c>
      <c r="AD1255" t="n">
        <v>9</v>
      </c>
      <c r="AE1255" t="n">
        <v>9</v>
      </c>
      <c r="AF1255" t="n">
        <v>4</v>
      </c>
      <c r="AG1255" t="n">
        <v>4</v>
      </c>
      <c r="AH1255" t="n">
        <v>0</v>
      </c>
      <c r="AI1255" t="n">
        <v>0</v>
      </c>
      <c r="AJ1255" t="n">
        <v>6</v>
      </c>
      <c r="AK1255" t="n">
        <v>6</v>
      </c>
      <c r="AL1255" t="n">
        <v>1</v>
      </c>
      <c r="AM1255" t="n">
        <v>1</v>
      </c>
      <c r="AN1255" t="n">
        <v>0</v>
      </c>
      <c r="AO1255" t="n">
        <v>0</v>
      </c>
      <c r="AP1255" t="inlineStr">
        <is>
          <t>No</t>
        </is>
      </c>
      <c r="AQ1255" t="inlineStr">
        <is>
          <t>Yes</t>
        </is>
      </c>
      <c r="AR1255">
        <f>HYPERLINK("http://catalog.hathitrust.org/Record/002560837","HathiTrust Record")</f>
        <v/>
      </c>
      <c r="AS1255">
        <f>HYPERLINK("https://creighton-primo.hosted.exlibrisgroup.com/primo-explore/search?tab=default_tab&amp;search_scope=EVERYTHING&amp;vid=01CRU&amp;lang=en_US&amp;offset=0&amp;query=any,contains,991001948599702656","Catalog Record")</f>
        <v/>
      </c>
      <c r="AT1255">
        <f>HYPERLINK("http://www.worldcat.org/oclc/24628877","WorldCat Record")</f>
        <v/>
      </c>
      <c r="AU1255" t="inlineStr">
        <is>
          <t>891103645:eng</t>
        </is>
      </c>
      <c r="AV1255" t="inlineStr">
        <is>
          <t>24628877</t>
        </is>
      </c>
      <c r="AW1255" t="inlineStr">
        <is>
          <t>991001948599702656</t>
        </is>
      </c>
      <c r="AX1255" t="inlineStr">
        <is>
          <t>991001948599702656</t>
        </is>
      </c>
      <c r="AY1255" t="inlineStr">
        <is>
          <t>2260964630002656</t>
        </is>
      </c>
      <c r="AZ1255" t="inlineStr">
        <is>
          <t>BOOK</t>
        </is>
      </c>
      <c r="BB1255" t="inlineStr">
        <is>
          <t>9780819185068</t>
        </is>
      </c>
      <c r="BC1255" t="inlineStr">
        <is>
          <t>32285001840783</t>
        </is>
      </c>
      <c r="BD1255" t="inlineStr">
        <is>
          <t>893232408</t>
        </is>
      </c>
    </row>
    <row r="1256">
      <c r="A1256" t="inlineStr">
        <is>
          <t>No</t>
        </is>
      </c>
      <c r="B1256" t="inlineStr">
        <is>
          <t>BT819.5 .S94 1988</t>
        </is>
      </c>
      <c r="C1256" t="inlineStr">
        <is>
          <t>0                      BT 0819500S  94          1988</t>
        </is>
      </c>
      <c r="D1256" t="inlineStr">
        <is>
          <t>Rethinking realized eschatology / Clayton Sullivan.</t>
        </is>
      </c>
      <c r="F1256" t="inlineStr">
        <is>
          <t>No</t>
        </is>
      </c>
      <c r="G1256" t="inlineStr">
        <is>
          <t>1</t>
        </is>
      </c>
      <c r="H1256" t="inlineStr">
        <is>
          <t>No</t>
        </is>
      </c>
      <c r="I1256" t="inlineStr">
        <is>
          <t>No</t>
        </is>
      </c>
      <c r="J1256" t="inlineStr">
        <is>
          <t>0</t>
        </is>
      </c>
      <c r="K1256" t="inlineStr">
        <is>
          <t>Sullivan, Clayton, 1930-</t>
        </is>
      </c>
      <c r="L1256" t="inlineStr">
        <is>
          <t>[Macon, Ga.] : Mercer : Peeters, c1988.</t>
        </is>
      </c>
      <c r="M1256" t="inlineStr">
        <is>
          <t>1988</t>
        </is>
      </c>
      <c r="O1256" t="inlineStr">
        <is>
          <t>eng</t>
        </is>
      </c>
      <c r="P1256" t="inlineStr">
        <is>
          <t>gau</t>
        </is>
      </c>
      <c r="R1256" t="inlineStr">
        <is>
          <t xml:space="preserve">BT </t>
        </is>
      </c>
      <c r="S1256" t="n">
        <v>1</v>
      </c>
      <c r="T1256" t="n">
        <v>1</v>
      </c>
      <c r="U1256" t="inlineStr">
        <is>
          <t>1998-11-27</t>
        </is>
      </c>
      <c r="V1256" t="inlineStr">
        <is>
          <t>1998-11-27</t>
        </is>
      </c>
      <c r="W1256" t="inlineStr">
        <is>
          <t>1991-10-21</t>
        </is>
      </c>
      <c r="X1256" t="inlineStr">
        <is>
          <t>1991-10-21</t>
        </is>
      </c>
      <c r="Y1256" t="n">
        <v>336</v>
      </c>
      <c r="Z1256" t="n">
        <v>287</v>
      </c>
      <c r="AA1256" t="n">
        <v>287</v>
      </c>
      <c r="AB1256" t="n">
        <v>3</v>
      </c>
      <c r="AC1256" t="n">
        <v>3</v>
      </c>
      <c r="AD1256" t="n">
        <v>21</v>
      </c>
      <c r="AE1256" t="n">
        <v>21</v>
      </c>
      <c r="AF1256" t="n">
        <v>9</v>
      </c>
      <c r="AG1256" t="n">
        <v>9</v>
      </c>
      <c r="AH1256" t="n">
        <v>4</v>
      </c>
      <c r="AI1256" t="n">
        <v>4</v>
      </c>
      <c r="AJ1256" t="n">
        <v>13</v>
      </c>
      <c r="AK1256" t="n">
        <v>13</v>
      </c>
      <c r="AL1256" t="n">
        <v>2</v>
      </c>
      <c r="AM1256" t="n">
        <v>2</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HYPERLINK("https://creighton-primo.hosted.exlibrisgroup.com/primo-explore/search?tab=default_tab&amp;search_scope=EVERYTHING&amp;vid=01CRU&amp;lang=en_US&amp;offset=0&amp;query=any,contains,991001262769702656","Catalog Record")</f>
        <v/>
      </c>
      <c r="AT1256">
        <f>HYPERLINK("http://www.worldcat.org/oclc/17775348","WorldCat Record")</f>
        <v/>
      </c>
      <c r="AU1256" t="inlineStr">
        <is>
          <t>16678786:eng</t>
        </is>
      </c>
      <c r="AV1256" t="inlineStr">
        <is>
          <t>17775348</t>
        </is>
      </c>
      <c r="AW1256" t="inlineStr">
        <is>
          <t>991001262769702656</t>
        </is>
      </c>
      <c r="AX1256" t="inlineStr">
        <is>
          <t>991001262769702656</t>
        </is>
      </c>
      <c r="AY1256" t="inlineStr">
        <is>
          <t>2271409300002656</t>
        </is>
      </c>
      <c r="AZ1256" t="inlineStr">
        <is>
          <t>BOOK</t>
        </is>
      </c>
      <c r="BB1256" t="inlineStr">
        <is>
          <t>9780865543027</t>
        </is>
      </c>
      <c r="BC1256" t="inlineStr">
        <is>
          <t>32285000806934</t>
        </is>
      </c>
      <c r="BD1256" t="inlineStr">
        <is>
          <t>893439017</t>
        </is>
      </c>
    </row>
    <row r="1257">
      <c r="A1257" t="inlineStr">
        <is>
          <t>No</t>
        </is>
      </c>
      <c r="B1257" t="inlineStr">
        <is>
          <t>BT82 .F6713 1995</t>
        </is>
      </c>
      <c r="C1257" t="inlineStr">
        <is>
          <t>0                      BT 0082000F  6713        1995</t>
        </is>
      </c>
      <c r="D1257" t="inlineStr">
        <is>
          <t>The essence of Christianity : the hermeneutical question in the Protestant and modernist debate (1897-1904) / Guglielmo Forni Rosa ; translated from the Italian by Marisa Luciani and Jane Stevenson.</t>
        </is>
      </c>
      <c r="F1257" t="inlineStr">
        <is>
          <t>No</t>
        </is>
      </c>
      <c r="G1257" t="inlineStr">
        <is>
          <t>1</t>
        </is>
      </c>
      <c r="H1257" t="inlineStr">
        <is>
          <t>No</t>
        </is>
      </c>
      <c r="I1257" t="inlineStr">
        <is>
          <t>No</t>
        </is>
      </c>
      <c r="J1257" t="inlineStr">
        <is>
          <t>0</t>
        </is>
      </c>
      <c r="K1257" t="inlineStr">
        <is>
          <t>Forni, Guglielmo.</t>
        </is>
      </c>
      <c r="L1257" t="inlineStr">
        <is>
          <t>Atlanta, Ga. : Scholars Press, c1995.</t>
        </is>
      </c>
      <c r="M1257" t="inlineStr">
        <is>
          <t>1995</t>
        </is>
      </c>
      <c r="O1257" t="inlineStr">
        <is>
          <t>eng</t>
        </is>
      </c>
      <c r="P1257" t="inlineStr">
        <is>
          <t>gau</t>
        </is>
      </c>
      <c r="Q1257" t="inlineStr">
        <is>
          <t>University of South Florida international studies in formative Christianity and Judaism ; v. 3</t>
        </is>
      </c>
      <c r="R1257" t="inlineStr">
        <is>
          <t xml:space="preserve">BT </t>
        </is>
      </c>
      <c r="S1257" t="n">
        <v>1</v>
      </c>
      <c r="T1257" t="n">
        <v>1</v>
      </c>
      <c r="U1257" t="inlineStr">
        <is>
          <t>2006-11-07</t>
        </is>
      </c>
      <c r="V1257" t="inlineStr">
        <is>
          <t>2006-11-07</t>
        </is>
      </c>
      <c r="W1257" t="inlineStr">
        <is>
          <t>1999-10-28</t>
        </is>
      </c>
      <c r="X1257" t="inlineStr">
        <is>
          <t>1999-10-28</t>
        </is>
      </c>
      <c r="Y1257" t="n">
        <v>131</v>
      </c>
      <c r="Z1257" t="n">
        <v>106</v>
      </c>
      <c r="AA1257" t="n">
        <v>106</v>
      </c>
      <c r="AB1257" t="n">
        <v>1</v>
      </c>
      <c r="AC1257" t="n">
        <v>1</v>
      </c>
      <c r="AD1257" t="n">
        <v>5</v>
      </c>
      <c r="AE1257" t="n">
        <v>5</v>
      </c>
      <c r="AF1257" t="n">
        <v>0</v>
      </c>
      <c r="AG1257" t="n">
        <v>0</v>
      </c>
      <c r="AH1257" t="n">
        <v>2</v>
      </c>
      <c r="AI1257" t="n">
        <v>2</v>
      </c>
      <c r="AJ1257" t="n">
        <v>4</v>
      </c>
      <c r="AK1257" t="n">
        <v>4</v>
      </c>
      <c r="AL1257" t="n">
        <v>0</v>
      </c>
      <c r="AM1257" t="n">
        <v>0</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HYPERLINK("https://creighton-primo.hosted.exlibrisgroup.com/primo-explore/search?tab=default_tab&amp;search_scope=EVERYTHING&amp;vid=01CRU&amp;lang=en_US&amp;offset=0&amp;query=any,contains,991002513619702656","Catalog Record")</f>
        <v/>
      </c>
      <c r="AT1257">
        <f>HYPERLINK("http://www.worldcat.org/oclc/32697637","WorldCat Record")</f>
        <v/>
      </c>
      <c r="AU1257" t="inlineStr">
        <is>
          <t>37335224:eng</t>
        </is>
      </c>
      <c r="AV1257" t="inlineStr">
        <is>
          <t>32697637</t>
        </is>
      </c>
      <c r="AW1257" t="inlineStr">
        <is>
          <t>991002513619702656</t>
        </is>
      </c>
      <c r="AX1257" t="inlineStr">
        <is>
          <t>991002513619702656</t>
        </is>
      </c>
      <c r="AY1257" t="inlineStr">
        <is>
          <t>2264935730002656</t>
        </is>
      </c>
      <c r="AZ1257" t="inlineStr">
        <is>
          <t>BOOK</t>
        </is>
      </c>
      <c r="BB1257" t="inlineStr">
        <is>
          <t>9780788501388</t>
        </is>
      </c>
      <c r="BC1257" t="inlineStr">
        <is>
          <t>32285003615928</t>
        </is>
      </c>
      <c r="BD1257" t="inlineStr">
        <is>
          <t>893892655</t>
        </is>
      </c>
    </row>
    <row r="1258">
      <c r="A1258" t="inlineStr">
        <is>
          <t>No</t>
        </is>
      </c>
      <c r="B1258" t="inlineStr">
        <is>
          <t>BT82.2 .B78 1991</t>
        </is>
      </c>
      <c r="C1258" t="inlineStr">
        <is>
          <t>0                      BT 0082200B  78          1991</t>
        </is>
      </c>
      <c r="D1258" t="inlineStr">
        <is>
          <t>Chapter and verse : a skeptic revisits Christianity / Mike Bryan.</t>
        </is>
      </c>
      <c r="F1258" t="inlineStr">
        <is>
          <t>No</t>
        </is>
      </c>
      <c r="G1258" t="inlineStr">
        <is>
          <t>1</t>
        </is>
      </c>
      <c r="H1258" t="inlineStr">
        <is>
          <t>No</t>
        </is>
      </c>
      <c r="I1258" t="inlineStr">
        <is>
          <t>No</t>
        </is>
      </c>
      <c r="J1258" t="inlineStr">
        <is>
          <t>0</t>
        </is>
      </c>
      <c r="K1258" t="inlineStr">
        <is>
          <t>Bryan, Mike.</t>
        </is>
      </c>
      <c r="L1258" t="inlineStr">
        <is>
          <t>New York : Random House, c1991.</t>
        </is>
      </c>
      <c r="M1258" t="inlineStr">
        <is>
          <t>1991</t>
        </is>
      </c>
      <c r="N1258" t="inlineStr">
        <is>
          <t>1st ed.</t>
        </is>
      </c>
      <c r="O1258" t="inlineStr">
        <is>
          <t>eng</t>
        </is>
      </c>
      <c r="P1258" t="inlineStr">
        <is>
          <t>nyu</t>
        </is>
      </c>
      <c r="R1258" t="inlineStr">
        <is>
          <t xml:space="preserve">BT </t>
        </is>
      </c>
      <c r="S1258" t="n">
        <v>3</v>
      </c>
      <c r="T1258" t="n">
        <v>3</v>
      </c>
      <c r="U1258" t="inlineStr">
        <is>
          <t>2001-11-05</t>
        </is>
      </c>
      <c r="V1258" t="inlineStr">
        <is>
          <t>2001-11-05</t>
        </is>
      </c>
      <c r="W1258" t="inlineStr">
        <is>
          <t>1991-09-27</t>
        </is>
      </c>
      <c r="X1258" t="inlineStr">
        <is>
          <t>1991-09-27</t>
        </is>
      </c>
      <c r="Y1258" t="n">
        <v>374</v>
      </c>
      <c r="Z1258" t="n">
        <v>351</v>
      </c>
      <c r="AA1258" t="n">
        <v>388</v>
      </c>
      <c r="AB1258" t="n">
        <v>2</v>
      </c>
      <c r="AC1258" t="n">
        <v>2</v>
      </c>
      <c r="AD1258" t="n">
        <v>15</v>
      </c>
      <c r="AE1258" t="n">
        <v>15</v>
      </c>
      <c r="AF1258" t="n">
        <v>4</v>
      </c>
      <c r="AG1258" t="n">
        <v>4</v>
      </c>
      <c r="AH1258" t="n">
        <v>3</v>
      </c>
      <c r="AI1258" t="n">
        <v>3</v>
      </c>
      <c r="AJ1258" t="n">
        <v>12</v>
      </c>
      <c r="AK1258" t="n">
        <v>12</v>
      </c>
      <c r="AL1258" t="n">
        <v>1</v>
      </c>
      <c r="AM1258" t="n">
        <v>1</v>
      </c>
      <c r="AN1258" t="n">
        <v>0</v>
      </c>
      <c r="AO1258" t="n">
        <v>0</v>
      </c>
      <c r="AP1258" t="inlineStr">
        <is>
          <t>No</t>
        </is>
      </c>
      <c r="AQ1258" t="inlineStr">
        <is>
          <t>Yes</t>
        </is>
      </c>
      <c r="AR1258">
        <f>HYPERLINK("http://catalog.hathitrust.org/Record/002461597","HathiTrust Record")</f>
        <v/>
      </c>
      <c r="AS1258">
        <f>HYPERLINK("https://creighton-primo.hosted.exlibrisgroup.com/primo-explore/search?tab=default_tab&amp;search_scope=EVERYTHING&amp;vid=01CRU&amp;lang=en_US&amp;offset=0&amp;query=any,contains,991001841349702656","Catalog Record")</f>
        <v/>
      </c>
      <c r="AT1258">
        <f>HYPERLINK("http://www.worldcat.org/oclc/23140594","WorldCat Record")</f>
        <v/>
      </c>
      <c r="AU1258" t="inlineStr">
        <is>
          <t>24636200:eng</t>
        </is>
      </c>
      <c r="AV1258" t="inlineStr">
        <is>
          <t>23140594</t>
        </is>
      </c>
      <c r="AW1258" t="inlineStr">
        <is>
          <t>991001841349702656</t>
        </is>
      </c>
      <c r="AX1258" t="inlineStr">
        <is>
          <t>991001841349702656</t>
        </is>
      </c>
      <c r="AY1258" t="inlineStr">
        <is>
          <t>2266719180002656</t>
        </is>
      </c>
      <c r="AZ1258" t="inlineStr">
        <is>
          <t>BOOK</t>
        </is>
      </c>
      <c r="BB1258" t="inlineStr">
        <is>
          <t>9780394575094</t>
        </is>
      </c>
      <c r="BC1258" t="inlineStr">
        <is>
          <t>32285000725381</t>
        </is>
      </c>
      <c r="BD1258" t="inlineStr">
        <is>
          <t>893522905</t>
        </is>
      </c>
    </row>
    <row r="1259">
      <c r="A1259" t="inlineStr">
        <is>
          <t>No</t>
        </is>
      </c>
      <c r="B1259" t="inlineStr">
        <is>
          <t>BT82.2 .C37 1997</t>
        </is>
      </c>
      <c r="C1259" t="inlineStr">
        <is>
          <t>0                      BT 0082200C  37          1997</t>
        </is>
      </c>
      <c r="D1259" t="inlineStr">
        <is>
          <t>Revive us again : the reawakening of American Fundamentalism / Joel A. Carpenter.</t>
        </is>
      </c>
      <c r="F1259" t="inlineStr">
        <is>
          <t>No</t>
        </is>
      </c>
      <c r="G1259" t="inlineStr">
        <is>
          <t>1</t>
        </is>
      </c>
      <c r="H1259" t="inlineStr">
        <is>
          <t>No</t>
        </is>
      </c>
      <c r="I1259" t="inlineStr">
        <is>
          <t>No</t>
        </is>
      </c>
      <c r="J1259" t="inlineStr">
        <is>
          <t>0</t>
        </is>
      </c>
      <c r="K1259" t="inlineStr">
        <is>
          <t>Carpenter, Joel A.</t>
        </is>
      </c>
      <c r="L1259" t="inlineStr">
        <is>
          <t>New York : Oxford University Press, 1997.</t>
        </is>
      </c>
      <c r="M1259" t="inlineStr">
        <is>
          <t>1997</t>
        </is>
      </c>
      <c r="O1259" t="inlineStr">
        <is>
          <t>eng</t>
        </is>
      </c>
      <c r="P1259" t="inlineStr">
        <is>
          <t>nyu</t>
        </is>
      </c>
      <c r="R1259" t="inlineStr">
        <is>
          <t xml:space="preserve">BT </t>
        </is>
      </c>
      <c r="S1259" t="n">
        <v>3</v>
      </c>
      <c r="T1259" t="n">
        <v>3</v>
      </c>
      <c r="U1259" t="inlineStr">
        <is>
          <t>2006-01-19</t>
        </is>
      </c>
      <c r="V1259" t="inlineStr">
        <is>
          <t>2006-01-19</t>
        </is>
      </c>
      <c r="W1259" t="inlineStr">
        <is>
          <t>1998-01-07</t>
        </is>
      </c>
      <c r="X1259" t="inlineStr">
        <is>
          <t>1998-01-07</t>
        </is>
      </c>
      <c r="Y1259" t="n">
        <v>884</v>
      </c>
      <c r="Z1259" t="n">
        <v>785</v>
      </c>
      <c r="AA1259" t="n">
        <v>961</v>
      </c>
      <c r="AB1259" t="n">
        <v>9</v>
      </c>
      <c r="AC1259" t="n">
        <v>10</v>
      </c>
      <c r="AD1259" t="n">
        <v>36</v>
      </c>
      <c r="AE1259" t="n">
        <v>39</v>
      </c>
      <c r="AF1259" t="n">
        <v>12</v>
      </c>
      <c r="AG1259" t="n">
        <v>13</v>
      </c>
      <c r="AH1259" t="n">
        <v>7</v>
      </c>
      <c r="AI1259" t="n">
        <v>8</v>
      </c>
      <c r="AJ1259" t="n">
        <v>16</v>
      </c>
      <c r="AK1259" t="n">
        <v>16</v>
      </c>
      <c r="AL1259" t="n">
        <v>8</v>
      </c>
      <c r="AM1259" t="n">
        <v>9</v>
      </c>
      <c r="AN1259" t="n">
        <v>0</v>
      </c>
      <c r="AO1259" t="n">
        <v>0</v>
      </c>
      <c r="AP1259" t="inlineStr">
        <is>
          <t>No</t>
        </is>
      </c>
      <c r="AQ1259" t="inlineStr">
        <is>
          <t>Yes</t>
        </is>
      </c>
      <c r="AR1259">
        <f>HYPERLINK("http://catalog.hathitrust.org/Record/003946062","HathiTrust Record")</f>
        <v/>
      </c>
      <c r="AS1259">
        <f>HYPERLINK("https://creighton-primo.hosted.exlibrisgroup.com/primo-explore/search?tab=default_tab&amp;search_scope=EVERYTHING&amp;vid=01CRU&amp;lang=en_US&amp;offset=0&amp;query=any,contains,991002791599702656","Catalog Record")</f>
        <v/>
      </c>
      <c r="AT1259">
        <f>HYPERLINK("http://www.worldcat.org/oclc/36656536","WorldCat Record")</f>
        <v/>
      </c>
      <c r="AU1259" t="inlineStr">
        <is>
          <t>596713:eng</t>
        </is>
      </c>
      <c r="AV1259" t="inlineStr">
        <is>
          <t>36656536</t>
        </is>
      </c>
      <c r="AW1259" t="inlineStr">
        <is>
          <t>991002791599702656</t>
        </is>
      </c>
      <c r="AX1259" t="inlineStr">
        <is>
          <t>991002791599702656</t>
        </is>
      </c>
      <c r="AY1259" t="inlineStr">
        <is>
          <t>2265559780002656</t>
        </is>
      </c>
      <c r="AZ1259" t="inlineStr">
        <is>
          <t>BOOK</t>
        </is>
      </c>
      <c r="BB1259" t="inlineStr">
        <is>
          <t>9780195057904</t>
        </is>
      </c>
      <c r="BC1259" t="inlineStr">
        <is>
          <t>32285003301800</t>
        </is>
      </c>
      <c r="BD1259" t="inlineStr">
        <is>
          <t>893774024</t>
        </is>
      </c>
    </row>
    <row r="1260">
      <c r="A1260" t="inlineStr">
        <is>
          <t>No</t>
        </is>
      </c>
      <c r="B1260" t="inlineStr">
        <is>
          <t>BT82.2 .C6 1971</t>
        </is>
      </c>
      <c r="C1260" t="inlineStr">
        <is>
          <t>0                      BT 0082200C  6           1971</t>
        </is>
      </c>
      <c r="D1260" t="inlineStr">
        <is>
          <t>The history of fundamentalism, by Stewart G. Cole. --</t>
        </is>
      </c>
      <c r="F1260" t="inlineStr">
        <is>
          <t>No</t>
        </is>
      </c>
      <c r="G1260" t="inlineStr">
        <is>
          <t>1</t>
        </is>
      </c>
      <c r="H1260" t="inlineStr">
        <is>
          <t>No</t>
        </is>
      </c>
      <c r="I1260" t="inlineStr">
        <is>
          <t>No</t>
        </is>
      </c>
      <c r="J1260" t="inlineStr">
        <is>
          <t>0</t>
        </is>
      </c>
      <c r="K1260" t="inlineStr">
        <is>
          <t>Cole, Stewart G. (Stewart Grant), 1892-1980.</t>
        </is>
      </c>
      <c r="L1260" t="inlineStr">
        <is>
          <t>Westport, Conn., Greenwood Press [1971, c1931]</t>
        </is>
      </c>
      <c r="M1260" t="inlineStr">
        <is>
          <t>1971</t>
        </is>
      </c>
      <c r="O1260" t="inlineStr">
        <is>
          <t>eng</t>
        </is>
      </c>
      <c r="P1260" t="inlineStr">
        <is>
          <t>ctu</t>
        </is>
      </c>
      <c r="R1260" t="inlineStr">
        <is>
          <t xml:space="preserve">BT </t>
        </is>
      </c>
      <c r="S1260" t="n">
        <v>9</v>
      </c>
      <c r="T1260" t="n">
        <v>9</v>
      </c>
      <c r="U1260" t="inlineStr">
        <is>
          <t>1998-07-29</t>
        </is>
      </c>
      <c r="V1260" t="inlineStr">
        <is>
          <t>1998-07-29</t>
        </is>
      </c>
      <c r="W1260" t="inlineStr">
        <is>
          <t>1991-06-24</t>
        </is>
      </c>
      <c r="X1260" t="inlineStr">
        <is>
          <t>1991-06-24</t>
        </is>
      </c>
      <c r="Y1260" t="n">
        <v>286</v>
      </c>
      <c r="Z1260" t="n">
        <v>243</v>
      </c>
      <c r="AA1260" t="n">
        <v>622</v>
      </c>
      <c r="AB1260" t="n">
        <v>2</v>
      </c>
      <c r="AC1260" t="n">
        <v>3</v>
      </c>
      <c r="AD1260" t="n">
        <v>8</v>
      </c>
      <c r="AE1260" t="n">
        <v>22</v>
      </c>
      <c r="AF1260" t="n">
        <v>3</v>
      </c>
      <c r="AG1260" t="n">
        <v>7</v>
      </c>
      <c r="AH1260" t="n">
        <v>4</v>
      </c>
      <c r="AI1260" t="n">
        <v>8</v>
      </c>
      <c r="AJ1260" t="n">
        <v>3</v>
      </c>
      <c r="AK1260" t="n">
        <v>11</v>
      </c>
      <c r="AL1260" t="n">
        <v>1</v>
      </c>
      <c r="AM1260" t="n">
        <v>2</v>
      </c>
      <c r="AN1260" t="n">
        <v>0</v>
      </c>
      <c r="AO1260" t="n">
        <v>0</v>
      </c>
      <c r="AP1260" t="inlineStr">
        <is>
          <t>No</t>
        </is>
      </c>
      <c r="AQ1260" t="inlineStr">
        <is>
          <t>Yes</t>
        </is>
      </c>
      <c r="AR1260">
        <f>HYPERLINK("http://catalog.hathitrust.org/Record/006914484","HathiTrust Record")</f>
        <v/>
      </c>
      <c r="AS1260">
        <f>HYPERLINK("https://creighton-primo.hosted.exlibrisgroup.com/primo-explore/search?tab=default_tab&amp;search_scope=EVERYTHING&amp;vid=01CRU&amp;lang=en_US&amp;offset=0&amp;query=any,contains,991001221339702656","Catalog Record")</f>
        <v/>
      </c>
      <c r="AT1260">
        <f>HYPERLINK("http://www.worldcat.org/oclc/196995","WorldCat Record")</f>
        <v/>
      </c>
      <c r="AU1260" t="inlineStr">
        <is>
          <t>578871131:eng</t>
        </is>
      </c>
      <c r="AV1260" t="inlineStr">
        <is>
          <t>196995</t>
        </is>
      </c>
      <c r="AW1260" t="inlineStr">
        <is>
          <t>991001221339702656</t>
        </is>
      </c>
      <c r="AX1260" t="inlineStr">
        <is>
          <t>991001221339702656</t>
        </is>
      </c>
      <c r="AY1260" t="inlineStr">
        <is>
          <t>2270314220002656</t>
        </is>
      </c>
      <c r="AZ1260" t="inlineStr">
        <is>
          <t>BOOK</t>
        </is>
      </c>
      <c r="BB1260" t="inlineStr">
        <is>
          <t>9780837156835</t>
        </is>
      </c>
      <c r="BC1260" t="inlineStr">
        <is>
          <t>32285000688936</t>
        </is>
      </c>
      <c r="BD1260" t="inlineStr">
        <is>
          <t>893897623</t>
        </is>
      </c>
    </row>
    <row r="1261">
      <c r="A1261" t="inlineStr">
        <is>
          <t>No</t>
        </is>
      </c>
      <c r="B1261" t="inlineStr">
        <is>
          <t>BT82.2 .F86 1988</t>
        </is>
      </c>
      <c r="C1261" t="inlineStr">
        <is>
          <t>0                      BT 0082200F  86          1988</t>
        </is>
      </c>
      <c r="D1261" t="inlineStr">
        <is>
          <t>The Fundamentals : a testimony to truth / edited with an introduction by George M. Marsden.</t>
        </is>
      </c>
      <c r="E1261" t="inlineStr">
        <is>
          <t>V.4</t>
        </is>
      </c>
      <c r="F1261" t="inlineStr">
        <is>
          <t>Yes</t>
        </is>
      </c>
      <c r="G1261" t="inlineStr">
        <is>
          <t>1</t>
        </is>
      </c>
      <c r="H1261" t="inlineStr">
        <is>
          <t>No</t>
        </is>
      </c>
      <c r="I1261" t="inlineStr">
        <is>
          <t>No</t>
        </is>
      </c>
      <c r="J1261" t="inlineStr">
        <is>
          <t>0</t>
        </is>
      </c>
      <c r="L1261" t="inlineStr">
        <is>
          <t>New York : Garland, 1988.</t>
        </is>
      </c>
      <c r="M1261" t="inlineStr">
        <is>
          <t>1988</t>
        </is>
      </c>
      <c r="O1261" t="inlineStr">
        <is>
          <t>eng</t>
        </is>
      </c>
      <c r="P1261" t="inlineStr">
        <is>
          <t>nyu</t>
        </is>
      </c>
      <c r="Q1261" t="inlineStr">
        <is>
          <t>Fundamentalism in American religion, 1880-1950 ; 14-17</t>
        </is>
      </c>
      <c r="R1261" t="inlineStr">
        <is>
          <t xml:space="preserve">BT </t>
        </is>
      </c>
      <c r="S1261" t="n">
        <v>5</v>
      </c>
      <c r="T1261" t="n">
        <v>15</v>
      </c>
      <c r="U1261" t="inlineStr">
        <is>
          <t>2001-10-08</t>
        </is>
      </c>
      <c r="V1261" t="inlineStr">
        <is>
          <t>2001-10-08</t>
        </is>
      </c>
      <c r="W1261" t="inlineStr">
        <is>
          <t>1992-03-06</t>
        </is>
      </c>
      <c r="X1261" t="inlineStr">
        <is>
          <t>1992-03-06</t>
        </is>
      </c>
      <c r="Y1261" t="n">
        <v>84</v>
      </c>
      <c r="Z1261" t="n">
        <v>73</v>
      </c>
      <c r="AA1261" t="n">
        <v>74</v>
      </c>
      <c r="AB1261" t="n">
        <v>2</v>
      </c>
      <c r="AC1261" t="n">
        <v>2</v>
      </c>
      <c r="AD1261" t="n">
        <v>4</v>
      </c>
      <c r="AE1261" t="n">
        <v>4</v>
      </c>
      <c r="AF1261" t="n">
        <v>2</v>
      </c>
      <c r="AG1261" t="n">
        <v>2</v>
      </c>
      <c r="AH1261" t="n">
        <v>0</v>
      </c>
      <c r="AI1261" t="n">
        <v>0</v>
      </c>
      <c r="AJ1261" t="n">
        <v>1</v>
      </c>
      <c r="AK1261" t="n">
        <v>1</v>
      </c>
      <c r="AL1261" t="n">
        <v>1</v>
      </c>
      <c r="AM1261" t="n">
        <v>1</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HYPERLINK("https://creighton-primo.hosted.exlibrisgroup.com/primo-explore/search?tab=default_tab&amp;search_scope=EVERYTHING&amp;vid=01CRU&amp;lang=en_US&amp;offset=0&amp;query=any,contains,991001328319702656","Catalog Record")</f>
        <v/>
      </c>
      <c r="AT1261">
        <f>HYPERLINK("http://www.worldcat.org/oclc/18291788","WorldCat Record")</f>
        <v/>
      </c>
      <c r="AU1261" t="inlineStr">
        <is>
          <t>4160037588:eng</t>
        </is>
      </c>
      <c r="AV1261" t="inlineStr">
        <is>
          <t>18291788</t>
        </is>
      </c>
      <c r="AW1261" t="inlineStr">
        <is>
          <t>991001328319702656</t>
        </is>
      </c>
      <c r="AX1261" t="inlineStr">
        <is>
          <t>991001328319702656</t>
        </is>
      </c>
      <c r="AY1261" t="inlineStr">
        <is>
          <t>2264528260002656</t>
        </is>
      </c>
      <c r="AZ1261" t="inlineStr">
        <is>
          <t>BOOK</t>
        </is>
      </c>
      <c r="BB1261" t="inlineStr">
        <is>
          <t>9780824050153</t>
        </is>
      </c>
      <c r="BC1261" t="inlineStr">
        <is>
          <t>32285000937903</t>
        </is>
      </c>
      <c r="BD1261" t="inlineStr">
        <is>
          <t>893328062</t>
        </is>
      </c>
    </row>
    <row r="1262">
      <c r="A1262" t="inlineStr">
        <is>
          <t>No</t>
        </is>
      </c>
      <c r="B1262" t="inlineStr">
        <is>
          <t>BT82.2 .F86 1988</t>
        </is>
      </c>
      <c r="C1262" t="inlineStr">
        <is>
          <t>0                      BT 0082200F  86          1988</t>
        </is>
      </c>
      <c r="D1262" t="inlineStr">
        <is>
          <t>The Fundamentals : a testimony to truth / edited with an introduction by George M. Marsden.</t>
        </is>
      </c>
      <c r="E1262" t="inlineStr">
        <is>
          <t>V.3</t>
        </is>
      </c>
      <c r="F1262" t="inlineStr">
        <is>
          <t>Yes</t>
        </is>
      </c>
      <c r="G1262" t="inlineStr">
        <is>
          <t>1</t>
        </is>
      </c>
      <c r="H1262" t="inlineStr">
        <is>
          <t>No</t>
        </is>
      </c>
      <c r="I1262" t="inlineStr">
        <is>
          <t>No</t>
        </is>
      </c>
      <c r="J1262" t="inlineStr">
        <is>
          <t>0</t>
        </is>
      </c>
      <c r="L1262" t="inlineStr">
        <is>
          <t>New York : Garland, 1988.</t>
        </is>
      </c>
      <c r="M1262" t="inlineStr">
        <is>
          <t>1988</t>
        </is>
      </c>
      <c r="O1262" t="inlineStr">
        <is>
          <t>eng</t>
        </is>
      </c>
      <c r="P1262" t="inlineStr">
        <is>
          <t>nyu</t>
        </is>
      </c>
      <c r="Q1262" t="inlineStr">
        <is>
          <t>Fundamentalism in American religion, 1880-1950 ; 14-17</t>
        </is>
      </c>
      <c r="R1262" t="inlineStr">
        <is>
          <t xml:space="preserve">BT </t>
        </is>
      </c>
      <c r="S1262" t="n">
        <v>2</v>
      </c>
      <c r="T1262" t="n">
        <v>15</v>
      </c>
      <c r="U1262" t="inlineStr">
        <is>
          <t>1998-07-29</t>
        </is>
      </c>
      <c r="V1262" t="inlineStr">
        <is>
          <t>2001-10-08</t>
        </is>
      </c>
      <c r="W1262" t="inlineStr">
        <is>
          <t>1992-03-06</t>
        </is>
      </c>
      <c r="X1262" t="inlineStr">
        <is>
          <t>1992-03-06</t>
        </is>
      </c>
      <c r="Y1262" t="n">
        <v>84</v>
      </c>
      <c r="Z1262" t="n">
        <v>73</v>
      </c>
      <c r="AA1262" t="n">
        <v>74</v>
      </c>
      <c r="AB1262" t="n">
        <v>2</v>
      </c>
      <c r="AC1262" t="n">
        <v>2</v>
      </c>
      <c r="AD1262" t="n">
        <v>4</v>
      </c>
      <c r="AE1262" t="n">
        <v>4</v>
      </c>
      <c r="AF1262" t="n">
        <v>2</v>
      </c>
      <c r="AG1262" t="n">
        <v>2</v>
      </c>
      <c r="AH1262" t="n">
        <v>0</v>
      </c>
      <c r="AI1262" t="n">
        <v>0</v>
      </c>
      <c r="AJ1262" t="n">
        <v>1</v>
      </c>
      <c r="AK1262" t="n">
        <v>1</v>
      </c>
      <c r="AL1262" t="n">
        <v>1</v>
      </c>
      <c r="AM1262" t="n">
        <v>1</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HYPERLINK("https://creighton-primo.hosted.exlibrisgroup.com/primo-explore/search?tab=default_tab&amp;search_scope=EVERYTHING&amp;vid=01CRU&amp;lang=en_US&amp;offset=0&amp;query=any,contains,991001328319702656","Catalog Record")</f>
        <v/>
      </c>
      <c r="AT1262">
        <f>HYPERLINK("http://www.worldcat.org/oclc/18291788","WorldCat Record")</f>
        <v/>
      </c>
      <c r="AU1262" t="inlineStr">
        <is>
          <t>4160037588:eng</t>
        </is>
      </c>
      <c r="AV1262" t="inlineStr">
        <is>
          <t>18291788</t>
        </is>
      </c>
      <c r="AW1262" t="inlineStr">
        <is>
          <t>991001328319702656</t>
        </is>
      </c>
      <c r="AX1262" t="inlineStr">
        <is>
          <t>991001328319702656</t>
        </is>
      </c>
      <c r="AY1262" t="inlineStr">
        <is>
          <t>2264528260002656</t>
        </is>
      </c>
      <c r="AZ1262" t="inlineStr">
        <is>
          <t>BOOK</t>
        </is>
      </c>
      <c r="BB1262" t="inlineStr">
        <is>
          <t>9780824050153</t>
        </is>
      </c>
      <c r="BC1262" t="inlineStr">
        <is>
          <t>32285000937895</t>
        </is>
      </c>
      <c r="BD1262" t="inlineStr">
        <is>
          <t>893340349</t>
        </is>
      </c>
    </row>
    <row r="1263">
      <c r="A1263" t="inlineStr">
        <is>
          <t>No</t>
        </is>
      </c>
      <c r="B1263" t="inlineStr">
        <is>
          <t>BT82.2 .F86 1988</t>
        </is>
      </c>
      <c r="C1263" t="inlineStr">
        <is>
          <t>0                      BT 0082200F  86          1988</t>
        </is>
      </c>
      <c r="D1263" t="inlineStr">
        <is>
          <t>The Fundamentals : a testimony to truth / edited with an introduction by George M. Marsden.</t>
        </is>
      </c>
      <c r="E1263" t="inlineStr">
        <is>
          <t>V.1</t>
        </is>
      </c>
      <c r="F1263" t="inlineStr">
        <is>
          <t>Yes</t>
        </is>
      </c>
      <c r="G1263" t="inlineStr">
        <is>
          <t>1</t>
        </is>
      </c>
      <c r="H1263" t="inlineStr">
        <is>
          <t>No</t>
        </is>
      </c>
      <c r="I1263" t="inlineStr">
        <is>
          <t>No</t>
        </is>
      </c>
      <c r="J1263" t="inlineStr">
        <is>
          <t>0</t>
        </is>
      </c>
      <c r="L1263" t="inlineStr">
        <is>
          <t>New York : Garland, 1988.</t>
        </is>
      </c>
      <c r="M1263" t="inlineStr">
        <is>
          <t>1988</t>
        </is>
      </c>
      <c r="O1263" t="inlineStr">
        <is>
          <t>eng</t>
        </is>
      </c>
      <c r="P1263" t="inlineStr">
        <is>
          <t>nyu</t>
        </is>
      </c>
      <c r="Q1263" t="inlineStr">
        <is>
          <t>Fundamentalism in American religion, 1880-1950 ; 14-17</t>
        </is>
      </c>
      <c r="R1263" t="inlineStr">
        <is>
          <t xml:space="preserve">BT </t>
        </is>
      </c>
      <c r="S1263" t="n">
        <v>5</v>
      </c>
      <c r="T1263" t="n">
        <v>15</v>
      </c>
      <c r="U1263" t="inlineStr">
        <is>
          <t>1998-07-29</t>
        </is>
      </c>
      <c r="V1263" t="inlineStr">
        <is>
          <t>2001-10-08</t>
        </is>
      </c>
      <c r="W1263" t="inlineStr">
        <is>
          <t>1992-03-06</t>
        </is>
      </c>
      <c r="X1263" t="inlineStr">
        <is>
          <t>1992-03-06</t>
        </is>
      </c>
      <c r="Y1263" t="n">
        <v>84</v>
      </c>
      <c r="Z1263" t="n">
        <v>73</v>
      </c>
      <c r="AA1263" t="n">
        <v>74</v>
      </c>
      <c r="AB1263" t="n">
        <v>2</v>
      </c>
      <c r="AC1263" t="n">
        <v>2</v>
      </c>
      <c r="AD1263" t="n">
        <v>4</v>
      </c>
      <c r="AE1263" t="n">
        <v>4</v>
      </c>
      <c r="AF1263" t="n">
        <v>2</v>
      </c>
      <c r="AG1263" t="n">
        <v>2</v>
      </c>
      <c r="AH1263" t="n">
        <v>0</v>
      </c>
      <c r="AI1263" t="n">
        <v>0</v>
      </c>
      <c r="AJ1263" t="n">
        <v>1</v>
      </c>
      <c r="AK1263" t="n">
        <v>1</v>
      </c>
      <c r="AL1263" t="n">
        <v>1</v>
      </c>
      <c r="AM1263" t="n">
        <v>1</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HYPERLINK("https://creighton-primo.hosted.exlibrisgroup.com/primo-explore/search?tab=default_tab&amp;search_scope=EVERYTHING&amp;vid=01CRU&amp;lang=en_US&amp;offset=0&amp;query=any,contains,991001328319702656","Catalog Record")</f>
        <v/>
      </c>
      <c r="AT1263">
        <f>HYPERLINK("http://www.worldcat.org/oclc/18291788","WorldCat Record")</f>
        <v/>
      </c>
      <c r="AU1263" t="inlineStr">
        <is>
          <t>4160037588:eng</t>
        </is>
      </c>
      <c r="AV1263" t="inlineStr">
        <is>
          <t>18291788</t>
        </is>
      </c>
      <c r="AW1263" t="inlineStr">
        <is>
          <t>991001328319702656</t>
        </is>
      </c>
      <c r="AX1263" t="inlineStr">
        <is>
          <t>991001328319702656</t>
        </is>
      </c>
      <c r="AY1263" t="inlineStr">
        <is>
          <t>2264528260002656</t>
        </is>
      </c>
      <c r="AZ1263" t="inlineStr">
        <is>
          <t>BOOK</t>
        </is>
      </c>
      <c r="BB1263" t="inlineStr">
        <is>
          <t>9780824050153</t>
        </is>
      </c>
      <c r="BC1263" t="inlineStr">
        <is>
          <t>32285000937879</t>
        </is>
      </c>
      <c r="BD1263" t="inlineStr">
        <is>
          <t>893321840</t>
        </is>
      </c>
    </row>
    <row r="1264">
      <c r="A1264" t="inlineStr">
        <is>
          <t>No</t>
        </is>
      </c>
      <c r="B1264" t="inlineStr">
        <is>
          <t>BT82.2 .F86 1988</t>
        </is>
      </c>
      <c r="C1264" t="inlineStr">
        <is>
          <t>0                      BT 0082200F  86          1988</t>
        </is>
      </c>
      <c r="D1264" t="inlineStr">
        <is>
          <t>The Fundamentals : a testimony to truth / edited with an introduction by George M. Marsden.</t>
        </is>
      </c>
      <c r="E1264" t="inlineStr">
        <is>
          <t>V.2</t>
        </is>
      </c>
      <c r="F1264" t="inlineStr">
        <is>
          <t>Yes</t>
        </is>
      </c>
      <c r="G1264" t="inlineStr">
        <is>
          <t>1</t>
        </is>
      </c>
      <c r="H1264" t="inlineStr">
        <is>
          <t>No</t>
        </is>
      </c>
      <c r="I1264" t="inlineStr">
        <is>
          <t>No</t>
        </is>
      </c>
      <c r="J1264" t="inlineStr">
        <is>
          <t>0</t>
        </is>
      </c>
      <c r="L1264" t="inlineStr">
        <is>
          <t>New York : Garland, 1988.</t>
        </is>
      </c>
      <c r="M1264" t="inlineStr">
        <is>
          <t>1988</t>
        </is>
      </c>
      <c r="O1264" t="inlineStr">
        <is>
          <t>eng</t>
        </is>
      </c>
      <c r="P1264" t="inlineStr">
        <is>
          <t>nyu</t>
        </is>
      </c>
      <c r="Q1264" t="inlineStr">
        <is>
          <t>Fundamentalism in American religion, 1880-1950 ; 14-17</t>
        </is>
      </c>
      <c r="R1264" t="inlineStr">
        <is>
          <t xml:space="preserve">BT </t>
        </is>
      </c>
      <c r="S1264" t="n">
        <v>3</v>
      </c>
      <c r="T1264" t="n">
        <v>15</v>
      </c>
      <c r="U1264" t="inlineStr">
        <is>
          <t>1998-07-29</t>
        </is>
      </c>
      <c r="V1264" t="inlineStr">
        <is>
          <t>2001-10-08</t>
        </is>
      </c>
      <c r="W1264" t="inlineStr">
        <is>
          <t>1992-03-06</t>
        </is>
      </c>
      <c r="X1264" t="inlineStr">
        <is>
          <t>1992-03-06</t>
        </is>
      </c>
      <c r="Y1264" t="n">
        <v>84</v>
      </c>
      <c r="Z1264" t="n">
        <v>73</v>
      </c>
      <c r="AA1264" t="n">
        <v>74</v>
      </c>
      <c r="AB1264" t="n">
        <v>2</v>
      </c>
      <c r="AC1264" t="n">
        <v>2</v>
      </c>
      <c r="AD1264" t="n">
        <v>4</v>
      </c>
      <c r="AE1264" t="n">
        <v>4</v>
      </c>
      <c r="AF1264" t="n">
        <v>2</v>
      </c>
      <c r="AG1264" t="n">
        <v>2</v>
      </c>
      <c r="AH1264" t="n">
        <v>0</v>
      </c>
      <c r="AI1264" t="n">
        <v>0</v>
      </c>
      <c r="AJ1264" t="n">
        <v>1</v>
      </c>
      <c r="AK1264" t="n">
        <v>1</v>
      </c>
      <c r="AL1264" t="n">
        <v>1</v>
      </c>
      <c r="AM1264" t="n">
        <v>1</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HYPERLINK("https://creighton-primo.hosted.exlibrisgroup.com/primo-explore/search?tab=default_tab&amp;search_scope=EVERYTHING&amp;vid=01CRU&amp;lang=en_US&amp;offset=0&amp;query=any,contains,991001328319702656","Catalog Record")</f>
        <v/>
      </c>
      <c r="AT1264">
        <f>HYPERLINK("http://www.worldcat.org/oclc/18291788","WorldCat Record")</f>
        <v/>
      </c>
      <c r="AU1264" t="inlineStr">
        <is>
          <t>4160037588:eng</t>
        </is>
      </c>
      <c r="AV1264" t="inlineStr">
        <is>
          <t>18291788</t>
        </is>
      </c>
      <c r="AW1264" t="inlineStr">
        <is>
          <t>991001328319702656</t>
        </is>
      </c>
      <c r="AX1264" t="inlineStr">
        <is>
          <t>991001328319702656</t>
        </is>
      </c>
      <c r="AY1264" t="inlineStr">
        <is>
          <t>2264528260002656</t>
        </is>
      </c>
      <c r="AZ1264" t="inlineStr">
        <is>
          <t>BOOK</t>
        </is>
      </c>
      <c r="BB1264" t="inlineStr">
        <is>
          <t>9780824050153</t>
        </is>
      </c>
      <c r="BC1264" t="inlineStr">
        <is>
          <t>32285000937887</t>
        </is>
      </c>
      <c r="BD1264" t="inlineStr">
        <is>
          <t>893328063</t>
        </is>
      </c>
    </row>
    <row r="1265">
      <c r="A1265" t="inlineStr">
        <is>
          <t>No</t>
        </is>
      </c>
      <c r="B1265" t="inlineStr">
        <is>
          <t>BT82.2 .M38 1987</t>
        </is>
      </c>
      <c r="C1265" t="inlineStr">
        <is>
          <t>0                      BT 0082200M  38          1987</t>
        </is>
      </c>
      <c r="D1265" t="inlineStr">
        <is>
          <t>Reforming fundamentalism : Fuller Seminary and the new evangelicalism / by George Marsden.</t>
        </is>
      </c>
      <c r="F1265" t="inlineStr">
        <is>
          <t>No</t>
        </is>
      </c>
      <c r="G1265" t="inlineStr">
        <is>
          <t>1</t>
        </is>
      </c>
      <c r="H1265" t="inlineStr">
        <is>
          <t>No</t>
        </is>
      </c>
      <c r="I1265" t="inlineStr">
        <is>
          <t>No</t>
        </is>
      </c>
      <c r="J1265" t="inlineStr">
        <is>
          <t>0</t>
        </is>
      </c>
      <c r="K1265" t="inlineStr">
        <is>
          <t>Marsden, George M., 1939-</t>
        </is>
      </c>
      <c r="L1265" t="inlineStr">
        <is>
          <t>Grand Rapids, Mich. : W.B. Eerdmans, c1987.</t>
        </is>
      </c>
      <c r="M1265" t="inlineStr">
        <is>
          <t>1987</t>
        </is>
      </c>
      <c r="O1265" t="inlineStr">
        <is>
          <t>eng</t>
        </is>
      </c>
      <c r="P1265" t="inlineStr">
        <is>
          <t>miu</t>
        </is>
      </c>
      <c r="R1265" t="inlineStr">
        <is>
          <t xml:space="preserve">BT </t>
        </is>
      </c>
      <c r="S1265" t="n">
        <v>3</v>
      </c>
      <c r="T1265" t="n">
        <v>3</v>
      </c>
      <c r="U1265" t="inlineStr">
        <is>
          <t>2009-02-26</t>
        </is>
      </c>
      <c r="V1265" t="inlineStr">
        <is>
          <t>2009-02-26</t>
        </is>
      </c>
      <c r="W1265" t="inlineStr">
        <is>
          <t>1991-06-24</t>
        </is>
      </c>
      <c r="X1265" t="inlineStr">
        <is>
          <t>1991-06-24</t>
        </is>
      </c>
      <c r="Y1265" t="n">
        <v>693</v>
      </c>
      <c r="Z1265" t="n">
        <v>607</v>
      </c>
      <c r="AA1265" t="n">
        <v>638</v>
      </c>
      <c r="AB1265" t="n">
        <v>3</v>
      </c>
      <c r="AC1265" t="n">
        <v>4</v>
      </c>
      <c r="AD1265" t="n">
        <v>26</v>
      </c>
      <c r="AE1265" t="n">
        <v>28</v>
      </c>
      <c r="AF1265" t="n">
        <v>13</v>
      </c>
      <c r="AG1265" t="n">
        <v>14</v>
      </c>
      <c r="AH1265" t="n">
        <v>4</v>
      </c>
      <c r="AI1265" t="n">
        <v>4</v>
      </c>
      <c r="AJ1265" t="n">
        <v>16</v>
      </c>
      <c r="AK1265" t="n">
        <v>16</v>
      </c>
      <c r="AL1265" t="n">
        <v>2</v>
      </c>
      <c r="AM1265" t="n">
        <v>3</v>
      </c>
      <c r="AN1265" t="n">
        <v>0</v>
      </c>
      <c r="AO1265" t="n">
        <v>0</v>
      </c>
      <c r="AP1265" t="inlineStr">
        <is>
          <t>No</t>
        </is>
      </c>
      <c r="AQ1265" t="inlineStr">
        <is>
          <t>Yes</t>
        </is>
      </c>
      <c r="AR1265">
        <f>HYPERLINK("http://catalog.hathitrust.org/Record/000883824","HathiTrust Record")</f>
        <v/>
      </c>
      <c r="AS1265">
        <f>HYPERLINK("https://creighton-primo.hosted.exlibrisgroup.com/primo-explore/search?tab=default_tab&amp;search_scope=EVERYTHING&amp;vid=01CRU&amp;lang=en_US&amp;offset=0&amp;query=any,contains,991001110929702656","Catalog Record")</f>
        <v/>
      </c>
      <c r="AT1265">
        <f>HYPERLINK("http://www.worldcat.org/oclc/16468112","WorldCat Record")</f>
        <v/>
      </c>
      <c r="AU1265" t="inlineStr">
        <is>
          <t>12237477:eng</t>
        </is>
      </c>
      <c r="AV1265" t="inlineStr">
        <is>
          <t>16468112</t>
        </is>
      </c>
      <c r="AW1265" t="inlineStr">
        <is>
          <t>991001110929702656</t>
        </is>
      </c>
      <c r="AX1265" t="inlineStr">
        <is>
          <t>991001110929702656</t>
        </is>
      </c>
      <c r="AY1265" t="inlineStr">
        <is>
          <t>2270308310002656</t>
        </is>
      </c>
      <c r="AZ1265" t="inlineStr">
        <is>
          <t>BOOK</t>
        </is>
      </c>
      <c r="BB1265" t="inlineStr">
        <is>
          <t>9780802836427</t>
        </is>
      </c>
      <c r="BC1265" t="inlineStr">
        <is>
          <t>32285000688977</t>
        </is>
      </c>
      <c r="BD1265" t="inlineStr">
        <is>
          <t>893413964</t>
        </is>
      </c>
    </row>
    <row r="1266">
      <c r="A1266" t="inlineStr">
        <is>
          <t>No</t>
        </is>
      </c>
      <c r="B1266" t="inlineStr">
        <is>
          <t>BT82.2 .M39 1991</t>
        </is>
      </c>
      <c r="C1266" t="inlineStr">
        <is>
          <t>0                      BT 0082200M  39          1991</t>
        </is>
      </c>
      <c r="D1266" t="inlineStr">
        <is>
          <t>Understanding fundamentalism and evangelicalism / George M. Marsden.</t>
        </is>
      </c>
      <c r="F1266" t="inlineStr">
        <is>
          <t>No</t>
        </is>
      </c>
      <c r="G1266" t="inlineStr">
        <is>
          <t>1</t>
        </is>
      </c>
      <c r="H1266" t="inlineStr">
        <is>
          <t>No</t>
        </is>
      </c>
      <c r="I1266" t="inlineStr">
        <is>
          <t>No</t>
        </is>
      </c>
      <c r="J1266" t="inlineStr">
        <is>
          <t>0</t>
        </is>
      </c>
      <c r="K1266" t="inlineStr">
        <is>
          <t>Marsden, George M., 1939-</t>
        </is>
      </c>
      <c r="L1266" t="inlineStr">
        <is>
          <t>Grand Rapids, Mich. : W.B. Eerdmans, c1991.</t>
        </is>
      </c>
      <c r="M1266" t="inlineStr">
        <is>
          <t>1991</t>
        </is>
      </c>
      <c r="O1266" t="inlineStr">
        <is>
          <t>eng</t>
        </is>
      </c>
      <c r="P1266" t="inlineStr">
        <is>
          <t>miu</t>
        </is>
      </c>
      <c r="R1266" t="inlineStr">
        <is>
          <t xml:space="preserve">BT </t>
        </is>
      </c>
      <c r="S1266" t="n">
        <v>6</v>
      </c>
      <c r="T1266" t="n">
        <v>6</v>
      </c>
      <c r="U1266" t="inlineStr">
        <is>
          <t>2009-08-28</t>
        </is>
      </c>
      <c r="V1266" t="inlineStr">
        <is>
          <t>2009-08-28</t>
        </is>
      </c>
      <c r="W1266" t="inlineStr">
        <is>
          <t>1991-10-10</t>
        </is>
      </c>
      <c r="X1266" t="inlineStr">
        <is>
          <t>1991-10-10</t>
        </is>
      </c>
      <c r="Y1266" t="n">
        <v>1123</v>
      </c>
      <c r="Z1266" t="n">
        <v>983</v>
      </c>
      <c r="AA1266" t="n">
        <v>1131</v>
      </c>
      <c r="AB1266" t="n">
        <v>9</v>
      </c>
      <c r="AC1266" t="n">
        <v>14</v>
      </c>
      <c r="AD1266" t="n">
        <v>42</v>
      </c>
      <c r="AE1266" t="n">
        <v>47</v>
      </c>
      <c r="AF1266" t="n">
        <v>17</v>
      </c>
      <c r="AG1266" t="n">
        <v>18</v>
      </c>
      <c r="AH1266" t="n">
        <v>6</v>
      </c>
      <c r="AI1266" t="n">
        <v>6</v>
      </c>
      <c r="AJ1266" t="n">
        <v>19</v>
      </c>
      <c r="AK1266" t="n">
        <v>19</v>
      </c>
      <c r="AL1266" t="n">
        <v>7</v>
      </c>
      <c r="AM1266" t="n">
        <v>11</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HYPERLINK("https://creighton-primo.hosted.exlibrisgroup.com/primo-explore/search?tab=default_tab&amp;search_scope=EVERYTHING&amp;vid=01CRU&amp;lang=en_US&amp;offset=0&amp;query=any,contains,991001807339702656","Catalog Record")</f>
        <v/>
      </c>
      <c r="AT1266">
        <f>HYPERLINK("http://www.worldcat.org/oclc/22710248","WorldCat Record")</f>
        <v/>
      </c>
      <c r="AU1266" t="inlineStr">
        <is>
          <t>16908498:eng</t>
        </is>
      </c>
      <c r="AV1266" t="inlineStr">
        <is>
          <t>22710248</t>
        </is>
      </c>
      <c r="AW1266" t="inlineStr">
        <is>
          <t>991001807339702656</t>
        </is>
      </c>
      <c r="AX1266" t="inlineStr">
        <is>
          <t>991001807339702656</t>
        </is>
      </c>
      <c r="AY1266" t="inlineStr">
        <is>
          <t>2254794470002656</t>
        </is>
      </c>
      <c r="AZ1266" t="inlineStr">
        <is>
          <t>BOOK</t>
        </is>
      </c>
      <c r="BB1266" t="inlineStr">
        <is>
          <t>9780802805393</t>
        </is>
      </c>
      <c r="BC1266" t="inlineStr">
        <is>
          <t>32285000726140</t>
        </is>
      </c>
      <c r="BD1266" t="inlineStr">
        <is>
          <t>893334622</t>
        </is>
      </c>
    </row>
    <row r="1267">
      <c r="A1267" t="inlineStr">
        <is>
          <t>No</t>
        </is>
      </c>
      <c r="B1267" t="inlineStr">
        <is>
          <t>BT82.2 .N687 1992</t>
        </is>
      </c>
      <c r="C1267" t="inlineStr">
        <is>
          <t>0                      BT 0082200N  687         1992</t>
        </is>
      </c>
      <c r="D1267" t="inlineStr">
        <is>
          <t>The apostolic faith : Protestants and Roman Catholics / Frederick W. Norris.</t>
        </is>
      </c>
      <c r="F1267" t="inlineStr">
        <is>
          <t>No</t>
        </is>
      </c>
      <c r="G1267" t="inlineStr">
        <is>
          <t>1</t>
        </is>
      </c>
      <c r="H1267" t="inlineStr">
        <is>
          <t>No</t>
        </is>
      </c>
      <c r="I1267" t="inlineStr">
        <is>
          <t>No</t>
        </is>
      </c>
      <c r="J1267" t="inlineStr">
        <is>
          <t>0</t>
        </is>
      </c>
      <c r="K1267" t="inlineStr">
        <is>
          <t>Norris, Frederick W., 1941-</t>
        </is>
      </c>
      <c r="L1267" t="inlineStr">
        <is>
          <t>Collegeville, Minn. : Liturgical Press, c1992.</t>
        </is>
      </c>
      <c r="M1267" t="inlineStr">
        <is>
          <t>1992</t>
        </is>
      </c>
      <c r="O1267" t="inlineStr">
        <is>
          <t>eng</t>
        </is>
      </c>
      <c r="P1267" t="inlineStr">
        <is>
          <t>mnu</t>
        </is>
      </c>
      <c r="R1267" t="inlineStr">
        <is>
          <t xml:space="preserve">BT </t>
        </is>
      </c>
      <c r="S1267" t="n">
        <v>3</v>
      </c>
      <c r="T1267" t="n">
        <v>3</v>
      </c>
      <c r="U1267" t="inlineStr">
        <is>
          <t>1995-09-11</t>
        </is>
      </c>
      <c r="V1267" t="inlineStr">
        <is>
          <t>1995-09-11</t>
        </is>
      </c>
      <c r="W1267" t="inlineStr">
        <is>
          <t>1995-05-17</t>
        </is>
      </c>
      <c r="X1267" t="inlineStr">
        <is>
          <t>1995-05-17</t>
        </is>
      </c>
      <c r="Y1267" t="n">
        <v>161</v>
      </c>
      <c r="Z1267" t="n">
        <v>131</v>
      </c>
      <c r="AA1267" t="n">
        <v>131</v>
      </c>
      <c r="AB1267" t="n">
        <v>1</v>
      </c>
      <c r="AC1267" t="n">
        <v>1</v>
      </c>
      <c r="AD1267" t="n">
        <v>13</v>
      </c>
      <c r="AE1267" t="n">
        <v>13</v>
      </c>
      <c r="AF1267" t="n">
        <v>7</v>
      </c>
      <c r="AG1267" t="n">
        <v>7</v>
      </c>
      <c r="AH1267" t="n">
        <v>4</v>
      </c>
      <c r="AI1267" t="n">
        <v>4</v>
      </c>
      <c r="AJ1267" t="n">
        <v>8</v>
      </c>
      <c r="AK1267" t="n">
        <v>8</v>
      </c>
      <c r="AL1267" t="n">
        <v>0</v>
      </c>
      <c r="AM1267" t="n">
        <v>0</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HYPERLINK("https://creighton-primo.hosted.exlibrisgroup.com/primo-explore/search?tab=default_tab&amp;search_scope=EVERYTHING&amp;vid=01CRU&amp;lang=en_US&amp;offset=0&amp;query=any,contains,991002034309702656","Catalog Record")</f>
        <v/>
      </c>
      <c r="AT1267">
        <f>HYPERLINK("http://www.worldcat.org/oclc/25914785","WorldCat Record")</f>
        <v/>
      </c>
      <c r="AU1267" t="inlineStr">
        <is>
          <t>892175492:eng</t>
        </is>
      </c>
      <c r="AV1267" t="inlineStr">
        <is>
          <t>25914785</t>
        </is>
      </c>
      <c r="AW1267" t="inlineStr">
        <is>
          <t>991002034309702656</t>
        </is>
      </c>
      <c r="AX1267" t="inlineStr">
        <is>
          <t>991002034309702656</t>
        </is>
      </c>
      <c r="AY1267" t="inlineStr">
        <is>
          <t>2272218520002656</t>
        </is>
      </c>
      <c r="AZ1267" t="inlineStr">
        <is>
          <t>BOOK</t>
        </is>
      </c>
      <c r="BB1267" t="inlineStr">
        <is>
          <t>9780814650295</t>
        </is>
      </c>
      <c r="BC1267" t="inlineStr">
        <is>
          <t>32285002045622</t>
        </is>
      </c>
      <c r="BD1267" t="inlineStr">
        <is>
          <t>893262048</t>
        </is>
      </c>
    </row>
    <row r="1268">
      <c r="A1268" t="inlineStr">
        <is>
          <t>No</t>
        </is>
      </c>
      <c r="B1268" t="inlineStr">
        <is>
          <t>BT82.2 .O46 1990</t>
        </is>
      </c>
      <c r="C1268" t="inlineStr">
        <is>
          <t>0                      BT 0082200O  46          1990</t>
        </is>
      </c>
      <c r="D1268" t="inlineStr">
        <is>
          <t>Fundamentalism : a Catholic perspective / Thomas F. O'Meara.</t>
        </is>
      </c>
      <c r="F1268" t="inlineStr">
        <is>
          <t>No</t>
        </is>
      </c>
      <c r="G1268" t="inlineStr">
        <is>
          <t>1</t>
        </is>
      </c>
      <c r="H1268" t="inlineStr">
        <is>
          <t>No</t>
        </is>
      </c>
      <c r="I1268" t="inlineStr">
        <is>
          <t>No</t>
        </is>
      </c>
      <c r="J1268" t="inlineStr">
        <is>
          <t>0</t>
        </is>
      </c>
      <c r="K1268" t="inlineStr">
        <is>
          <t>O'Meara, Thomas F., 1935-</t>
        </is>
      </c>
      <c r="L1268" t="inlineStr">
        <is>
          <t>New York : Paulist Press, c1990.</t>
        </is>
      </c>
      <c r="M1268" t="inlineStr">
        <is>
          <t>1990</t>
        </is>
      </c>
      <c r="O1268" t="inlineStr">
        <is>
          <t>eng</t>
        </is>
      </c>
      <c r="P1268" t="inlineStr">
        <is>
          <t>nyu</t>
        </is>
      </c>
      <c r="R1268" t="inlineStr">
        <is>
          <t xml:space="preserve">BT </t>
        </is>
      </c>
      <c r="S1268" t="n">
        <v>3</v>
      </c>
      <c r="T1268" t="n">
        <v>3</v>
      </c>
      <c r="U1268" t="inlineStr">
        <is>
          <t>2004-11-08</t>
        </is>
      </c>
      <c r="V1268" t="inlineStr">
        <is>
          <t>2004-11-08</t>
        </is>
      </c>
      <c r="W1268" t="inlineStr">
        <is>
          <t>1990-09-07</t>
        </is>
      </c>
      <c r="X1268" t="inlineStr">
        <is>
          <t>1990-09-07</t>
        </is>
      </c>
      <c r="Y1268" t="n">
        <v>335</v>
      </c>
      <c r="Z1268" t="n">
        <v>294</v>
      </c>
      <c r="AA1268" t="n">
        <v>294</v>
      </c>
      <c r="AB1268" t="n">
        <v>5</v>
      </c>
      <c r="AC1268" t="n">
        <v>5</v>
      </c>
      <c r="AD1268" t="n">
        <v>29</v>
      </c>
      <c r="AE1268" t="n">
        <v>29</v>
      </c>
      <c r="AF1268" t="n">
        <v>8</v>
      </c>
      <c r="AG1268" t="n">
        <v>8</v>
      </c>
      <c r="AH1268" t="n">
        <v>8</v>
      </c>
      <c r="AI1268" t="n">
        <v>8</v>
      </c>
      <c r="AJ1268" t="n">
        <v>20</v>
      </c>
      <c r="AK1268" t="n">
        <v>20</v>
      </c>
      <c r="AL1268" t="n">
        <v>2</v>
      </c>
      <c r="AM1268" t="n">
        <v>2</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HYPERLINK("https://creighton-primo.hosted.exlibrisgroup.com/primo-explore/search?tab=default_tab&amp;search_scope=EVERYTHING&amp;vid=01CRU&amp;lang=en_US&amp;offset=0&amp;query=any,contains,991001566369702656","Catalog Record")</f>
        <v/>
      </c>
      <c r="AT1268">
        <f>HYPERLINK("http://www.worldcat.org/oclc/20352811","WorldCat Record")</f>
        <v/>
      </c>
      <c r="AU1268" t="inlineStr">
        <is>
          <t>889644646:eng</t>
        </is>
      </c>
      <c r="AV1268" t="inlineStr">
        <is>
          <t>20352811</t>
        </is>
      </c>
      <c r="AW1268" t="inlineStr">
        <is>
          <t>991001566369702656</t>
        </is>
      </c>
      <c r="AX1268" t="inlineStr">
        <is>
          <t>991001566369702656</t>
        </is>
      </c>
      <c r="AY1268" t="inlineStr">
        <is>
          <t>2268092070002656</t>
        </is>
      </c>
      <c r="AZ1268" t="inlineStr">
        <is>
          <t>BOOK</t>
        </is>
      </c>
      <c r="BB1268" t="inlineStr">
        <is>
          <t>9780809131334</t>
        </is>
      </c>
      <c r="BC1268" t="inlineStr">
        <is>
          <t>32285000276310</t>
        </is>
      </c>
      <c r="BD1268" t="inlineStr">
        <is>
          <t>893426669</t>
        </is>
      </c>
    </row>
    <row r="1269">
      <c r="A1269" t="inlineStr">
        <is>
          <t>No</t>
        </is>
      </c>
      <c r="B1269" t="inlineStr">
        <is>
          <t>BT82.2 .S18</t>
        </is>
      </c>
      <c r="C1269" t="inlineStr">
        <is>
          <t>0                      BT 0082200S  18</t>
        </is>
      </c>
      <c r="D1269" t="inlineStr">
        <is>
          <t>The roots of fundamentalism; British and American millenarianism, 1800-1930 / [by] Ernest R. Sandeen.</t>
        </is>
      </c>
      <c r="F1269" t="inlineStr">
        <is>
          <t>No</t>
        </is>
      </c>
      <c r="G1269" t="inlineStr">
        <is>
          <t>1</t>
        </is>
      </c>
      <c r="H1269" t="inlineStr">
        <is>
          <t>No</t>
        </is>
      </c>
      <c r="I1269" t="inlineStr">
        <is>
          <t>No</t>
        </is>
      </c>
      <c r="J1269" t="inlineStr">
        <is>
          <t>0</t>
        </is>
      </c>
      <c r="K1269" t="inlineStr">
        <is>
          <t>Sandeen, Ernest Robert, 1931-</t>
        </is>
      </c>
      <c r="L1269" t="inlineStr">
        <is>
          <t>Chicago, University of Chicago Press [1970]</t>
        </is>
      </c>
      <c r="M1269" t="inlineStr">
        <is>
          <t>1970</t>
        </is>
      </c>
      <c r="O1269" t="inlineStr">
        <is>
          <t>eng</t>
        </is>
      </c>
      <c r="P1269" t="inlineStr">
        <is>
          <t>ilu</t>
        </is>
      </c>
      <c r="R1269" t="inlineStr">
        <is>
          <t xml:space="preserve">BT </t>
        </is>
      </c>
      <c r="S1269" t="n">
        <v>4</v>
      </c>
      <c r="T1269" t="n">
        <v>4</v>
      </c>
      <c r="U1269" t="inlineStr">
        <is>
          <t>1997-10-27</t>
        </is>
      </c>
      <c r="V1269" t="inlineStr">
        <is>
          <t>1997-10-27</t>
        </is>
      </c>
      <c r="W1269" t="inlineStr">
        <is>
          <t>1991-06-24</t>
        </is>
      </c>
      <c r="X1269" t="inlineStr">
        <is>
          <t>1991-06-24</t>
        </is>
      </c>
      <c r="Y1269" t="n">
        <v>1089</v>
      </c>
      <c r="Z1269" t="n">
        <v>965</v>
      </c>
      <c r="AA1269" t="n">
        <v>1043</v>
      </c>
      <c r="AB1269" t="n">
        <v>8</v>
      </c>
      <c r="AC1269" t="n">
        <v>8</v>
      </c>
      <c r="AD1269" t="n">
        <v>44</v>
      </c>
      <c r="AE1269" t="n">
        <v>46</v>
      </c>
      <c r="AF1269" t="n">
        <v>19</v>
      </c>
      <c r="AG1269" t="n">
        <v>21</v>
      </c>
      <c r="AH1269" t="n">
        <v>7</v>
      </c>
      <c r="AI1269" t="n">
        <v>8</v>
      </c>
      <c r="AJ1269" t="n">
        <v>19</v>
      </c>
      <c r="AK1269" t="n">
        <v>19</v>
      </c>
      <c r="AL1269" t="n">
        <v>7</v>
      </c>
      <c r="AM1269" t="n">
        <v>7</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HYPERLINK("https://creighton-primo.hosted.exlibrisgroup.com/primo-explore/search?tab=default_tab&amp;search_scope=EVERYTHING&amp;vid=01CRU&amp;lang=en_US&amp;offset=0&amp;query=any,contains,991000673899702656","Catalog Record")</f>
        <v/>
      </c>
      <c r="AT1269">
        <f>HYPERLINK("http://www.worldcat.org/oclc/119844","WorldCat Record")</f>
        <v/>
      </c>
      <c r="AU1269" t="inlineStr">
        <is>
          <t>181002941:eng</t>
        </is>
      </c>
      <c r="AV1269" t="inlineStr">
        <is>
          <t>119844</t>
        </is>
      </c>
      <c r="AW1269" t="inlineStr">
        <is>
          <t>991000673899702656</t>
        </is>
      </c>
      <c r="AX1269" t="inlineStr">
        <is>
          <t>991000673899702656</t>
        </is>
      </c>
      <c r="AY1269" t="inlineStr">
        <is>
          <t>2264152850002656</t>
        </is>
      </c>
      <c r="AZ1269" t="inlineStr">
        <is>
          <t>BOOK</t>
        </is>
      </c>
      <c r="BB1269" t="inlineStr">
        <is>
          <t>9780226734675</t>
        </is>
      </c>
      <c r="BC1269" t="inlineStr">
        <is>
          <t>32285000688993</t>
        </is>
      </c>
      <c r="BD1269" t="inlineStr">
        <is>
          <t>893528277</t>
        </is>
      </c>
    </row>
    <row r="1270">
      <c r="A1270" t="inlineStr">
        <is>
          <t>No</t>
        </is>
      </c>
      <c r="B1270" t="inlineStr">
        <is>
          <t>BT82.2 .S2</t>
        </is>
      </c>
      <c r="C1270" t="inlineStr">
        <is>
          <t>0                      BT 0082200S  2</t>
        </is>
      </c>
      <c r="D1270" t="inlineStr">
        <is>
          <t>The origins of fundamentalism : toward a historical interpretation / by Ernest R. Sandeen.</t>
        </is>
      </c>
      <c r="F1270" t="inlineStr">
        <is>
          <t>No</t>
        </is>
      </c>
      <c r="G1270" t="inlineStr">
        <is>
          <t>1</t>
        </is>
      </c>
      <c r="H1270" t="inlineStr">
        <is>
          <t>No</t>
        </is>
      </c>
      <c r="I1270" t="inlineStr">
        <is>
          <t>No</t>
        </is>
      </c>
      <c r="J1270" t="inlineStr">
        <is>
          <t>0</t>
        </is>
      </c>
      <c r="K1270" t="inlineStr">
        <is>
          <t>Sandeen, Ernest Robert, 1931-</t>
        </is>
      </c>
      <c r="L1270" t="inlineStr">
        <is>
          <t>Philadelphia, Fortress Press [1968]</t>
        </is>
      </c>
      <c r="M1270" t="inlineStr">
        <is>
          <t>1968</t>
        </is>
      </c>
      <c r="O1270" t="inlineStr">
        <is>
          <t>eng</t>
        </is>
      </c>
      <c r="P1270" t="inlineStr">
        <is>
          <t>pau</t>
        </is>
      </c>
      <c r="Q1270" t="inlineStr">
        <is>
          <t>Facet books. Historical series ; 10</t>
        </is>
      </c>
      <c r="R1270" t="inlineStr">
        <is>
          <t xml:space="preserve">BT </t>
        </is>
      </c>
      <c r="S1270" t="n">
        <v>7</v>
      </c>
      <c r="T1270" t="n">
        <v>7</v>
      </c>
      <c r="U1270" t="inlineStr">
        <is>
          <t>1995-01-14</t>
        </is>
      </c>
      <c r="V1270" t="inlineStr">
        <is>
          <t>1995-01-14</t>
        </is>
      </c>
      <c r="W1270" t="inlineStr">
        <is>
          <t>1991-10-22</t>
        </is>
      </c>
      <c r="X1270" t="inlineStr">
        <is>
          <t>1991-10-22</t>
        </is>
      </c>
      <c r="Y1270" t="n">
        <v>301</v>
      </c>
      <c r="Z1270" t="n">
        <v>272</v>
      </c>
      <c r="AA1270" t="n">
        <v>273</v>
      </c>
      <c r="AB1270" t="n">
        <v>3</v>
      </c>
      <c r="AC1270" t="n">
        <v>3</v>
      </c>
      <c r="AD1270" t="n">
        <v>15</v>
      </c>
      <c r="AE1270" t="n">
        <v>15</v>
      </c>
      <c r="AF1270" t="n">
        <v>5</v>
      </c>
      <c r="AG1270" t="n">
        <v>5</v>
      </c>
      <c r="AH1270" t="n">
        <v>3</v>
      </c>
      <c r="AI1270" t="n">
        <v>3</v>
      </c>
      <c r="AJ1270" t="n">
        <v>8</v>
      </c>
      <c r="AK1270" t="n">
        <v>8</v>
      </c>
      <c r="AL1270" t="n">
        <v>2</v>
      </c>
      <c r="AM1270" t="n">
        <v>2</v>
      </c>
      <c r="AN1270" t="n">
        <v>0</v>
      </c>
      <c r="AO1270" t="n">
        <v>0</v>
      </c>
      <c r="AP1270" t="inlineStr">
        <is>
          <t>No</t>
        </is>
      </c>
      <c r="AQ1270" t="inlineStr">
        <is>
          <t>Yes</t>
        </is>
      </c>
      <c r="AR1270">
        <f>HYPERLINK("http://catalog.hathitrust.org/Record/006020544","HathiTrust Record")</f>
        <v/>
      </c>
      <c r="AS1270">
        <f>HYPERLINK("https://creighton-primo.hosted.exlibrisgroup.com/primo-explore/search?tab=default_tab&amp;search_scope=EVERYTHING&amp;vid=01CRU&amp;lang=en_US&amp;offset=0&amp;query=any,contains,991002795049702656","Catalog Record")</f>
        <v/>
      </c>
      <c r="AT1270">
        <f>HYPERLINK("http://www.worldcat.org/oclc/444960","WorldCat Record")</f>
        <v/>
      </c>
      <c r="AU1270" t="inlineStr">
        <is>
          <t>1578539:eng</t>
        </is>
      </c>
      <c r="AV1270" t="inlineStr">
        <is>
          <t>444960</t>
        </is>
      </c>
      <c r="AW1270" t="inlineStr">
        <is>
          <t>991002795049702656</t>
        </is>
      </c>
      <c r="AX1270" t="inlineStr">
        <is>
          <t>991002795049702656</t>
        </is>
      </c>
      <c r="AY1270" t="inlineStr">
        <is>
          <t>2264945420002656</t>
        </is>
      </c>
      <c r="AZ1270" t="inlineStr">
        <is>
          <t>BOOK</t>
        </is>
      </c>
      <c r="BC1270" t="inlineStr">
        <is>
          <t>32285000807205</t>
        </is>
      </c>
      <c r="BD1270" t="inlineStr">
        <is>
          <t>893245657</t>
        </is>
      </c>
    </row>
    <row r="1271">
      <c r="A1271" t="inlineStr">
        <is>
          <t>No</t>
        </is>
      </c>
      <c r="B1271" t="inlineStr">
        <is>
          <t>BT82.2 .S77 1994</t>
        </is>
      </c>
      <c r="C1271" t="inlineStr">
        <is>
          <t>0                      BT 0082200S  77          1994</t>
        </is>
      </c>
      <c r="D1271" t="inlineStr">
        <is>
          <t>Apocalypse : on the psychology of fundamentalism in America / Charles B. Strozier.</t>
        </is>
      </c>
      <c r="F1271" t="inlineStr">
        <is>
          <t>No</t>
        </is>
      </c>
      <c r="G1271" t="inlineStr">
        <is>
          <t>1</t>
        </is>
      </c>
      <c r="H1271" t="inlineStr">
        <is>
          <t>No</t>
        </is>
      </c>
      <c r="I1271" t="inlineStr">
        <is>
          <t>No</t>
        </is>
      </c>
      <c r="J1271" t="inlineStr">
        <is>
          <t>0</t>
        </is>
      </c>
      <c r="K1271" t="inlineStr">
        <is>
          <t>Strozier, Charles B.</t>
        </is>
      </c>
      <c r="L1271" t="inlineStr">
        <is>
          <t>Boston : Beacon Press, c1994.</t>
        </is>
      </c>
      <c r="M1271" t="inlineStr">
        <is>
          <t>1994</t>
        </is>
      </c>
      <c r="O1271" t="inlineStr">
        <is>
          <t>eng</t>
        </is>
      </c>
      <c r="P1271" t="inlineStr">
        <is>
          <t>mau</t>
        </is>
      </c>
      <c r="R1271" t="inlineStr">
        <is>
          <t xml:space="preserve">BT </t>
        </is>
      </c>
      <c r="S1271" t="n">
        <v>7</v>
      </c>
      <c r="T1271" t="n">
        <v>7</v>
      </c>
      <c r="U1271" t="inlineStr">
        <is>
          <t>2003-11-03</t>
        </is>
      </c>
      <c r="V1271" t="inlineStr">
        <is>
          <t>2003-11-03</t>
        </is>
      </c>
      <c r="W1271" t="inlineStr">
        <is>
          <t>1994-08-02</t>
        </is>
      </c>
      <c r="X1271" t="inlineStr">
        <is>
          <t>1994-08-02</t>
        </is>
      </c>
      <c r="Y1271" t="n">
        <v>713</v>
      </c>
      <c r="Z1271" t="n">
        <v>644</v>
      </c>
      <c r="AA1271" t="n">
        <v>656</v>
      </c>
      <c r="AB1271" t="n">
        <v>4</v>
      </c>
      <c r="AC1271" t="n">
        <v>4</v>
      </c>
      <c r="AD1271" t="n">
        <v>28</v>
      </c>
      <c r="AE1271" t="n">
        <v>29</v>
      </c>
      <c r="AF1271" t="n">
        <v>9</v>
      </c>
      <c r="AG1271" t="n">
        <v>9</v>
      </c>
      <c r="AH1271" t="n">
        <v>7</v>
      </c>
      <c r="AI1271" t="n">
        <v>7</v>
      </c>
      <c r="AJ1271" t="n">
        <v>15</v>
      </c>
      <c r="AK1271" t="n">
        <v>16</v>
      </c>
      <c r="AL1271" t="n">
        <v>3</v>
      </c>
      <c r="AM1271" t="n">
        <v>3</v>
      </c>
      <c r="AN1271" t="n">
        <v>1</v>
      </c>
      <c r="AO1271" t="n">
        <v>1</v>
      </c>
      <c r="AP1271" t="inlineStr">
        <is>
          <t>No</t>
        </is>
      </c>
      <c r="AQ1271" t="inlineStr">
        <is>
          <t>Yes</t>
        </is>
      </c>
      <c r="AR1271">
        <f>HYPERLINK("http://catalog.hathitrust.org/Record/002806572","HathiTrust Record")</f>
        <v/>
      </c>
      <c r="AS1271">
        <f>HYPERLINK("https://creighton-primo.hosted.exlibrisgroup.com/primo-explore/search?tab=default_tab&amp;search_scope=EVERYTHING&amp;vid=01CRU&amp;lang=en_US&amp;offset=0&amp;query=any,contains,991002264699702656","Catalog Record")</f>
        <v/>
      </c>
      <c r="AT1271">
        <f>HYPERLINK("http://www.worldcat.org/oclc/29361364","WorldCat Record")</f>
        <v/>
      </c>
      <c r="AU1271" t="inlineStr">
        <is>
          <t>9311569:eng</t>
        </is>
      </c>
      <c r="AV1271" t="inlineStr">
        <is>
          <t>29361364</t>
        </is>
      </c>
      <c r="AW1271" t="inlineStr">
        <is>
          <t>991002264699702656</t>
        </is>
      </c>
      <c r="AX1271" t="inlineStr">
        <is>
          <t>991002264699702656</t>
        </is>
      </c>
      <c r="AY1271" t="inlineStr">
        <is>
          <t>2256596630002656</t>
        </is>
      </c>
      <c r="AZ1271" t="inlineStr">
        <is>
          <t>BOOK</t>
        </is>
      </c>
      <c r="BB1271" t="inlineStr">
        <is>
          <t>9780807012260</t>
        </is>
      </c>
      <c r="BC1271" t="inlineStr">
        <is>
          <t>32285001940229</t>
        </is>
      </c>
      <c r="BD1271" t="inlineStr">
        <is>
          <t>893347304</t>
        </is>
      </c>
    </row>
    <row r="1272">
      <c r="A1272" t="inlineStr">
        <is>
          <t>No</t>
        </is>
      </c>
      <c r="B1272" t="inlineStr">
        <is>
          <t>BT82.2 .W54 1992</t>
        </is>
      </c>
      <c r="C1272" t="inlineStr">
        <is>
          <t>0                      BT 0082200W  54          1992</t>
        </is>
      </c>
      <c r="D1272" t="inlineStr">
        <is>
          <t>God's warriors : the Christian right in twentieth-century America / Clyde Wilcox.</t>
        </is>
      </c>
      <c r="F1272" t="inlineStr">
        <is>
          <t>No</t>
        </is>
      </c>
      <c r="G1272" t="inlineStr">
        <is>
          <t>1</t>
        </is>
      </c>
      <c r="H1272" t="inlineStr">
        <is>
          <t>No</t>
        </is>
      </c>
      <c r="I1272" t="inlineStr">
        <is>
          <t>No</t>
        </is>
      </c>
      <c r="J1272" t="inlineStr">
        <is>
          <t>0</t>
        </is>
      </c>
      <c r="K1272" t="inlineStr">
        <is>
          <t>Wilcox, Clyde, 1953-</t>
        </is>
      </c>
      <c r="L1272" t="inlineStr">
        <is>
          <t>Baltimore : Johns Hopkins University Press, c1992.</t>
        </is>
      </c>
      <c r="M1272" t="inlineStr">
        <is>
          <t>1992</t>
        </is>
      </c>
      <c r="O1272" t="inlineStr">
        <is>
          <t>eng</t>
        </is>
      </c>
      <c r="P1272" t="inlineStr">
        <is>
          <t>mdu</t>
        </is>
      </c>
      <c r="R1272" t="inlineStr">
        <is>
          <t xml:space="preserve">BT </t>
        </is>
      </c>
      <c r="S1272" t="n">
        <v>6</v>
      </c>
      <c r="T1272" t="n">
        <v>6</v>
      </c>
      <c r="U1272" t="inlineStr">
        <is>
          <t>1996-04-09</t>
        </is>
      </c>
      <c r="V1272" t="inlineStr">
        <is>
          <t>1996-04-09</t>
        </is>
      </c>
      <c r="W1272" t="inlineStr">
        <is>
          <t>1993-01-21</t>
        </is>
      </c>
      <c r="X1272" t="inlineStr">
        <is>
          <t>1993-01-21</t>
        </is>
      </c>
      <c r="Y1272" t="n">
        <v>616</v>
      </c>
      <c r="Z1272" t="n">
        <v>523</v>
      </c>
      <c r="AA1272" t="n">
        <v>526</v>
      </c>
      <c r="AB1272" t="n">
        <v>4</v>
      </c>
      <c r="AC1272" t="n">
        <v>4</v>
      </c>
      <c r="AD1272" t="n">
        <v>34</v>
      </c>
      <c r="AE1272" t="n">
        <v>34</v>
      </c>
      <c r="AF1272" t="n">
        <v>15</v>
      </c>
      <c r="AG1272" t="n">
        <v>15</v>
      </c>
      <c r="AH1272" t="n">
        <v>8</v>
      </c>
      <c r="AI1272" t="n">
        <v>8</v>
      </c>
      <c r="AJ1272" t="n">
        <v>16</v>
      </c>
      <c r="AK1272" t="n">
        <v>16</v>
      </c>
      <c r="AL1272" t="n">
        <v>3</v>
      </c>
      <c r="AM1272" t="n">
        <v>3</v>
      </c>
      <c r="AN1272" t="n">
        <v>1</v>
      </c>
      <c r="AO1272" t="n">
        <v>1</v>
      </c>
      <c r="AP1272" t="inlineStr">
        <is>
          <t>No</t>
        </is>
      </c>
      <c r="AQ1272" t="inlineStr">
        <is>
          <t>Yes</t>
        </is>
      </c>
      <c r="AR1272">
        <f>HYPERLINK("http://catalog.hathitrust.org/Record/004523145","HathiTrust Record")</f>
        <v/>
      </c>
      <c r="AS1272">
        <f>HYPERLINK("https://creighton-primo.hosted.exlibrisgroup.com/primo-explore/search?tab=default_tab&amp;search_scope=EVERYTHING&amp;vid=01CRU&amp;lang=en_US&amp;offset=0&amp;query=any,contains,991001878989702656","Catalog Record")</f>
        <v/>
      </c>
      <c r="AT1272">
        <f>HYPERLINK("http://www.worldcat.org/oclc/23694121","WorldCat Record")</f>
        <v/>
      </c>
      <c r="AU1272" t="inlineStr">
        <is>
          <t>836864120:eng</t>
        </is>
      </c>
      <c r="AV1272" t="inlineStr">
        <is>
          <t>23694121</t>
        </is>
      </c>
      <c r="AW1272" t="inlineStr">
        <is>
          <t>991001878989702656</t>
        </is>
      </c>
      <c r="AX1272" t="inlineStr">
        <is>
          <t>991001878989702656</t>
        </is>
      </c>
      <c r="AY1272" t="inlineStr">
        <is>
          <t>2260860690002656</t>
        </is>
      </c>
      <c r="AZ1272" t="inlineStr">
        <is>
          <t>BOOK</t>
        </is>
      </c>
      <c r="BB1272" t="inlineStr">
        <is>
          <t>9780801842634</t>
        </is>
      </c>
      <c r="BC1272" t="inlineStr">
        <is>
          <t>32285001447696</t>
        </is>
      </c>
      <c r="BD1272" t="inlineStr">
        <is>
          <t>893803967</t>
        </is>
      </c>
    </row>
    <row r="1273">
      <c r="A1273" t="inlineStr">
        <is>
          <t>No</t>
        </is>
      </c>
      <c r="B1273" t="inlineStr">
        <is>
          <t>BT82.3 .G3</t>
        </is>
      </c>
      <c r="C1273" t="inlineStr">
        <is>
          <t>0                      BT 0082300G  3</t>
        </is>
      </c>
      <c r="D1273" t="inlineStr">
        <is>
          <t>Controversy in the twenties : fundamentalism, modernism, and evolution / Willard B. Gatewood, Jr., editor.</t>
        </is>
      </c>
      <c r="F1273" t="inlineStr">
        <is>
          <t>No</t>
        </is>
      </c>
      <c r="G1273" t="inlineStr">
        <is>
          <t>1</t>
        </is>
      </c>
      <c r="H1273" t="inlineStr">
        <is>
          <t>No</t>
        </is>
      </c>
      <c r="I1273" t="inlineStr">
        <is>
          <t>No</t>
        </is>
      </c>
      <c r="J1273" t="inlineStr">
        <is>
          <t>0</t>
        </is>
      </c>
      <c r="K1273" t="inlineStr">
        <is>
          <t>Gatewood, Willard B., Jr. (Willard Badgett), 1931-, 1931- compiler.</t>
        </is>
      </c>
      <c r="L1273" t="inlineStr">
        <is>
          <t>Nashville, Vanderbilt University Press [1969]</t>
        </is>
      </c>
      <c r="M1273" t="inlineStr">
        <is>
          <t>1969</t>
        </is>
      </c>
      <c r="O1273" t="inlineStr">
        <is>
          <t>eng</t>
        </is>
      </c>
      <c r="P1273" t="inlineStr">
        <is>
          <t>tnu</t>
        </is>
      </c>
      <c r="R1273" t="inlineStr">
        <is>
          <t xml:space="preserve">BT </t>
        </is>
      </c>
      <c r="S1273" t="n">
        <v>7</v>
      </c>
      <c r="T1273" t="n">
        <v>7</v>
      </c>
      <c r="U1273" t="inlineStr">
        <is>
          <t>2008-05-14</t>
        </is>
      </c>
      <c r="V1273" t="inlineStr">
        <is>
          <t>2008-05-14</t>
        </is>
      </c>
      <c r="W1273" t="inlineStr">
        <is>
          <t>1991-06-24</t>
        </is>
      </c>
      <c r="X1273" t="inlineStr">
        <is>
          <t>1991-06-24</t>
        </is>
      </c>
      <c r="Y1273" t="n">
        <v>819</v>
      </c>
      <c r="Z1273" t="n">
        <v>757</v>
      </c>
      <c r="AA1273" t="n">
        <v>758</v>
      </c>
      <c r="AB1273" t="n">
        <v>6</v>
      </c>
      <c r="AC1273" t="n">
        <v>6</v>
      </c>
      <c r="AD1273" t="n">
        <v>31</v>
      </c>
      <c r="AE1273" t="n">
        <v>31</v>
      </c>
      <c r="AF1273" t="n">
        <v>11</v>
      </c>
      <c r="AG1273" t="n">
        <v>11</v>
      </c>
      <c r="AH1273" t="n">
        <v>5</v>
      </c>
      <c r="AI1273" t="n">
        <v>5</v>
      </c>
      <c r="AJ1273" t="n">
        <v>17</v>
      </c>
      <c r="AK1273" t="n">
        <v>17</v>
      </c>
      <c r="AL1273" t="n">
        <v>5</v>
      </c>
      <c r="AM1273" t="n">
        <v>5</v>
      </c>
      <c r="AN1273" t="n">
        <v>0</v>
      </c>
      <c r="AO1273" t="n">
        <v>0</v>
      </c>
      <c r="AP1273" t="inlineStr">
        <is>
          <t>No</t>
        </is>
      </c>
      <c r="AQ1273" t="inlineStr">
        <is>
          <t>Yes</t>
        </is>
      </c>
      <c r="AR1273">
        <f>HYPERLINK("http://catalog.hathitrust.org/Record/001411754","HathiTrust Record")</f>
        <v/>
      </c>
      <c r="AS1273">
        <f>HYPERLINK("https://creighton-primo.hosted.exlibrisgroup.com/primo-explore/search?tab=default_tab&amp;search_scope=EVERYTHING&amp;vid=01CRU&amp;lang=en_US&amp;offset=0&amp;query=any,contains,991005435969702656","Catalog Record")</f>
        <v/>
      </c>
      <c r="AT1273">
        <f>HYPERLINK("http://www.worldcat.org/oclc/4072","WorldCat Record")</f>
        <v/>
      </c>
      <c r="AU1273" t="inlineStr">
        <is>
          <t>1127571:eng</t>
        </is>
      </c>
      <c r="AV1273" t="inlineStr">
        <is>
          <t>4072</t>
        </is>
      </c>
      <c r="AW1273" t="inlineStr">
        <is>
          <t>991005435969702656</t>
        </is>
      </c>
      <c r="AX1273" t="inlineStr">
        <is>
          <t>991005435969702656</t>
        </is>
      </c>
      <c r="AY1273" t="inlineStr">
        <is>
          <t>2266243350002656</t>
        </is>
      </c>
      <c r="AZ1273" t="inlineStr">
        <is>
          <t>BOOK</t>
        </is>
      </c>
      <c r="BB1273" t="inlineStr">
        <is>
          <t>9780826511270</t>
        </is>
      </c>
      <c r="BC1273" t="inlineStr">
        <is>
          <t>32285000689017</t>
        </is>
      </c>
      <c r="BD1273" t="inlineStr">
        <is>
          <t>893626020</t>
        </is>
      </c>
    </row>
    <row r="1274">
      <c r="A1274" t="inlineStr">
        <is>
          <t>No</t>
        </is>
      </c>
      <c r="B1274" t="inlineStr">
        <is>
          <t>BT82.7 .B63 1977</t>
        </is>
      </c>
      <c r="C1274" t="inlineStr">
        <is>
          <t>0                      BT 0082700B  63          1977</t>
        </is>
      </c>
      <c r="D1274" t="inlineStr">
        <is>
          <t>Farewell to innocence : a socio-ethical study on Black theology and Black power / Allan Aubrey Boesak.</t>
        </is>
      </c>
      <c r="F1274" t="inlineStr">
        <is>
          <t>No</t>
        </is>
      </c>
      <c r="G1274" t="inlineStr">
        <is>
          <t>1</t>
        </is>
      </c>
      <c r="H1274" t="inlineStr">
        <is>
          <t>No</t>
        </is>
      </c>
      <c r="I1274" t="inlineStr">
        <is>
          <t>No</t>
        </is>
      </c>
      <c r="J1274" t="inlineStr">
        <is>
          <t>0</t>
        </is>
      </c>
      <c r="K1274" t="inlineStr">
        <is>
          <t>Boesak, Allan, 1945-</t>
        </is>
      </c>
      <c r="L1274" t="inlineStr">
        <is>
          <t>Maryknoll, N.Y. : Orbis Books, 1977, c1976.</t>
        </is>
      </c>
      <c r="M1274" t="inlineStr">
        <is>
          <t>1977</t>
        </is>
      </c>
      <c r="O1274" t="inlineStr">
        <is>
          <t>eng</t>
        </is>
      </c>
      <c r="P1274" t="inlineStr">
        <is>
          <t>nyu</t>
        </is>
      </c>
      <c r="R1274" t="inlineStr">
        <is>
          <t xml:space="preserve">BT </t>
        </is>
      </c>
      <c r="S1274" t="n">
        <v>3</v>
      </c>
      <c r="T1274" t="n">
        <v>3</v>
      </c>
      <c r="U1274" t="inlineStr">
        <is>
          <t>2007-11-01</t>
        </is>
      </c>
      <c r="V1274" t="inlineStr">
        <is>
          <t>2007-11-01</t>
        </is>
      </c>
      <c r="W1274" t="inlineStr">
        <is>
          <t>1991-06-24</t>
        </is>
      </c>
      <c r="X1274" t="inlineStr">
        <is>
          <t>1991-06-24</t>
        </is>
      </c>
      <c r="Y1274" t="n">
        <v>688</v>
      </c>
      <c r="Z1274" t="n">
        <v>598</v>
      </c>
      <c r="AA1274" t="n">
        <v>617</v>
      </c>
      <c r="AB1274" t="n">
        <v>3</v>
      </c>
      <c r="AC1274" t="n">
        <v>3</v>
      </c>
      <c r="AD1274" t="n">
        <v>33</v>
      </c>
      <c r="AE1274" t="n">
        <v>33</v>
      </c>
      <c r="AF1274" t="n">
        <v>13</v>
      </c>
      <c r="AG1274" t="n">
        <v>13</v>
      </c>
      <c r="AH1274" t="n">
        <v>9</v>
      </c>
      <c r="AI1274" t="n">
        <v>9</v>
      </c>
      <c r="AJ1274" t="n">
        <v>20</v>
      </c>
      <c r="AK1274" t="n">
        <v>20</v>
      </c>
      <c r="AL1274" t="n">
        <v>1</v>
      </c>
      <c r="AM1274" t="n">
        <v>1</v>
      </c>
      <c r="AN1274" t="n">
        <v>0</v>
      </c>
      <c r="AO1274" t="n">
        <v>0</v>
      </c>
      <c r="AP1274" t="inlineStr">
        <is>
          <t>No</t>
        </is>
      </c>
      <c r="AQ1274" t="inlineStr">
        <is>
          <t>Yes</t>
        </is>
      </c>
      <c r="AR1274">
        <f>HYPERLINK("http://catalog.hathitrust.org/Record/000735000","HathiTrust Record")</f>
        <v/>
      </c>
      <c r="AS1274">
        <f>HYPERLINK("https://creighton-primo.hosted.exlibrisgroup.com/primo-explore/search?tab=default_tab&amp;search_scope=EVERYTHING&amp;vid=01CRU&amp;lang=en_US&amp;offset=0&amp;query=any,contains,991004277039702656","Catalog Record")</f>
        <v/>
      </c>
      <c r="AT1274">
        <f>HYPERLINK("http://www.worldcat.org/oclc/2896095","WorldCat Record")</f>
        <v/>
      </c>
      <c r="AU1274" t="inlineStr">
        <is>
          <t>543362:eng</t>
        </is>
      </c>
      <c r="AV1274" t="inlineStr">
        <is>
          <t>2896095</t>
        </is>
      </c>
      <c r="AW1274" t="inlineStr">
        <is>
          <t>991004277039702656</t>
        </is>
      </c>
      <c r="AX1274" t="inlineStr">
        <is>
          <t>991004277039702656</t>
        </is>
      </c>
      <c r="AY1274" t="inlineStr">
        <is>
          <t>2256396650002656</t>
        </is>
      </c>
      <c r="AZ1274" t="inlineStr">
        <is>
          <t>BOOK</t>
        </is>
      </c>
      <c r="BB1274" t="inlineStr">
        <is>
          <t>9780883441305</t>
        </is>
      </c>
      <c r="BC1274" t="inlineStr">
        <is>
          <t>32285000689025</t>
        </is>
      </c>
      <c r="BD1274" t="inlineStr">
        <is>
          <t>893869534</t>
        </is>
      </c>
    </row>
    <row r="1275">
      <c r="A1275" t="inlineStr">
        <is>
          <t>No</t>
        </is>
      </c>
      <c r="B1275" t="inlineStr">
        <is>
          <t>BT82.7 .H667 1993</t>
        </is>
      </c>
      <c r="C1275" t="inlineStr">
        <is>
          <t>0                      BT 0082700H  667         1993</t>
        </is>
      </c>
      <c r="D1275" t="inlineStr">
        <is>
          <t>Shoes that fit our feet : sources for a constructive Black theology / Dwight N. Hopkins.</t>
        </is>
      </c>
      <c r="F1275" t="inlineStr">
        <is>
          <t>No</t>
        </is>
      </c>
      <c r="G1275" t="inlineStr">
        <is>
          <t>1</t>
        </is>
      </c>
      <c r="H1275" t="inlineStr">
        <is>
          <t>No</t>
        </is>
      </c>
      <c r="I1275" t="inlineStr">
        <is>
          <t>No</t>
        </is>
      </c>
      <c r="J1275" t="inlineStr">
        <is>
          <t>0</t>
        </is>
      </c>
      <c r="K1275" t="inlineStr">
        <is>
          <t>Hopkins, Dwight N.</t>
        </is>
      </c>
      <c r="L1275" t="inlineStr">
        <is>
          <t>Maryknoll, N.Y. : Orbis Books, c1993.</t>
        </is>
      </c>
      <c r="M1275" t="inlineStr">
        <is>
          <t>1993</t>
        </is>
      </c>
      <c r="O1275" t="inlineStr">
        <is>
          <t>eng</t>
        </is>
      </c>
      <c r="P1275" t="inlineStr">
        <is>
          <t>nyu</t>
        </is>
      </c>
      <c r="R1275" t="inlineStr">
        <is>
          <t xml:space="preserve">BT </t>
        </is>
      </c>
      <c r="S1275" t="n">
        <v>6</v>
      </c>
      <c r="T1275" t="n">
        <v>6</v>
      </c>
      <c r="U1275" t="inlineStr">
        <is>
          <t>2008-03-12</t>
        </is>
      </c>
      <c r="V1275" t="inlineStr">
        <is>
          <t>2008-03-12</t>
        </is>
      </c>
      <c r="W1275" t="inlineStr">
        <is>
          <t>1994-04-14</t>
        </is>
      </c>
      <c r="X1275" t="inlineStr">
        <is>
          <t>1994-04-14</t>
        </is>
      </c>
      <c r="Y1275" t="n">
        <v>359</v>
      </c>
      <c r="Z1275" t="n">
        <v>326</v>
      </c>
      <c r="AA1275" t="n">
        <v>329</v>
      </c>
      <c r="AB1275" t="n">
        <v>2</v>
      </c>
      <c r="AC1275" t="n">
        <v>2</v>
      </c>
      <c r="AD1275" t="n">
        <v>19</v>
      </c>
      <c r="AE1275" t="n">
        <v>19</v>
      </c>
      <c r="AF1275" t="n">
        <v>6</v>
      </c>
      <c r="AG1275" t="n">
        <v>6</v>
      </c>
      <c r="AH1275" t="n">
        <v>6</v>
      </c>
      <c r="AI1275" t="n">
        <v>6</v>
      </c>
      <c r="AJ1275" t="n">
        <v>10</v>
      </c>
      <c r="AK1275" t="n">
        <v>10</v>
      </c>
      <c r="AL1275" t="n">
        <v>1</v>
      </c>
      <c r="AM1275" t="n">
        <v>1</v>
      </c>
      <c r="AN1275" t="n">
        <v>0</v>
      </c>
      <c r="AO1275" t="n">
        <v>0</v>
      </c>
      <c r="AP1275" t="inlineStr">
        <is>
          <t>No</t>
        </is>
      </c>
      <c r="AQ1275" t="inlineStr">
        <is>
          <t>Yes</t>
        </is>
      </c>
      <c r="AR1275">
        <f>HYPERLINK("http://catalog.hathitrust.org/Record/002615755","HathiTrust Record")</f>
        <v/>
      </c>
      <c r="AS1275">
        <f>HYPERLINK("https://creighton-primo.hosted.exlibrisgroup.com/primo-explore/search?tab=default_tab&amp;search_scope=EVERYTHING&amp;vid=01CRU&amp;lang=en_US&amp;offset=0&amp;query=any,contains,991002098849702656","Catalog Record")</f>
        <v/>
      </c>
      <c r="AT1275">
        <f>HYPERLINK("http://www.worldcat.org/oclc/26931639","WorldCat Record")</f>
        <v/>
      </c>
      <c r="AU1275" t="inlineStr">
        <is>
          <t>377718:eng</t>
        </is>
      </c>
      <c r="AV1275" t="inlineStr">
        <is>
          <t>26931639</t>
        </is>
      </c>
      <c r="AW1275" t="inlineStr">
        <is>
          <t>991002098849702656</t>
        </is>
      </c>
      <c r="AX1275" t="inlineStr">
        <is>
          <t>991002098849702656</t>
        </is>
      </c>
      <c r="AY1275" t="inlineStr">
        <is>
          <t>2260225400002656</t>
        </is>
      </c>
      <c r="AZ1275" t="inlineStr">
        <is>
          <t>BOOK</t>
        </is>
      </c>
      <c r="BB1275" t="inlineStr">
        <is>
          <t>9780883448489</t>
        </is>
      </c>
      <c r="BC1275" t="inlineStr">
        <is>
          <t>32285001876019</t>
        </is>
      </c>
      <c r="BD1275" t="inlineStr">
        <is>
          <t>893703671</t>
        </is>
      </c>
    </row>
    <row r="1276">
      <c r="A1276" t="inlineStr">
        <is>
          <t>No</t>
        </is>
      </c>
      <c r="B1276" t="inlineStr">
        <is>
          <t>BT82.7 .K74 1986</t>
        </is>
      </c>
      <c r="C1276" t="inlineStr">
        <is>
          <t>0                      BT 0082700K  74          1986</t>
        </is>
      </c>
      <c r="D1276" t="inlineStr">
        <is>
          <t>The voice of Black theology in South Africa / Louise Kretzschmar.</t>
        </is>
      </c>
      <c r="F1276" t="inlineStr">
        <is>
          <t>No</t>
        </is>
      </c>
      <c r="G1276" t="inlineStr">
        <is>
          <t>1</t>
        </is>
      </c>
      <c r="H1276" t="inlineStr">
        <is>
          <t>No</t>
        </is>
      </c>
      <c r="I1276" t="inlineStr">
        <is>
          <t>No</t>
        </is>
      </c>
      <c r="J1276" t="inlineStr">
        <is>
          <t>0</t>
        </is>
      </c>
      <c r="K1276" t="inlineStr">
        <is>
          <t>Kretzschmar, Louise.</t>
        </is>
      </c>
      <c r="L1276" t="inlineStr">
        <is>
          <t>Johannesburg : Ravan Press, c1986.</t>
        </is>
      </c>
      <c r="M1276" t="inlineStr">
        <is>
          <t>1986</t>
        </is>
      </c>
      <c r="O1276" t="inlineStr">
        <is>
          <t>eng</t>
        </is>
      </c>
      <c r="P1276" t="inlineStr">
        <is>
          <t xml:space="preserve">sa </t>
        </is>
      </c>
      <c r="R1276" t="inlineStr">
        <is>
          <t xml:space="preserve">BT </t>
        </is>
      </c>
      <c r="S1276" t="n">
        <v>4</v>
      </c>
      <c r="T1276" t="n">
        <v>4</v>
      </c>
      <c r="U1276" t="inlineStr">
        <is>
          <t>1992-01-25</t>
        </is>
      </c>
      <c r="V1276" t="inlineStr">
        <is>
          <t>1992-01-25</t>
        </is>
      </c>
      <c r="W1276" t="inlineStr">
        <is>
          <t>1989-10-23</t>
        </is>
      </c>
      <c r="X1276" t="inlineStr">
        <is>
          <t>1989-10-23</t>
        </is>
      </c>
      <c r="Y1276" t="n">
        <v>327</v>
      </c>
      <c r="Z1276" t="n">
        <v>234</v>
      </c>
      <c r="AA1276" t="n">
        <v>237</v>
      </c>
      <c r="AB1276" t="n">
        <v>3</v>
      </c>
      <c r="AC1276" t="n">
        <v>3</v>
      </c>
      <c r="AD1276" t="n">
        <v>9</v>
      </c>
      <c r="AE1276" t="n">
        <v>9</v>
      </c>
      <c r="AF1276" t="n">
        <v>1</v>
      </c>
      <c r="AG1276" t="n">
        <v>1</v>
      </c>
      <c r="AH1276" t="n">
        <v>1</v>
      </c>
      <c r="AI1276" t="n">
        <v>1</v>
      </c>
      <c r="AJ1276" t="n">
        <v>7</v>
      </c>
      <c r="AK1276" t="n">
        <v>7</v>
      </c>
      <c r="AL1276" t="n">
        <v>2</v>
      </c>
      <c r="AM1276" t="n">
        <v>2</v>
      </c>
      <c r="AN1276" t="n">
        <v>0</v>
      </c>
      <c r="AO1276" t="n">
        <v>0</v>
      </c>
      <c r="AP1276" t="inlineStr">
        <is>
          <t>No</t>
        </is>
      </c>
      <c r="AQ1276" t="inlineStr">
        <is>
          <t>Yes</t>
        </is>
      </c>
      <c r="AR1276">
        <f>HYPERLINK("http://catalog.hathitrust.org/Record/000812395","HathiTrust Record")</f>
        <v/>
      </c>
      <c r="AS1276">
        <f>HYPERLINK("https://creighton-primo.hosted.exlibrisgroup.com/primo-explore/search?tab=default_tab&amp;search_scope=EVERYTHING&amp;vid=01CRU&amp;lang=en_US&amp;offset=0&amp;query=any,contains,991000958889702656","Catalog Record")</f>
        <v/>
      </c>
      <c r="AT1276">
        <f>HYPERLINK("http://www.worldcat.org/oclc/14765469","WorldCat Record")</f>
        <v/>
      </c>
      <c r="AU1276" t="inlineStr">
        <is>
          <t>8458373:eng</t>
        </is>
      </c>
      <c r="AV1276" t="inlineStr">
        <is>
          <t>14765469</t>
        </is>
      </c>
      <c r="AW1276" t="inlineStr">
        <is>
          <t>991000958889702656</t>
        </is>
      </c>
      <c r="AX1276" t="inlineStr">
        <is>
          <t>991000958889702656</t>
        </is>
      </c>
      <c r="AY1276" t="inlineStr">
        <is>
          <t>2257438130002656</t>
        </is>
      </c>
      <c r="AZ1276" t="inlineStr">
        <is>
          <t>BOOK</t>
        </is>
      </c>
      <c r="BB1276" t="inlineStr">
        <is>
          <t>9780869752692</t>
        </is>
      </c>
      <c r="BC1276" t="inlineStr">
        <is>
          <t>32285000004548</t>
        </is>
      </c>
      <c r="BD1276" t="inlineStr">
        <is>
          <t>893321527</t>
        </is>
      </c>
    </row>
    <row r="1277">
      <c r="A1277" t="inlineStr">
        <is>
          <t>No</t>
        </is>
      </c>
      <c r="B1277" t="inlineStr">
        <is>
          <t>BT82.7 .W57 1987</t>
        </is>
      </c>
      <c r="C1277" t="inlineStr">
        <is>
          <t>0                      BT 0082700W  57          1987</t>
        </is>
      </c>
      <c r="D1277" t="inlineStr">
        <is>
          <t>The way of the black Messiah : the hermeneutical challenge of black theology as a theology of liberation / Theo Witvliet ; [translated by John Bowden].</t>
        </is>
      </c>
      <c r="F1277" t="inlineStr">
        <is>
          <t>No</t>
        </is>
      </c>
      <c r="G1277" t="inlineStr">
        <is>
          <t>1</t>
        </is>
      </c>
      <c r="H1277" t="inlineStr">
        <is>
          <t>No</t>
        </is>
      </c>
      <c r="I1277" t="inlineStr">
        <is>
          <t>No</t>
        </is>
      </c>
      <c r="J1277" t="inlineStr">
        <is>
          <t>0</t>
        </is>
      </c>
      <c r="K1277" t="inlineStr">
        <is>
          <t>Witvliet, Theo.</t>
        </is>
      </c>
      <c r="L1277" t="inlineStr">
        <is>
          <t>Oak Park, IL : Meyer-Stone Books, c1987.</t>
        </is>
      </c>
      <c r="M1277" t="inlineStr">
        <is>
          <t>1987</t>
        </is>
      </c>
      <c r="O1277" t="inlineStr">
        <is>
          <t>eng</t>
        </is>
      </c>
      <c r="P1277" t="inlineStr">
        <is>
          <t>ilu</t>
        </is>
      </c>
      <c r="R1277" t="inlineStr">
        <is>
          <t xml:space="preserve">BT </t>
        </is>
      </c>
      <c r="S1277" t="n">
        <v>8</v>
      </c>
      <c r="T1277" t="n">
        <v>8</v>
      </c>
      <c r="U1277" t="inlineStr">
        <is>
          <t>2003-11-09</t>
        </is>
      </c>
      <c r="V1277" t="inlineStr">
        <is>
          <t>2003-11-09</t>
        </is>
      </c>
      <c r="W1277" t="inlineStr">
        <is>
          <t>1991-04-09</t>
        </is>
      </c>
      <c r="X1277" t="inlineStr">
        <is>
          <t>1991-04-09</t>
        </is>
      </c>
      <c r="Y1277" t="n">
        <v>424</v>
      </c>
      <c r="Z1277" t="n">
        <v>395</v>
      </c>
      <c r="AA1277" t="n">
        <v>475</v>
      </c>
      <c r="AB1277" t="n">
        <v>3</v>
      </c>
      <c r="AC1277" t="n">
        <v>4</v>
      </c>
      <c r="AD1277" t="n">
        <v>23</v>
      </c>
      <c r="AE1277" t="n">
        <v>25</v>
      </c>
      <c r="AF1277" t="n">
        <v>8</v>
      </c>
      <c r="AG1277" t="n">
        <v>8</v>
      </c>
      <c r="AH1277" t="n">
        <v>7</v>
      </c>
      <c r="AI1277" t="n">
        <v>7</v>
      </c>
      <c r="AJ1277" t="n">
        <v>14</v>
      </c>
      <c r="AK1277" t="n">
        <v>15</v>
      </c>
      <c r="AL1277" t="n">
        <v>2</v>
      </c>
      <c r="AM1277" t="n">
        <v>3</v>
      </c>
      <c r="AN1277" t="n">
        <v>0</v>
      </c>
      <c r="AO1277" t="n">
        <v>0</v>
      </c>
      <c r="AP1277" t="inlineStr">
        <is>
          <t>No</t>
        </is>
      </c>
      <c r="AQ1277" t="inlineStr">
        <is>
          <t>Yes</t>
        </is>
      </c>
      <c r="AR1277">
        <f>HYPERLINK("http://catalog.hathitrust.org/Record/004384070","HathiTrust Record")</f>
        <v/>
      </c>
      <c r="AS1277">
        <f>HYPERLINK("https://creighton-primo.hosted.exlibrisgroup.com/primo-explore/search?tab=default_tab&amp;search_scope=EVERYTHING&amp;vid=01CRU&amp;lang=en_US&amp;offset=0&amp;query=any,contains,991001252229702656","Catalog Record")</f>
        <v/>
      </c>
      <c r="AT1277">
        <f>HYPERLINK("http://www.worldcat.org/oclc/17677969","WorldCat Record")</f>
        <v/>
      </c>
      <c r="AU1277" t="inlineStr">
        <is>
          <t>15842916:eng</t>
        </is>
      </c>
      <c r="AV1277" t="inlineStr">
        <is>
          <t>17677969</t>
        </is>
      </c>
      <c r="AW1277" t="inlineStr">
        <is>
          <t>991001252229702656</t>
        </is>
      </c>
      <c r="AX1277" t="inlineStr">
        <is>
          <t>991001252229702656</t>
        </is>
      </c>
      <c r="AY1277" t="inlineStr">
        <is>
          <t>2261042820002656</t>
        </is>
      </c>
      <c r="AZ1277" t="inlineStr">
        <is>
          <t>BOOK</t>
        </is>
      </c>
      <c r="BB1277" t="inlineStr">
        <is>
          <t>9780940989047</t>
        </is>
      </c>
      <c r="BC1277" t="inlineStr">
        <is>
          <t>32285000566504</t>
        </is>
      </c>
      <c r="BD1277" t="inlineStr">
        <is>
          <t>893528809</t>
        </is>
      </c>
    </row>
    <row r="1278">
      <c r="A1278" t="inlineStr">
        <is>
          <t>No</t>
        </is>
      </c>
      <c r="B1278" t="inlineStr">
        <is>
          <t>BT821 .A67 1951</t>
        </is>
      </c>
      <c r="C1278" t="inlineStr">
        <is>
          <t>0                      BT 0821000A  67          1951</t>
        </is>
      </c>
      <c r="D1278" t="inlineStr">
        <is>
          <t>What becomes of the dead? A study of eschatology / by J. P. Arendzen.</t>
        </is>
      </c>
      <c r="F1278" t="inlineStr">
        <is>
          <t>No</t>
        </is>
      </c>
      <c r="G1278" t="inlineStr">
        <is>
          <t>1</t>
        </is>
      </c>
      <c r="H1278" t="inlineStr">
        <is>
          <t>No</t>
        </is>
      </c>
      <c r="I1278" t="inlineStr">
        <is>
          <t>No</t>
        </is>
      </c>
      <c r="J1278" t="inlineStr">
        <is>
          <t>0</t>
        </is>
      </c>
      <c r="K1278" t="inlineStr">
        <is>
          <t>Arendzen, J. P. (John Peter), 1873-1954.</t>
        </is>
      </c>
      <c r="L1278" t="inlineStr">
        <is>
          <t>New York : Sheed &amp; Ward, 1951.</t>
        </is>
      </c>
      <c r="M1278" t="inlineStr">
        <is>
          <t>1951</t>
        </is>
      </c>
      <c r="N1278" t="inlineStr">
        <is>
          <t>[2d ed.]</t>
        </is>
      </c>
      <c r="O1278" t="inlineStr">
        <is>
          <t>eng</t>
        </is>
      </c>
      <c r="P1278" t="inlineStr">
        <is>
          <t>___</t>
        </is>
      </c>
      <c r="R1278" t="inlineStr">
        <is>
          <t xml:space="preserve">BT </t>
        </is>
      </c>
      <c r="S1278" t="n">
        <v>2</v>
      </c>
      <c r="T1278" t="n">
        <v>2</v>
      </c>
      <c r="U1278" t="inlineStr">
        <is>
          <t>2008-12-03</t>
        </is>
      </c>
      <c r="V1278" t="inlineStr">
        <is>
          <t>2008-12-03</t>
        </is>
      </c>
      <c r="W1278" t="inlineStr">
        <is>
          <t>1990-08-08</t>
        </is>
      </c>
      <c r="X1278" t="inlineStr">
        <is>
          <t>1990-08-08</t>
        </is>
      </c>
      <c r="Y1278" t="n">
        <v>80</v>
      </c>
      <c r="Z1278" t="n">
        <v>77</v>
      </c>
      <c r="AA1278" t="n">
        <v>114</v>
      </c>
      <c r="AB1278" t="n">
        <v>1</v>
      </c>
      <c r="AC1278" t="n">
        <v>1</v>
      </c>
      <c r="AD1278" t="n">
        <v>19</v>
      </c>
      <c r="AE1278" t="n">
        <v>25</v>
      </c>
      <c r="AF1278" t="n">
        <v>8</v>
      </c>
      <c r="AG1278" t="n">
        <v>11</v>
      </c>
      <c r="AH1278" t="n">
        <v>4</v>
      </c>
      <c r="AI1278" t="n">
        <v>6</v>
      </c>
      <c r="AJ1278" t="n">
        <v>13</v>
      </c>
      <c r="AK1278" t="n">
        <v>18</v>
      </c>
      <c r="AL1278" t="n">
        <v>0</v>
      </c>
      <c r="AM1278" t="n">
        <v>0</v>
      </c>
      <c r="AN1278" t="n">
        <v>0</v>
      </c>
      <c r="AO1278" t="n">
        <v>0</v>
      </c>
      <c r="AP1278" t="inlineStr">
        <is>
          <t>No</t>
        </is>
      </c>
      <c r="AQ1278" t="inlineStr">
        <is>
          <t>No</t>
        </is>
      </c>
      <c r="AR1278">
        <f>HYPERLINK("http://catalog.hathitrust.org/Record/102370715","HathiTrust Record")</f>
        <v/>
      </c>
      <c r="AS1278">
        <f>HYPERLINK("https://creighton-primo.hosted.exlibrisgroup.com/primo-explore/search?tab=default_tab&amp;search_scope=EVERYTHING&amp;vid=01CRU&amp;lang=en_US&amp;offset=0&amp;query=any,contains,991003793819702656","Catalog Record")</f>
        <v/>
      </c>
      <c r="AT1278">
        <f>HYPERLINK("http://www.worldcat.org/oclc/1513708","WorldCat Record")</f>
        <v/>
      </c>
      <c r="AU1278" t="inlineStr">
        <is>
          <t>2341399:eng</t>
        </is>
      </c>
      <c r="AV1278" t="inlineStr">
        <is>
          <t>1513708</t>
        </is>
      </c>
      <c r="AW1278" t="inlineStr">
        <is>
          <t>991003793819702656</t>
        </is>
      </c>
      <c r="AX1278" t="inlineStr">
        <is>
          <t>991003793819702656</t>
        </is>
      </c>
      <c r="AY1278" t="inlineStr">
        <is>
          <t>2258279750002656</t>
        </is>
      </c>
      <c r="AZ1278" t="inlineStr">
        <is>
          <t>BOOK</t>
        </is>
      </c>
      <c r="BC1278" t="inlineStr">
        <is>
          <t>32285000269422</t>
        </is>
      </c>
      <c r="BD1278" t="inlineStr">
        <is>
          <t>893336956</t>
        </is>
      </c>
    </row>
    <row r="1279">
      <c r="A1279" t="inlineStr">
        <is>
          <t>No</t>
        </is>
      </c>
      <c r="B1279" t="inlineStr">
        <is>
          <t>BT821 .G313 1952</t>
        </is>
      </c>
      <c r="C1279" t="inlineStr">
        <is>
          <t>0                      BT 0821000G  313         1952</t>
        </is>
      </c>
      <c r="D1279" t="inlineStr">
        <is>
          <t>Life everlasting / by Reginald Garrigou-Lagrange ; translated by Patrick Cummins.</t>
        </is>
      </c>
      <c r="F1279" t="inlineStr">
        <is>
          <t>No</t>
        </is>
      </c>
      <c r="G1279" t="inlineStr">
        <is>
          <t>1</t>
        </is>
      </c>
      <c r="H1279" t="inlineStr">
        <is>
          <t>No</t>
        </is>
      </c>
      <c r="I1279" t="inlineStr">
        <is>
          <t>No</t>
        </is>
      </c>
      <c r="J1279" t="inlineStr">
        <is>
          <t>0</t>
        </is>
      </c>
      <c r="K1279" t="inlineStr">
        <is>
          <t>Garrigou-Lagrange, Réginald, 1877-1964.</t>
        </is>
      </c>
      <c r="L1279" t="inlineStr">
        <is>
          <t>St. Louis : Herder, 1952.</t>
        </is>
      </c>
      <c r="M1279" t="inlineStr">
        <is>
          <t>1952</t>
        </is>
      </c>
      <c r="O1279" t="inlineStr">
        <is>
          <t>eng</t>
        </is>
      </c>
      <c r="P1279" t="inlineStr">
        <is>
          <t>mou</t>
        </is>
      </c>
      <c r="R1279" t="inlineStr">
        <is>
          <t xml:space="preserve">BT </t>
        </is>
      </c>
      <c r="S1279" t="n">
        <v>3</v>
      </c>
      <c r="T1279" t="n">
        <v>3</v>
      </c>
      <c r="U1279" t="inlineStr">
        <is>
          <t>2010-04-29</t>
        </is>
      </c>
      <c r="V1279" t="inlineStr">
        <is>
          <t>2010-04-29</t>
        </is>
      </c>
      <c r="W1279" t="inlineStr">
        <is>
          <t>1991-10-22</t>
        </is>
      </c>
      <c r="X1279" t="inlineStr">
        <is>
          <t>1991-10-22</t>
        </is>
      </c>
      <c r="Y1279" t="n">
        <v>177</v>
      </c>
      <c r="Z1279" t="n">
        <v>156</v>
      </c>
      <c r="AA1279" t="n">
        <v>168</v>
      </c>
      <c r="AB1279" t="n">
        <v>2</v>
      </c>
      <c r="AC1279" t="n">
        <v>2</v>
      </c>
      <c r="AD1279" t="n">
        <v>26</v>
      </c>
      <c r="AE1279" t="n">
        <v>26</v>
      </c>
      <c r="AF1279" t="n">
        <v>8</v>
      </c>
      <c r="AG1279" t="n">
        <v>8</v>
      </c>
      <c r="AH1279" t="n">
        <v>7</v>
      </c>
      <c r="AI1279" t="n">
        <v>7</v>
      </c>
      <c r="AJ1279" t="n">
        <v>21</v>
      </c>
      <c r="AK1279" t="n">
        <v>21</v>
      </c>
      <c r="AL1279" t="n">
        <v>0</v>
      </c>
      <c r="AM1279" t="n">
        <v>0</v>
      </c>
      <c r="AN1279" t="n">
        <v>0</v>
      </c>
      <c r="AO1279" t="n">
        <v>0</v>
      </c>
      <c r="AP1279" t="inlineStr">
        <is>
          <t>No</t>
        </is>
      </c>
      <c r="AQ1279" t="inlineStr">
        <is>
          <t>Yes</t>
        </is>
      </c>
      <c r="AR1279">
        <f>HYPERLINK("http://catalog.hathitrust.org/Record/102580579","HathiTrust Record")</f>
        <v/>
      </c>
      <c r="AS1279">
        <f>HYPERLINK("https://creighton-primo.hosted.exlibrisgroup.com/primo-explore/search?tab=default_tab&amp;search_scope=EVERYTHING&amp;vid=01CRU&amp;lang=en_US&amp;offset=0&amp;query=any,contains,991003857629702656","Catalog Record")</f>
        <v/>
      </c>
      <c r="AT1279">
        <f>HYPERLINK("http://www.worldcat.org/oclc/1658557","WorldCat Record")</f>
        <v/>
      </c>
      <c r="AU1279" t="inlineStr">
        <is>
          <t>2869456097:eng</t>
        </is>
      </c>
      <c r="AV1279" t="inlineStr">
        <is>
          <t>1658557</t>
        </is>
      </c>
      <c r="AW1279" t="inlineStr">
        <is>
          <t>991003857629702656</t>
        </is>
      </c>
      <c r="AX1279" t="inlineStr">
        <is>
          <t>991003857629702656</t>
        </is>
      </c>
      <c r="AY1279" t="inlineStr">
        <is>
          <t>2255353880002656</t>
        </is>
      </c>
      <c r="AZ1279" t="inlineStr">
        <is>
          <t>BOOK</t>
        </is>
      </c>
      <c r="BC1279" t="inlineStr">
        <is>
          <t>32285000806975</t>
        </is>
      </c>
      <c r="BD1279" t="inlineStr">
        <is>
          <t>893592979</t>
        </is>
      </c>
    </row>
    <row r="1280">
      <c r="A1280" t="inlineStr">
        <is>
          <t>No</t>
        </is>
      </c>
      <c r="B1280" t="inlineStr">
        <is>
          <t>BT821 .G82 1954</t>
        </is>
      </c>
      <c r="C1280" t="inlineStr">
        <is>
          <t>0                      BT 0821000G  82          1954</t>
        </is>
      </c>
      <c r="D1280" t="inlineStr">
        <is>
          <t>The last things : concerning death, purification after death, resurrection, judgment, and eternity / Romano Guardini. Translated by Charlotte E. Forsyth and Grace B. Branham.</t>
        </is>
      </c>
      <c r="F1280" t="inlineStr">
        <is>
          <t>No</t>
        </is>
      </c>
      <c r="G1280" t="inlineStr">
        <is>
          <t>1</t>
        </is>
      </c>
      <c r="H1280" t="inlineStr">
        <is>
          <t>No</t>
        </is>
      </c>
      <c r="I1280" t="inlineStr">
        <is>
          <t>No</t>
        </is>
      </c>
      <c r="J1280" t="inlineStr">
        <is>
          <t>0</t>
        </is>
      </c>
      <c r="K1280" t="inlineStr">
        <is>
          <t>Guardini, Romano, 1885-1968.</t>
        </is>
      </c>
      <c r="L1280" t="inlineStr">
        <is>
          <t>[New York] : Pantheon, [1954]</t>
        </is>
      </c>
      <c r="M1280" t="inlineStr">
        <is>
          <t>1954</t>
        </is>
      </c>
      <c r="O1280" t="inlineStr">
        <is>
          <t>eng</t>
        </is>
      </c>
      <c r="P1280" t="inlineStr">
        <is>
          <t>nyu</t>
        </is>
      </c>
      <c r="R1280" t="inlineStr">
        <is>
          <t xml:space="preserve">BT </t>
        </is>
      </c>
      <c r="S1280" t="n">
        <v>5</v>
      </c>
      <c r="T1280" t="n">
        <v>5</v>
      </c>
      <c r="U1280" t="inlineStr">
        <is>
          <t>1995-10-09</t>
        </is>
      </c>
      <c r="V1280" t="inlineStr">
        <is>
          <t>1995-10-09</t>
        </is>
      </c>
      <c r="W1280" t="inlineStr">
        <is>
          <t>1991-10-22</t>
        </is>
      </c>
      <c r="X1280" t="inlineStr">
        <is>
          <t>1991-10-22</t>
        </is>
      </c>
      <c r="Y1280" t="n">
        <v>220</v>
      </c>
      <c r="Z1280" t="n">
        <v>196</v>
      </c>
      <c r="AA1280" t="n">
        <v>313</v>
      </c>
      <c r="AB1280" t="n">
        <v>3</v>
      </c>
      <c r="AC1280" t="n">
        <v>3</v>
      </c>
      <c r="AD1280" t="n">
        <v>29</v>
      </c>
      <c r="AE1280" t="n">
        <v>35</v>
      </c>
      <c r="AF1280" t="n">
        <v>10</v>
      </c>
      <c r="AG1280" t="n">
        <v>14</v>
      </c>
      <c r="AH1280" t="n">
        <v>9</v>
      </c>
      <c r="AI1280" t="n">
        <v>10</v>
      </c>
      <c r="AJ1280" t="n">
        <v>19</v>
      </c>
      <c r="AK1280" t="n">
        <v>22</v>
      </c>
      <c r="AL1280" t="n">
        <v>1</v>
      </c>
      <c r="AM1280" t="n">
        <v>1</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HYPERLINK("https://creighton-primo.hosted.exlibrisgroup.com/primo-explore/search?tab=default_tab&amp;search_scope=EVERYTHING&amp;vid=01CRU&amp;lang=en_US&amp;offset=0&amp;query=any,contains,991003869009702656","Catalog Record")</f>
        <v/>
      </c>
      <c r="AT1280">
        <f>HYPERLINK("http://www.worldcat.org/oclc/1686975","WorldCat Record")</f>
        <v/>
      </c>
      <c r="AU1280" t="inlineStr">
        <is>
          <t>4160051569:eng</t>
        </is>
      </c>
      <c r="AV1280" t="inlineStr">
        <is>
          <t>1686975</t>
        </is>
      </c>
      <c r="AW1280" t="inlineStr">
        <is>
          <t>991003869009702656</t>
        </is>
      </c>
      <c r="AX1280" t="inlineStr">
        <is>
          <t>991003869009702656</t>
        </is>
      </c>
      <c r="AY1280" t="inlineStr">
        <is>
          <t>2267602600002656</t>
        </is>
      </c>
      <c r="AZ1280" t="inlineStr">
        <is>
          <t>BOOK</t>
        </is>
      </c>
      <c r="BC1280" t="inlineStr">
        <is>
          <t>32285000806983</t>
        </is>
      </c>
      <c r="BD1280" t="inlineStr">
        <is>
          <t>893605296</t>
        </is>
      </c>
    </row>
    <row r="1281">
      <c r="A1281" t="inlineStr">
        <is>
          <t>No</t>
        </is>
      </c>
      <c r="B1281" t="inlineStr">
        <is>
          <t>BT821.2 .A45 1996</t>
        </is>
      </c>
      <c r="C1281" t="inlineStr">
        <is>
          <t>0                      BT 0821200A  45          1996</t>
        </is>
      </c>
      <c r="D1281" t="inlineStr">
        <is>
          <t>Raising Abel : the recovery of the eschatological imagination / James Alison.</t>
        </is>
      </c>
      <c r="F1281" t="inlineStr">
        <is>
          <t>No</t>
        </is>
      </c>
      <c r="G1281" t="inlineStr">
        <is>
          <t>1</t>
        </is>
      </c>
      <c r="H1281" t="inlineStr">
        <is>
          <t>No</t>
        </is>
      </c>
      <c r="I1281" t="inlineStr">
        <is>
          <t>No</t>
        </is>
      </c>
      <c r="J1281" t="inlineStr">
        <is>
          <t>0</t>
        </is>
      </c>
      <c r="K1281" t="inlineStr">
        <is>
          <t>Alison, James, 1959-</t>
        </is>
      </c>
      <c r="L1281" t="inlineStr">
        <is>
          <t>New York : Crossroad Pub., 1996.</t>
        </is>
      </c>
      <c r="M1281" t="inlineStr">
        <is>
          <t>1996</t>
        </is>
      </c>
      <c r="O1281" t="inlineStr">
        <is>
          <t>eng</t>
        </is>
      </c>
      <c r="P1281" t="inlineStr">
        <is>
          <t>nyu</t>
        </is>
      </c>
      <c r="R1281" t="inlineStr">
        <is>
          <t xml:space="preserve">BT </t>
        </is>
      </c>
      <c r="S1281" t="n">
        <v>6</v>
      </c>
      <c r="T1281" t="n">
        <v>6</v>
      </c>
      <c r="U1281" t="inlineStr">
        <is>
          <t>2006-02-05</t>
        </is>
      </c>
      <c r="V1281" t="inlineStr">
        <is>
          <t>2006-02-05</t>
        </is>
      </c>
      <c r="W1281" t="inlineStr">
        <is>
          <t>2005-04-28</t>
        </is>
      </c>
      <c r="X1281" t="inlineStr">
        <is>
          <t>2005-04-28</t>
        </is>
      </c>
      <c r="Y1281" t="n">
        <v>268</v>
      </c>
      <c r="Z1281" t="n">
        <v>222</v>
      </c>
      <c r="AA1281" t="n">
        <v>232</v>
      </c>
      <c r="AB1281" t="n">
        <v>3</v>
      </c>
      <c r="AC1281" t="n">
        <v>4</v>
      </c>
      <c r="AD1281" t="n">
        <v>29</v>
      </c>
      <c r="AE1281" t="n">
        <v>31</v>
      </c>
      <c r="AF1281" t="n">
        <v>11</v>
      </c>
      <c r="AG1281" t="n">
        <v>12</v>
      </c>
      <c r="AH1281" t="n">
        <v>6</v>
      </c>
      <c r="AI1281" t="n">
        <v>7</v>
      </c>
      <c r="AJ1281" t="n">
        <v>20</v>
      </c>
      <c r="AK1281" t="n">
        <v>21</v>
      </c>
      <c r="AL1281" t="n">
        <v>2</v>
      </c>
      <c r="AM1281" t="n">
        <v>2</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HYPERLINK("https://creighton-primo.hosted.exlibrisgroup.com/primo-explore/search?tab=default_tab&amp;search_scope=EVERYTHING&amp;vid=01CRU&amp;lang=en_US&amp;offset=0&amp;query=any,contains,991004530289702656","Catalog Record")</f>
        <v/>
      </c>
      <c r="AT1281">
        <f>HYPERLINK("http://www.worldcat.org/oclc/34357281","WorldCat Record")</f>
        <v/>
      </c>
      <c r="AU1281" t="inlineStr">
        <is>
          <t>39297568:eng</t>
        </is>
      </c>
      <c r="AV1281" t="inlineStr">
        <is>
          <t>34357281</t>
        </is>
      </c>
      <c r="AW1281" t="inlineStr">
        <is>
          <t>991004530289702656</t>
        </is>
      </c>
      <c r="AX1281" t="inlineStr">
        <is>
          <t>991004530289702656</t>
        </is>
      </c>
      <c r="AY1281" t="inlineStr">
        <is>
          <t>2268765120002656</t>
        </is>
      </c>
      <c r="AZ1281" t="inlineStr">
        <is>
          <t>BOOK</t>
        </is>
      </c>
      <c r="BB1281" t="inlineStr">
        <is>
          <t>9780824515652</t>
        </is>
      </c>
      <c r="BC1281" t="inlineStr">
        <is>
          <t>32285005034052</t>
        </is>
      </c>
      <c r="BD1281" t="inlineStr">
        <is>
          <t>893719041</t>
        </is>
      </c>
    </row>
    <row r="1282">
      <c r="A1282" t="inlineStr">
        <is>
          <t>No</t>
        </is>
      </c>
      <c r="B1282" t="inlineStr">
        <is>
          <t>BT821.2 .D3</t>
        </is>
      </c>
      <c r="C1282" t="inlineStr">
        <is>
          <t>0                      BT 0821200D  3</t>
        </is>
      </c>
      <c r="D1282" t="inlineStr">
        <is>
          <t>Salvation and damnation / William J. Dalton.</t>
        </is>
      </c>
      <c r="F1282" t="inlineStr">
        <is>
          <t>No</t>
        </is>
      </c>
      <c r="G1282" t="inlineStr">
        <is>
          <t>1</t>
        </is>
      </c>
      <c r="H1282" t="inlineStr">
        <is>
          <t>No</t>
        </is>
      </c>
      <c r="I1282" t="inlineStr">
        <is>
          <t>No</t>
        </is>
      </c>
      <c r="J1282" t="inlineStr">
        <is>
          <t>0</t>
        </is>
      </c>
      <c r="K1282" t="inlineStr">
        <is>
          <t>Dalton, William J.</t>
        </is>
      </c>
      <c r="L1282" t="inlineStr">
        <is>
          <t>Butler, Wi. : Clergy Book Service, [1977]</t>
        </is>
      </c>
      <c r="M1282" t="inlineStr">
        <is>
          <t>1977</t>
        </is>
      </c>
      <c r="O1282" t="inlineStr">
        <is>
          <t>eng</t>
        </is>
      </c>
      <c r="P1282" t="inlineStr">
        <is>
          <t>wiu</t>
        </is>
      </c>
      <c r="Q1282" t="inlineStr">
        <is>
          <t>Theology today ; no. 41</t>
        </is>
      </c>
      <c r="R1282" t="inlineStr">
        <is>
          <t xml:space="preserve">BT </t>
        </is>
      </c>
      <c r="S1282" t="n">
        <v>6</v>
      </c>
      <c r="T1282" t="n">
        <v>6</v>
      </c>
      <c r="U1282" t="inlineStr">
        <is>
          <t>1999-11-30</t>
        </is>
      </c>
      <c r="V1282" t="inlineStr">
        <is>
          <t>1999-11-30</t>
        </is>
      </c>
      <c r="W1282" t="inlineStr">
        <is>
          <t>1991-10-22</t>
        </is>
      </c>
      <c r="X1282" t="inlineStr">
        <is>
          <t>1991-10-22</t>
        </is>
      </c>
      <c r="Y1282" t="n">
        <v>79</v>
      </c>
      <c r="Z1282" t="n">
        <v>69</v>
      </c>
      <c r="AA1282" t="n">
        <v>77</v>
      </c>
      <c r="AB1282" t="n">
        <v>2</v>
      </c>
      <c r="AC1282" t="n">
        <v>2</v>
      </c>
      <c r="AD1282" t="n">
        <v>7</v>
      </c>
      <c r="AE1282" t="n">
        <v>7</v>
      </c>
      <c r="AF1282" t="n">
        <v>1</v>
      </c>
      <c r="AG1282" t="n">
        <v>1</v>
      </c>
      <c r="AH1282" t="n">
        <v>4</v>
      </c>
      <c r="AI1282" t="n">
        <v>4</v>
      </c>
      <c r="AJ1282" t="n">
        <v>5</v>
      </c>
      <c r="AK1282" t="n">
        <v>5</v>
      </c>
      <c r="AL1282" t="n">
        <v>0</v>
      </c>
      <c r="AM1282" t="n">
        <v>0</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HYPERLINK("https://creighton-primo.hosted.exlibrisgroup.com/primo-explore/search?tab=default_tab&amp;search_scope=EVERYTHING&amp;vid=01CRU&amp;lang=en_US&amp;offset=0&amp;query=any,contains,991005006009702656","Catalog Record")</f>
        <v/>
      </c>
      <c r="AT1282">
        <f>HYPERLINK("http://www.worldcat.org/oclc/6569973","WorldCat Record")</f>
        <v/>
      </c>
      <c r="AU1282" t="inlineStr">
        <is>
          <t>29170572:eng</t>
        </is>
      </c>
      <c r="AV1282" t="inlineStr">
        <is>
          <t>6569973</t>
        </is>
      </c>
      <c r="AW1282" t="inlineStr">
        <is>
          <t>991005006009702656</t>
        </is>
      </c>
      <c r="AX1282" t="inlineStr">
        <is>
          <t>991005006009702656</t>
        </is>
      </c>
      <c r="AY1282" t="inlineStr">
        <is>
          <t>2257014930002656</t>
        </is>
      </c>
      <c r="AZ1282" t="inlineStr">
        <is>
          <t>BOOK</t>
        </is>
      </c>
      <c r="BB1282" t="inlineStr">
        <is>
          <t>9780853425243</t>
        </is>
      </c>
      <c r="BC1282" t="inlineStr">
        <is>
          <t>32285000807015</t>
        </is>
      </c>
      <c r="BD1282" t="inlineStr">
        <is>
          <t>893801586</t>
        </is>
      </c>
    </row>
    <row r="1283">
      <c r="A1283" t="inlineStr">
        <is>
          <t>No</t>
        </is>
      </c>
      <c r="B1283" t="inlineStr">
        <is>
          <t>BT821.2 .F8</t>
        </is>
      </c>
      <c r="C1283" t="inlineStr">
        <is>
          <t>0                      BT 0821200F  8</t>
        </is>
      </c>
      <c r="D1283" t="inlineStr">
        <is>
          <t>The Future as the presence of shared hope / edited, with an introd. by Maryellen Muckenhirn.</t>
        </is>
      </c>
      <c r="F1283" t="inlineStr">
        <is>
          <t>No</t>
        </is>
      </c>
      <c r="G1283" t="inlineStr">
        <is>
          <t>1</t>
        </is>
      </c>
      <c r="H1283" t="inlineStr">
        <is>
          <t>No</t>
        </is>
      </c>
      <c r="I1283" t="inlineStr">
        <is>
          <t>No</t>
        </is>
      </c>
      <c r="J1283" t="inlineStr">
        <is>
          <t>0</t>
        </is>
      </c>
      <c r="L1283" t="inlineStr">
        <is>
          <t>New York, Sheed and Ward [1968]</t>
        </is>
      </c>
      <c r="M1283" t="inlineStr">
        <is>
          <t>1968</t>
        </is>
      </c>
      <c r="O1283" t="inlineStr">
        <is>
          <t>eng</t>
        </is>
      </c>
      <c r="P1283" t="inlineStr">
        <is>
          <t>nyu</t>
        </is>
      </c>
      <c r="R1283" t="inlineStr">
        <is>
          <t xml:space="preserve">BT </t>
        </is>
      </c>
      <c r="S1283" t="n">
        <v>4</v>
      </c>
      <c r="T1283" t="n">
        <v>4</v>
      </c>
      <c r="U1283" t="inlineStr">
        <is>
          <t>2004-10-25</t>
        </is>
      </c>
      <c r="V1283" t="inlineStr">
        <is>
          <t>2004-10-25</t>
        </is>
      </c>
      <c r="W1283" t="inlineStr">
        <is>
          <t>1991-10-22</t>
        </is>
      </c>
      <c r="X1283" t="inlineStr">
        <is>
          <t>1991-10-22</t>
        </is>
      </c>
      <c r="Y1283" t="n">
        <v>337</v>
      </c>
      <c r="Z1283" t="n">
        <v>299</v>
      </c>
      <c r="AA1283" t="n">
        <v>304</v>
      </c>
      <c r="AB1283" t="n">
        <v>3</v>
      </c>
      <c r="AC1283" t="n">
        <v>3</v>
      </c>
      <c r="AD1283" t="n">
        <v>33</v>
      </c>
      <c r="AE1283" t="n">
        <v>33</v>
      </c>
      <c r="AF1283" t="n">
        <v>11</v>
      </c>
      <c r="AG1283" t="n">
        <v>11</v>
      </c>
      <c r="AH1283" t="n">
        <v>9</v>
      </c>
      <c r="AI1283" t="n">
        <v>9</v>
      </c>
      <c r="AJ1283" t="n">
        <v>22</v>
      </c>
      <c r="AK1283" t="n">
        <v>22</v>
      </c>
      <c r="AL1283" t="n">
        <v>2</v>
      </c>
      <c r="AM1283" t="n">
        <v>2</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HYPERLINK("https://creighton-primo.hosted.exlibrisgroup.com/primo-explore/search?tab=default_tab&amp;search_scope=EVERYTHING&amp;vid=01CRU&amp;lang=en_US&amp;offset=0&amp;query=any,contains,991002792689702656","Catalog Record")</f>
        <v/>
      </c>
      <c r="AT1283">
        <f>HYPERLINK("http://www.worldcat.org/oclc/444120","WorldCat Record")</f>
        <v/>
      </c>
      <c r="AU1283" t="inlineStr">
        <is>
          <t>364690067:eng</t>
        </is>
      </c>
      <c r="AV1283" t="inlineStr">
        <is>
          <t>444120</t>
        </is>
      </c>
      <c r="AW1283" t="inlineStr">
        <is>
          <t>991002792689702656</t>
        </is>
      </c>
      <c r="AX1283" t="inlineStr">
        <is>
          <t>991002792689702656</t>
        </is>
      </c>
      <c r="AY1283" t="inlineStr">
        <is>
          <t>2265005690002656</t>
        </is>
      </c>
      <c r="AZ1283" t="inlineStr">
        <is>
          <t>BOOK</t>
        </is>
      </c>
      <c r="BC1283" t="inlineStr">
        <is>
          <t>32285000807023</t>
        </is>
      </c>
      <c r="BD1283" t="inlineStr">
        <is>
          <t>893786559</t>
        </is>
      </c>
    </row>
    <row r="1284">
      <c r="A1284" t="inlineStr">
        <is>
          <t>No</t>
        </is>
      </c>
      <c r="B1284" t="inlineStr">
        <is>
          <t>BT821.2 .M52 1929</t>
        </is>
      </c>
      <c r="C1284" t="inlineStr">
        <is>
          <t>0                      BT 0821200M  52          1929</t>
        </is>
      </c>
      <c r="D1284" t="inlineStr">
        <is>
          <t>The last things / by Abbé A. Michel; translated by the Rev. B. V. Miller, D. D.</t>
        </is>
      </c>
      <c r="F1284" t="inlineStr">
        <is>
          <t>No</t>
        </is>
      </c>
      <c r="G1284" t="inlineStr">
        <is>
          <t>1</t>
        </is>
      </c>
      <c r="H1284" t="inlineStr">
        <is>
          <t>No</t>
        </is>
      </c>
      <c r="I1284" t="inlineStr">
        <is>
          <t>No</t>
        </is>
      </c>
      <c r="J1284" t="inlineStr">
        <is>
          <t>0</t>
        </is>
      </c>
      <c r="K1284" t="inlineStr">
        <is>
          <t>Michel, A. (Albert), 1877-1972.</t>
        </is>
      </c>
      <c r="L1284" t="inlineStr">
        <is>
          <t>London and Edinburgh : Sands &amp; co. ; St. Louis, Mo. : B. Herder book co. [1929]</t>
        </is>
      </c>
      <c r="M1284" t="inlineStr">
        <is>
          <t>1930</t>
        </is>
      </c>
      <c r="O1284" t="inlineStr">
        <is>
          <t>eng</t>
        </is>
      </c>
      <c r="P1284" t="inlineStr">
        <is>
          <t>enk</t>
        </is>
      </c>
      <c r="Q1284" t="inlineStr">
        <is>
          <t>Catholic library of religious knowledge ; VII</t>
        </is>
      </c>
      <c r="R1284" t="inlineStr">
        <is>
          <t xml:space="preserve">BT </t>
        </is>
      </c>
      <c r="S1284" t="n">
        <v>1</v>
      </c>
      <c r="T1284" t="n">
        <v>1</v>
      </c>
      <c r="U1284" t="inlineStr">
        <is>
          <t>2008-12-03</t>
        </is>
      </c>
      <c r="V1284" t="inlineStr">
        <is>
          <t>2008-12-03</t>
        </is>
      </c>
      <c r="W1284" t="inlineStr">
        <is>
          <t>1991-10-22</t>
        </is>
      </c>
      <c r="X1284" t="inlineStr">
        <is>
          <t>1991-10-22</t>
        </is>
      </c>
      <c r="Y1284" t="n">
        <v>32</v>
      </c>
      <c r="Z1284" t="n">
        <v>25</v>
      </c>
      <c r="AA1284" t="n">
        <v>37</v>
      </c>
      <c r="AB1284" t="n">
        <v>2</v>
      </c>
      <c r="AC1284" t="n">
        <v>2</v>
      </c>
      <c r="AD1284" t="n">
        <v>7</v>
      </c>
      <c r="AE1284" t="n">
        <v>10</v>
      </c>
      <c r="AF1284" t="n">
        <v>2</v>
      </c>
      <c r="AG1284" t="n">
        <v>2</v>
      </c>
      <c r="AH1284" t="n">
        <v>2</v>
      </c>
      <c r="AI1284" t="n">
        <v>3</v>
      </c>
      <c r="AJ1284" t="n">
        <v>6</v>
      </c>
      <c r="AK1284" t="n">
        <v>8</v>
      </c>
      <c r="AL1284" t="n">
        <v>0</v>
      </c>
      <c r="AM1284" t="n">
        <v>0</v>
      </c>
      <c r="AN1284" t="n">
        <v>0</v>
      </c>
      <c r="AO1284" t="n">
        <v>0</v>
      </c>
      <c r="AP1284" t="inlineStr">
        <is>
          <t>No</t>
        </is>
      </c>
      <c r="AQ1284" t="inlineStr">
        <is>
          <t>Yes</t>
        </is>
      </c>
      <c r="AR1284">
        <f>HYPERLINK("http://catalog.hathitrust.org/Record/008624021","HathiTrust Record")</f>
        <v/>
      </c>
      <c r="AS1284">
        <f>HYPERLINK("https://creighton-primo.hosted.exlibrisgroup.com/primo-explore/search?tab=default_tab&amp;search_scope=EVERYTHING&amp;vid=01CRU&amp;lang=en_US&amp;offset=0&amp;query=any,contains,991004582499702656","Catalog Record")</f>
        <v/>
      </c>
      <c r="AT1284">
        <f>HYPERLINK("http://www.worldcat.org/oclc/4069157","WorldCat Record")</f>
        <v/>
      </c>
      <c r="AU1284" t="inlineStr">
        <is>
          <t>3943777888:eng</t>
        </is>
      </c>
      <c r="AV1284" t="inlineStr">
        <is>
          <t>4069157</t>
        </is>
      </c>
      <c r="AW1284" t="inlineStr">
        <is>
          <t>991004582499702656</t>
        </is>
      </c>
      <c r="AX1284" t="inlineStr">
        <is>
          <t>991004582499702656</t>
        </is>
      </c>
      <c r="AY1284" t="inlineStr">
        <is>
          <t>2267559000002656</t>
        </is>
      </c>
      <c r="AZ1284" t="inlineStr">
        <is>
          <t>BOOK</t>
        </is>
      </c>
      <c r="BC1284" t="inlineStr">
        <is>
          <t>32285000807064</t>
        </is>
      </c>
      <c r="BD1284" t="inlineStr">
        <is>
          <t>893411711</t>
        </is>
      </c>
    </row>
    <row r="1285">
      <c r="A1285" t="inlineStr">
        <is>
          <t>No</t>
        </is>
      </c>
      <c r="B1285" t="inlineStr">
        <is>
          <t>BT821.2 .P49 1997</t>
        </is>
      </c>
      <c r="C1285" t="inlineStr">
        <is>
          <t>0                      BT 0821200P  49          1997</t>
        </is>
      </c>
      <c r="D1285" t="inlineStr">
        <is>
          <t>Responses to 101 questions on death and eternal life / Peter C. Phan.</t>
        </is>
      </c>
      <c r="F1285" t="inlineStr">
        <is>
          <t>No</t>
        </is>
      </c>
      <c r="G1285" t="inlineStr">
        <is>
          <t>1</t>
        </is>
      </c>
      <c r="H1285" t="inlineStr">
        <is>
          <t>No</t>
        </is>
      </c>
      <c r="I1285" t="inlineStr">
        <is>
          <t>No</t>
        </is>
      </c>
      <c r="J1285" t="inlineStr">
        <is>
          <t>0</t>
        </is>
      </c>
      <c r="K1285" t="inlineStr">
        <is>
          <t>Phan, Peter C., 1943-</t>
        </is>
      </c>
      <c r="L1285" t="inlineStr">
        <is>
          <t>New York : Paulist Press, c1997.</t>
        </is>
      </c>
      <c r="M1285" t="inlineStr">
        <is>
          <t>1997</t>
        </is>
      </c>
      <c r="O1285" t="inlineStr">
        <is>
          <t>eng</t>
        </is>
      </c>
      <c r="P1285" t="inlineStr">
        <is>
          <t>nyu</t>
        </is>
      </c>
      <c r="R1285" t="inlineStr">
        <is>
          <t xml:space="preserve">BT </t>
        </is>
      </c>
      <c r="S1285" t="n">
        <v>5</v>
      </c>
      <c r="T1285" t="n">
        <v>5</v>
      </c>
      <c r="U1285" t="inlineStr">
        <is>
          <t>2001-11-11</t>
        </is>
      </c>
      <c r="V1285" t="inlineStr">
        <is>
          <t>2001-11-11</t>
        </is>
      </c>
      <c r="W1285" t="inlineStr">
        <is>
          <t>1997-10-20</t>
        </is>
      </c>
      <c r="X1285" t="inlineStr">
        <is>
          <t>1997-10-20</t>
        </is>
      </c>
      <c r="Y1285" t="n">
        <v>169</v>
      </c>
      <c r="Z1285" t="n">
        <v>146</v>
      </c>
      <c r="AA1285" t="n">
        <v>146</v>
      </c>
      <c r="AB1285" t="n">
        <v>2</v>
      </c>
      <c r="AC1285" t="n">
        <v>2</v>
      </c>
      <c r="AD1285" t="n">
        <v>18</v>
      </c>
      <c r="AE1285" t="n">
        <v>18</v>
      </c>
      <c r="AF1285" t="n">
        <v>3</v>
      </c>
      <c r="AG1285" t="n">
        <v>3</v>
      </c>
      <c r="AH1285" t="n">
        <v>5</v>
      </c>
      <c r="AI1285" t="n">
        <v>5</v>
      </c>
      <c r="AJ1285" t="n">
        <v>12</v>
      </c>
      <c r="AK1285" t="n">
        <v>12</v>
      </c>
      <c r="AL1285" t="n">
        <v>0</v>
      </c>
      <c r="AM1285" t="n">
        <v>0</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HYPERLINK("https://creighton-primo.hosted.exlibrisgroup.com/primo-explore/search?tab=default_tab&amp;search_scope=EVERYTHING&amp;vid=01CRU&amp;lang=en_US&amp;offset=0&amp;query=any,contains,991002801809702656","Catalog Record")</f>
        <v/>
      </c>
      <c r="AT1285">
        <f>HYPERLINK("http://www.worldcat.org/oclc/36806575","WorldCat Record")</f>
        <v/>
      </c>
      <c r="AU1285" t="inlineStr">
        <is>
          <t>8908696033:eng</t>
        </is>
      </c>
      <c r="AV1285" t="inlineStr">
        <is>
          <t>36806575</t>
        </is>
      </c>
      <c r="AW1285" t="inlineStr">
        <is>
          <t>991002801809702656</t>
        </is>
      </c>
      <c r="AX1285" t="inlineStr">
        <is>
          <t>991002801809702656</t>
        </is>
      </c>
      <c r="AY1285" t="inlineStr">
        <is>
          <t>2262345670002656</t>
        </is>
      </c>
      <c r="AZ1285" t="inlineStr">
        <is>
          <t>BOOK</t>
        </is>
      </c>
      <c r="BB1285" t="inlineStr">
        <is>
          <t>9780809137114</t>
        </is>
      </c>
      <c r="BC1285" t="inlineStr">
        <is>
          <t>32285003256566</t>
        </is>
      </c>
      <c r="BD1285" t="inlineStr">
        <is>
          <t>893535196</t>
        </is>
      </c>
    </row>
    <row r="1286">
      <c r="A1286" t="inlineStr">
        <is>
          <t>No</t>
        </is>
      </c>
      <c r="B1286" t="inlineStr">
        <is>
          <t>BT821.2 .S258 1999</t>
        </is>
      </c>
      <c r="C1286" t="inlineStr">
        <is>
          <t>0                      BT 0821200S  258         1999</t>
        </is>
      </c>
      <c r="D1286" t="inlineStr">
        <is>
          <t>What dare we hope? : reconsidering eschatology / Gerhard Sauter.</t>
        </is>
      </c>
      <c r="F1286" t="inlineStr">
        <is>
          <t>No</t>
        </is>
      </c>
      <c r="G1286" t="inlineStr">
        <is>
          <t>1</t>
        </is>
      </c>
      <c r="H1286" t="inlineStr">
        <is>
          <t>No</t>
        </is>
      </c>
      <c r="I1286" t="inlineStr">
        <is>
          <t>No</t>
        </is>
      </c>
      <c r="J1286" t="inlineStr">
        <is>
          <t>0</t>
        </is>
      </c>
      <c r="K1286" t="inlineStr">
        <is>
          <t>Sauter, Gerhard.</t>
        </is>
      </c>
      <c r="L1286" t="inlineStr">
        <is>
          <t>Harrisburg, PA : Trinity Press International, c1999.</t>
        </is>
      </c>
      <c r="M1286" t="inlineStr">
        <is>
          <t>1999</t>
        </is>
      </c>
      <c r="O1286" t="inlineStr">
        <is>
          <t>eng</t>
        </is>
      </c>
      <c r="P1286" t="inlineStr">
        <is>
          <t>pau</t>
        </is>
      </c>
      <c r="Q1286" t="inlineStr">
        <is>
          <t>Theology for the twenty-first century</t>
        </is>
      </c>
      <c r="R1286" t="inlineStr">
        <is>
          <t xml:space="preserve">BT </t>
        </is>
      </c>
      <c r="S1286" t="n">
        <v>8</v>
      </c>
      <c r="T1286" t="n">
        <v>8</v>
      </c>
      <c r="U1286" t="inlineStr">
        <is>
          <t>2005-05-11</t>
        </is>
      </c>
      <c r="V1286" t="inlineStr">
        <is>
          <t>2005-05-11</t>
        </is>
      </c>
      <c r="W1286" t="inlineStr">
        <is>
          <t>2000-12-04</t>
        </is>
      </c>
      <c r="X1286" t="inlineStr">
        <is>
          <t>2000-12-04</t>
        </is>
      </c>
      <c r="Y1286" t="n">
        <v>202</v>
      </c>
      <c r="Z1286" t="n">
        <v>159</v>
      </c>
      <c r="AA1286" t="n">
        <v>164</v>
      </c>
      <c r="AB1286" t="n">
        <v>1</v>
      </c>
      <c r="AC1286" t="n">
        <v>1</v>
      </c>
      <c r="AD1286" t="n">
        <v>12</v>
      </c>
      <c r="AE1286" t="n">
        <v>12</v>
      </c>
      <c r="AF1286" t="n">
        <v>5</v>
      </c>
      <c r="AG1286" t="n">
        <v>5</v>
      </c>
      <c r="AH1286" t="n">
        <v>3</v>
      </c>
      <c r="AI1286" t="n">
        <v>3</v>
      </c>
      <c r="AJ1286" t="n">
        <v>8</v>
      </c>
      <c r="AK1286" t="n">
        <v>8</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HYPERLINK("https://creighton-primo.hosted.exlibrisgroup.com/primo-explore/search?tab=default_tab&amp;search_scope=EVERYTHING&amp;vid=01CRU&amp;lang=en_US&amp;offset=0&amp;query=any,contains,991003349609702656","Catalog Record")</f>
        <v/>
      </c>
      <c r="AT1286">
        <f>HYPERLINK("http://www.worldcat.org/oclc/41273043","WorldCat Record")</f>
        <v/>
      </c>
      <c r="AU1286" t="inlineStr">
        <is>
          <t>892368857:eng</t>
        </is>
      </c>
      <c r="AV1286" t="inlineStr">
        <is>
          <t>41273043</t>
        </is>
      </c>
      <c r="AW1286" t="inlineStr">
        <is>
          <t>991003349609702656</t>
        </is>
      </c>
      <c r="AX1286" t="inlineStr">
        <is>
          <t>991003349609702656</t>
        </is>
      </c>
      <c r="AY1286" t="inlineStr">
        <is>
          <t>2271457860002656</t>
        </is>
      </c>
      <c r="AZ1286" t="inlineStr">
        <is>
          <t>BOOK</t>
        </is>
      </c>
      <c r="BB1286" t="inlineStr">
        <is>
          <t>9781563382710</t>
        </is>
      </c>
      <c r="BC1286" t="inlineStr">
        <is>
          <t>32285004269105</t>
        </is>
      </c>
      <c r="BD1286" t="inlineStr">
        <is>
          <t>893711298</t>
        </is>
      </c>
    </row>
    <row r="1287">
      <c r="A1287" t="inlineStr">
        <is>
          <t>No</t>
        </is>
      </c>
      <c r="B1287" t="inlineStr">
        <is>
          <t>BT821.2 .S355</t>
        </is>
      </c>
      <c r="C1287" t="inlineStr">
        <is>
          <t>0                      BT 0821200S  355</t>
        </is>
      </c>
      <c r="D1287" t="inlineStr">
        <is>
          <t>On the way to the future : a Christian view of eschatology in the light of current trends in religion, philosophy, and science / by Hans Schwarz.</t>
        </is>
      </c>
      <c r="F1287" t="inlineStr">
        <is>
          <t>No</t>
        </is>
      </c>
      <c r="G1287" t="inlineStr">
        <is>
          <t>1</t>
        </is>
      </c>
      <c r="H1287" t="inlineStr">
        <is>
          <t>No</t>
        </is>
      </c>
      <c r="I1287" t="inlineStr">
        <is>
          <t>No</t>
        </is>
      </c>
      <c r="J1287" t="inlineStr">
        <is>
          <t>0</t>
        </is>
      </c>
      <c r="K1287" t="inlineStr">
        <is>
          <t>Schwarz, Hans, 1939-</t>
        </is>
      </c>
      <c r="L1287" t="inlineStr">
        <is>
          <t>Minneapolis, Augsburg Pub. House [1972]</t>
        </is>
      </c>
      <c r="M1287" t="inlineStr">
        <is>
          <t>1972</t>
        </is>
      </c>
      <c r="O1287" t="inlineStr">
        <is>
          <t>eng</t>
        </is>
      </c>
      <c r="P1287" t="inlineStr">
        <is>
          <t>mnu</t>
        </is>
      </c>
      <c r="R1287" t="inlineStr">
        <is>
          <t xml:space="preserve">BT </t>
        </is>
      </c>
      <c r="S1287" t="n">
        <v>3</v>
      </c>
      <c r="T1287" t="n">
        <v>3</v>
      </c>
      <c r="U1287" t="inlineStr">
        <is>
          <t>2002-09-25</t>
        </is>
      </c>
      <c r="V1287" t="inlineStr">
        <is>
          <t>2002-09-25</t>
        </is>
      </c>
      <c r="W1287" t="inlineStr">
        <is>
          <t>1991-10-22</t>
        </is>
      </c>
      <c r="X1287" t="inlineStr">
        <is>
          <t>1991-10-22</t>
        </is>
      </c>
      <c r="Y1287" t="n">
        <v>360</v>
      </c>
      <c r="Z1287" t="n">
        <v>307</v>
      </c>
      <c r="AA1287" t="n">
        <v>359</v>
      </c>
      <c r="AB1287" t="n">
        <v>4</v>
      </c>
      <c r="AC1287" t="n">
        <v>4</v>
      </c>
      <c r="AD1287" t="n">
        <v>22</v>
      </c>
      <c r="AE1287" t="n">
        <v>28</v>
      </c>
      <c r="AF1287" t="n">
        <v>8</v>
      </c>
      <c r="AG1287" t="n">
        <v>10</v>
      </c>
      <c r="AH1287" t="n">
        <v>6</v>
      </c>
      <c r="AI1287" t="n">
        <v>8</v>
      </c>
      <c r="AJ1287" t="n">
        <v>12</v>
      </c>
      <c r="AK1287" t="n">
        <v>16</v>
      </c>
      <c r="AL1287" t="n">
        <v>2</v>
      </c>
      <c r="AM1287" t="n">
        <v>2</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HYPERLINK("https://creighton-primo.hosted.exlibrisgroup.com/primo-explore/search?tab=default_tab&amp;search_scope=EVERYTHING&amp;vid=01CRU&amp;lang=en_US&amp;offset=0&amp;query=any,contains,991002273839702656","Catalog Record")</f>
        <v/>
      </c>
      <c r="AT1287">
        <f>HYPERLINK("http://www.worldcat.org/oclc/309538","WorldCat Record")</f>
        <v/>
      </c>
      <c r="AU1287" t="inlineStr">
        <is>
          <t>462781:eng</t>
        </is>
      </c>
      <c r="AV1287" t="inlineStr">
        <is>
          <t>309538</t>
        </is>
      </c>
      <c r="AW1287" t="inlineStr">
        <is>
          <t>991002273839702656</t>
        </is>
      </c>
      <c r="AX1287" t="inlineStr">
        <is>
          <t>991002273839702656</t>
        </is>
      </c>
      <c r="AY1287" t="inlineStr">
        <is>
          <t>2264709140002656</t>
        </is>
      </c>
      <c r="AZ1287" t="inlineStr">
        <is>
          <t>BOOK</t>
        </is>
      </c>
      <c r="BB1287" t="inlineStr">
        <is>
          <t>9780806612089</t>
        </is>
      </c>
      <c r="BC1287" t="inlineStr">
        <is>
          <t>32285000807080</t>
        </is>
      </c>
      <c r="BD1287" t="inlineStr">
        <is>
          <t>893691416</t>
        </is>
      </c>
    </row>
    <row r="1288">
      <c r="A1288" t="inlineStr">
        <is>
          <t>No</t>
        </is>
      </c>
      <c r="B1288" t="inlineStr">
        <is>
          <t>BT821.2 .S52 1971</t>
        </is>
      </c>
      <c r="C1288" t="inlineStr">
        <is>
          <t>0                      BT 0821200S  52          1971</t>
        </is>
      </c>
      <c r="D1288" t="inlineStr">
        <is>
          <t>The theology of death and eternal life / by Michael Simpson.</t>
        </is>
      </c>
      <c r="F1288" t="inlineStr">
        <is>
          <t>No</t>
        </is>
      </c>
      <c r="G1288" t="inlineStr">
        <is>
          <t>1</t>
        </is>
      </c>
      <c r="H1288" t="inlineStr">
        <is>
          <t>No</t>
        </is>
      </c>
      <c r="I1288" t="inlineStr">
        <is>
          <t>No</t>
        </is>
      </c>
      <c r="J1288" t="inlineStr">
        <is>
          <t>0</t>
        </is>
      </c>
      <c r="K1288" t="inlineStr">
        <is>
          <t>Simpson, Michael, S.J.</t>
        </is>
      </c>
      <c r="L1288" t="inlineStr">
        <is>
          <t>Notre Dame, Ind. : Fides, [1971]</t>
        </is>
      </c>
      <c r="M1288" t="inlineStr">
        <is>
          <t>1971</t>
        </is>
      </c>
      <c r="O1288" t="inlineStr">
        <is>
          <t>eng</t>
        </is>
      </c>
      <c r="P1288" t="inlineStr">
        <is>
          <t>inu</t>
        </is>
      </c>
      <c r="Q1288" t="inlineStr">
        <is>
          <t>Theology today ; no. 42</t>
        </is>
      </c>
      <c r="R1288" t="inlineStr">
        <is>
          <t xml:space="preserve">BT </t>
        </is>
      </c>
      <c r="S1288" t="n">
        <v>2</v>
      </c>
      <c r="T1288" t="n">
        <v>2</v>
      </c>
      <c r="U1288" t="inlineStr">
        <is>
          <t>1992-07-02</t>
        </is>
      </c>
      <c r="V1288" t="inlineStr">
        <is>
          <t>1992-07-02</t>
        </is>
      </c>
      <c r="W1288" t="inlineStr">
        <is>
          <t>1990-04-25</t>
        </is>
      </c>
      <c r="X1288" t="inlineStr">
        <is>
          <t>1990-04-25</t>
        </is>
      </c>
      <c r="Y1288" t="n">
        <v>144</v>
      </c>
      <c r="Z1288" t="n">
        <v>119</v>
      </c>
      <c r="AA1288" t="n">
        <v>156</v>
      </c>
      <c r="AB1288" t="n">
        <v>2</v>
      </c>
      <c r="AC1288" t="n">
        <v>2</v>
      </c>
      <c r="AD1288" t="n">
        <v>16</v>
      </c>
      <c r="AE1288" t="n">
        <v>17</v>
      </c>
      <c r="AF1288" t="n">
        <v>5</v>
      </c>
      <c r="AG1288" t="n">
        <v>5</v>
      </c>
      <c r="AH1288" t="n">
        <v>5</v>
      </c>
      <c r="AI1288" t="n">
        <v>5</v>
      </c>
      <c r="AJ1288" t="n">
        <v>11</v>
      </c>
      <c r="AK1288" t="n">
        <v>12</v>
      </c>
      <c r="AL1288" t="n">
        <v>0</v>
      </c>
      <c r="AM1288" t="n">
        <v>0</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HYPERLINK("https://creighton-primo.hosted.exlibrisgroup.com/primo-explore/search?tab=default_tab&amp;search_scope=EVERYTHING&amp;vid=01CRU&amp;lang=en_US&amp;offset=0&amp;query=any,contains,991001285289702656","Catalog Record")</f>
        <v/>
      </c>
      <c r="AT1288">
        <f>HYPERLINK("http://www.worldcat.org/oclc/215613","WorldCat Record")</f>
        <v/>
      </c>
      <c r="AU1288" t="inlineStr">
        <is>
          <t>8910815:eng</t>
        </is>
      </c>
      <c r="AV1288" t="inlineStr">
        <is>
          <t>215613</t>
        </is>
      </c>
      <c r="AW1288" t="inlineStr">
        <is>
          <t>991001285289702656</t>
        </is>
      </c>
      <c r="AX1288" t="inlineStr">
        <is>
          <t>991001285289702656</t>
        </is>
      </c>
      <c r="AY1288" t="inlineStr">
        <is>
          <t>2255730400002656</t>
        </is>
      </c>
      <c r="AZ1288" t="inlineStr">
        <is>
          <t>BOOK</t>
        </is>
      </c>
      <c r="BB1288" t="inlineStr">
        <is>
          <t>9780853422594</t>
        </is>
      </c>
      <c r="BC1288" t="inlineStr">
        <is>
          <t>32285000132620</t>
        </is>
      </c>
      <c r="BD1288" t="inlineStr">
        <is>
          <t>893503283</t>
        </is>
      </c>
    </row>
    <row r="1289">
      <c r="A1289" t="inlineStr">
        <is>
          <t>No</t>
        </is>
      </c>
      <c r="B1289" t="inlineStr">
        <is>
          <t>BT821.2 .W513 1963a</t>
        </is>
      </c>
      <c r="C1289" t="inlineStr">
        <is>
          <t>0                      BT 0821200W  513         1963a</t>
        </is>
      </c>
      <c r="D1289" t="inlineStr">
        <is>
          <t>The coming of His Kingdom : a theology of the last things / Alois Winklhofer. [Translated by A.V. Littledale.</t>
        </is>
      </c>
      <c r="F1289" t="inlineStr">
        <is>
          <t>No</t>
        </is>
      </c>
      <c r="G1289" t="inlineStr">
        <is>
          <t>1</t>
        </is>
      </c>
      <c r="H1289" t="inlineStr">
        <is>
          <t>No</t>
        </is>
      </c>
      <c r="I1289" t="inlineStr">
        <is>
          <t>No</t>
        </is>
      </c>
      <c r="J1289" t="inlineStr">
        <is>
          <t>0</t>
        </is>
      </c>
      <c r="K1289" t="inlineStr">
        <is>
          <t>Winklhofer, Alois, 1907-1971.</t>
        </is>
      </c>
      <c r="L1289" t="inlineStr">
        <is>
          <t>New York] : Herder and Herder, [1963]</t>
        </is>
      </c>
      <c r="M1289" t="inlineStr">
        <is>
          <t>1963</t>
        </is>
      </c>
      <c r="O1289" t="inlineStr">
        <is>
          <t>eng</t>
        </is>
      </c>
      <c r="P1289" t="inlineStr">
        <is>
          <t>___</t>
        </is>
      </c>
      <c r="R1289" t="inlineStr">
        <is>
          <t xml:space="preserve">BT </t>
        </is>
      </c>
      <c r="S1289" t="n">
        <v>2</v>
      </c>
      <c r="T1289" t="n">
        <v>2</v>
      </c>
      <c r="U1289" t="inlineStr">
        <is>
          <t>1999-03-23</t>
        </is>
      </c>
      <c r="V1289" t="inlineStr">
        <is>
          <t>1999-03-23</t>
        </is>
      </c>
      <c r="W1289" t="inlineStr">
        <is>
          <t>1991-10-22</t>
        </is>
      </c>
      <c r="X1289" t="inlineStr">
        <is>
          <t>1991-10-22</t>
        </is>
      </c>
      <c r="Y1289" t="n">
        <v>207</v>
      </c>
      <c r="Z1289" t="n">
        <v>185</v>
      </c>
      <c r="AA1289" t="n">
        <v>216</v>
      </c>
      <c r="AB1289" t="n">
        <v>3</v>
      </c>
      <c r="AC1289" t="n">
        <v>3</v>
      </c>
      <c r="AD1289" t="n">
        <v>26</v>
      </c>
      <c r="AE1289" t="n">
        <v>28</v>
      </c>
      <c r="AF1289" t="n">
        <v>9</v>
      </c>
      <c r="AG1289" t="n">
        <v>10</v>
      </c>
      <c r="AH1289" t="n">
        <v>6</v>
      </c>
      <c r="AI1289" t="n">
        <v>7</v>
      </c>
      <c r="AJ1289" t="n">
        <v>22</v>
      </c>
      <c r="AK1289" t="n">
        <v>23</v>
      </c>
      <c r="AL1289" t="n">
        <v>0</v>
      </c>
      <c r="AM1289" t="n">
        <v>0</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HYPERLINK("https://creighton-primo.hosted.exlibrisgroup.com/primo-explore/search?tab=default_tab&amp;search_scope=EVERYTHING&amp;vid=01CRU&amp;lang=en_US&amp;offset=0&amp;query=any,contains,991002890059702656","Catalog Record")</f>
        <v/>
      </c>
      <c r="AT1289">
        <f>HYPERLINK("http://www.worldcat.org/oclc/511167","WorldCat Record")</f>
        <v/>
      </c>
      <c r="AU1289" t="inlineStr">
        <is>
          <t>3943416803:eng</t>
        </is>
      </c>
      <c r="AV1289" t="inlineStr">
        <is>
          <t>511167</t>
        </is>
      </c>
      <c r="AW1289" t="inlineStr">
        <is>
          <t>991002890059702656</t>
        </is>
      </c>
      <c r="AX1289" t="inlineStr">
        <is>
          <t>991002890059702656</t>
        </is>
      </c>
      <c r="AY1289" t="inlineStr">
        <is>
          <t>2263909950002656</t>
        </is>
      </c>
      <c r="AZ1289" t="inlineStr">
        <is>
          <t>BOOK</t>
        </is>
      </c>
      <c r="BC1289" t="inlineStr">
        <is>
          <t>32285000807106</t>
        </is>
      </c>
      <c r="BD1289" t="inlineStr">
        <is>
          <t>893348054</t>
        </is>
      </c>
    </row>
    <row r="1290">
      <c r="A1290" t="inlineStr">
        <is>
          <t>No</t>
        </is>
      </c>
      <c r="B1290" t="inlineStr">
        <is>
          <t>BT823 .B76 1994</t>
        </is>
      </c>
      <c r="C1290" t="inlineStr">
        <is>
          <t>0                      BT 0823000B  76          1994</t>
        </is>
      </c>
      <c r="D1290" t="inlineStr">
        <is>
          <t>Faith and the future : studies in Christian eschatology / Raymond E. Brown, Walter Kasper, Gerald O'Collins ; edited by John P. Galvin.</t>
        </is>
      </c>
      <c r="F1290" t="inlineStr">
        <is>
          <t>No</t>
        </is>
      </c>
      <c r="G1290" t="inlineStr">
        <is>
          <t>1</t>
        </is>
      </c>
      <c r="H1290" t="inlineStr">
        <is>
          <t>No</t>
        </is>
      </c>
      <c r="I1290" t="inlineStr">
        <is>
          <t>No</t>
        </is>
      </c>
      <c r="J1290" t="inlineStr">
        <is>
          <t>0</t>
        </is>
      </c>
      <c r="K1290" t="inlineStr">
        <is>
          <t>Brown, Raymond E. (Raymond Edward), 1928-1998.</t>
        </is>
      </c>
      <c r="L1290" t="inlineStr">
        <is>
          <t>New York : Paulist Press, c1994.</t>
        </is>
      </c>
      <c r="M1290" t="inlineStr">
        <is>
          <t>1994</t>
        </is>
      </c>
      <c r="O1290" t="inlineStr">
        <is>
          <t>eng</t>
        </is>
      </c>
      <c r="P1290" t="inlineStr">
        <is>
          <t>nyu</t>
        </is>
      </c>
      <c r="R1290" t="inlineStr">
        <is>
          <t xml:space="preserve">BT </t>
        </is>
      </c>
      <c r="S1290" t="n">
        <v>9</v>
      </c>
      <c r="T1290" t="n">
        <v>9</v>
      </c>
      <c r="U1290" t="inlineStr">
        <is>
          <t>1999-12-13</t>
        </is>
      </c>
      <c r="V1290" t="inlineStr">
        <is>
          <t>1999-12-13</t>
        </is>
      </c>
      <c r="W1290" t="inlineStr">
        <is>
          <t>1995-01-27</t>
        </is>
      </c>
      <c r="X1290" t="inlineStr">
        <is>
          <t>1995-01-27</t>
        </is>
      </c>
      <c r="Y1290" t="n">
        <v>231</v>
      </c>
      <c r="Z1290" t="n">
        <v>185</v>
      </c>
      <c r="AA1290" t="n">
        <v>187</v>
      </c>
      <c r="AB1290" t="n">
        <v>2</v>
      </c>
      <c r="AC1290" t="n">
        <v>2</v>
      </c>
      <c r="AD1290" t="n">
        <v>18</v>
      </c>
      <c r="AE1290" t="n">
        <v>18</v>
      </c>
      <c r="AF1290" t="n">
        <v>5</v>
      </c>
      <c r="AG1290" t="n">
        <v>5</v>
      </c>
      <c r="AH1290" t="n">
        <v>5</v>
      </c>
      <c r="AI1290" t="n">
        <v>5</v>
      </c>
      <c r="AJ1290" t="n">
        <v>13</v>
      </c>
      <c r="AK1290" t="n">
        <v>13</v>
      </c>
      <c r="AL1290" t="n">
        <v>1</v>
      </c>
      <c r="AM1290" t="n">
        <v>1</v>
      </c>
      <c r="AN1290" t="n">
        <v>0</v>
      </c>
      <c r="AO1290" t="n">
        <v>0</v>
      </c>
      <c r="AP1290" t="inlineStr">
        <is>
          <t>No</t>
        </is>
      </c>
      <c r="AQ1290" t="inlineStr">
        <is>
          <t>Yes</t>
        </is>
      </c>
      <c r="AR1290">
        <f>HYPERLINK("http://catalog.hathitrust.org/Record/002816417","HathiTrust Record")</f>
        <v/>
      </c>
      <c r="AS1290">
        <f>HYPERLINK("https://creighton-primo.hosted.exlibrisgroup.com/primo-explore/search?tab=default_tab&amp;search_scope=EVERYTHING&amp;vid=01CRU&amp;lang=en_US&amp;offset=0&amp;query=any,contains,991002254259702656","Catalog Record")</f>
        <v/>
      </c>
      <c r="AT1290">
        <f>HYPERLINK("http://www.worldcat.org/oclc/29218853","WorldCat Record")</f>
        <v/>
      </c>
      <c r="AU1290" t="inlineStr">
        <is>
          <t>31368669:eng</t>
        </is>
      </c>
      <c r="AV1290" t="inlineStr">
        <is>
          <t>29218853</t>
        </is>
      </c>
      <c r="AW1290" t="inlineStr">
        <is>
          <t>991002254259702656</t>
        </is>
      </c>
      <c r="AX1290" t="inlineStr">
        <is>
          <t>991002254259702656</t>
        </is>
      </c>
      <c r="AY1290" t="inlineStr">
        <is>
          <t>2258370180002656</t>
        </is>
      </c>
      <c r="AZ1290" t="inlineStr">
        <is>
          <t>BOOK</t>
        </is>
      </c>
      <c r="BB1290" t="inlineStr">
        <is>
          <t>9780809134557</t>
        </is>
      </c>
      <c r="BC1290" t="inlineStr">
        <is>
          <t>32285001995413</t>
        </is>
      </c>
      <c r="BD1290" t="inlineStr">
        <is>
          <t>893257073</t>
        </is>
      </c>
    </row>
    <row r="1291">
      <c r="A1291" t="inlineStr">
        <is>
          <t>No</t>
        </is>
      </c>
      <c r="B1291" t="inlineStr">
        <is>
          <t>BT823 .D275</t>
        </is>
      </c>
      <c r="C1291" t="inlineStr">
        <is>
          <t>0                      BT 0823000D  275</t>
        </is>
      </c>
      <c r="D1291" t="inlineStr">
        <is>
          <t>Aspects of New Testament eschatology / [by] William J. Dalton.</t>
        </is>
      </c>
      <c r="F1291" t="inlineStr">
        <is>
          <t>No</t>
        </is>
      </c>
      <c r="G1291" t="inlineStr">
        <is>
          <t>1</t>
        </is>
      </c>
      <c r="H1291" t="inlineStr">
        <is>
          <t>No</t>
        </is>
      </c>
      <c r="I1291" t="inlineStr">
        <is>
          <t>No</t>
        </is>
      </c>
      <c r="J1291" t="inlineStr">
        <is>
          <t>0</t>
        </is>
      </c>
      <c r="K1291" t="inlineStr">
        <is>
          <t>Dalton, William J. (William Joseph)</t>
        </is>
      </c>
      <c r="L1291" t="inlineStr">
        <is>
          <t>[Nedlands, Perth] University of Western Australia Press [1968]</t>
        </is>
      </c>
      <c r="M1291" t="inlineStr">
        <is>
          <t>1968</t>
        </is>
      </c>
      <c r="O1291" t="inlineStr">
        <is>
          <t>eng</t>
        </is>
      </c>
      <c r="P1291" t="inlineStr">
        <is>
          <t xml:space="preserve">at </t>
        </is>
      </c>
      <c r="Q1291" t="inlineStr">
        <is>
          <t>Lectures in Biblical studies ; 4</t>
        </is>
      </c>
      <c r="R1291" t="inlineStr">
        <is>
          <t xml:space="preserve">BT </t>
        </is>
      </c>
      <c r="S1291" t="n">
        <v>5</v>
      </c>
      <c r="T1291" t="n">
        <v>5</v>
      </c>
      <c r="U1291" t="inlineStr">
        <is>
          <t>2000-08-23</t>
        </is>
      </c>
      <c r="V1291" t="inlineStr">
        <is>
          <t>2000-08-23</t>
        </is>
      </c>
      <c r="W1291" t="inlineStr">
        <is>
          <t>1992-06-09</t>
        </is>
      </c>
      <c r="X1291" t="inlineStr">
        <is>
          <t>1992-06-09</t>
        </is>
      </c>
      <c r="Y1291" t="n">
        <v>86</v>
      </c>
      <c r="Z1291" t="n">
        <v>69</v>
      </c>
      <c r="AA1291" t="n">
        <v>69</v>
      </c>
      <c r="AB1291" t="n">
        <v>2</v>
      </c>
      <c r="AC1291" t="n">
        <v>2</v>
      </c>
      <c r="AD1291" t="n">
        <v>6</v>
      </c>
      <c r="AE1291" t="n">
        <v>6</v>
      </c>
      <c r="AF1291" t="n">
        <v>1</v>
      </c>
      <c r="AG1291" t="n">
        <v>1</v>
      </c>
      <c r="AH1291" t="n">
        <v>2</v>
      </c>
      <c r="AI1291" t="n">
        <v>2</v>
      </c>
      <c r="AJ1291" t="n">
        <v>4</v>
      </c>
      <c r="AK1291" t="n">
        <v>4</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HYPERLINK("https://creighton-primo.hosted.exlibrisgroup.com/primo-explore/search?tab=default_tab&amp;search_scope=EVERYTHING&amp;vid=01CRU&amp;lang=en_US&amp;offset=0&amp;query=any,contains,991005353209702656","Catalog Record")</f>
        <v/>
      </c>
      <c r="AT1291">
        <f>HYPERLINK("http://www.worldcat.org/oclc/105863","WorldCat Record")</f>
        <v/>
      </c>
      <c r="AU1291" t="inlineStr">
        <is>
          <t>1187567:eng</t>
        </is>
      </c>
      <c r="AV1291" t="inlineStr">
        <is>
          <t>105863</t>
        </is>
      </c>
      <c r="AW1291" t="inlineStr">
        <is>
          <t>991005353209702656</t>
        </is>
      </c>
      <c r="AX1291" t="inlineStr">
        <is>
          <t>991005353209702656</t>
        </is>
      </c>
      <c r="AY1291" t="inlineStr">
        <is>
          <t>2263141670002656</t>
        </is>
      </c>
      <c r="AZ1291" t="inlineStr">
        <is>
          <t>BOOK</t>
        </is>
      </c>
      <c r="BC1291" t="inlineStr">
        <is>
          <t>32285001074458</t>
        </is>
      </c>
      <c r="BD1291" t="inlineStr">
        <is>
          <t>893601022</t>
        </is>
      </c>
    </row>
    <row r="1292">
      <c r="A1292" t="inlineStr">
        <is>
          <t>No</t>
        </is>
      </c>
      <c r="B1292" t="inlineStr">
        <is>
          <t>BT823 .E8 1971</t>
        </is>
      </c>
      <c r="C1292" t="inlineStr">
        <is>
          <t>0                      BT 0823000E  8           1971</t>
        </is>
      </c>
      <c r="D1292" t="inlineStr">
        <is>
          <t>The Eschaton : a community of love / edited by Joseph Papin.</t>
        </is>
      </c>
      <c r="F1292" t="inlineStr">
        <is>
          <t>No</t>
        </is>
      </c>
      <c r="G1292" t="inlineStr">
        <is>
          <t>1</t>
        </is>
      </c>
      <c r="H1292" t="inlineStr">
        <is>
          <t>No</t>
        </is>
      </c>
      <c r="I1292" t="inlineStr">
        <is>
          <t>No</t>
        </is>
      </c>
      <c r="J1292" t="inlineStr">
        <is>
          <t>0</t>
        </is>
      </c>
      <c r="L1292" t="inlineStr">
        <is>
          <t>[Villanova, Pa.] : Villanova University Press, [c1971]</t>
        </is>
      </c>
      <c r="M1292" t="inlineStr">
        <is>
          <t>1971</t>
        </is>
      </c>
      <c r="O1292" t="inlineStr">
        <is>
          <t>eng</t>
        </is>
      </c>
      <c r="P1292" t="inlineStr">
        <is>
          <t>pau</t>
        </is>
      </c>
      <c r="Q1292" t="inlineStr">
        <is>
          <t>The Villanova University symposium ; v. 5, 1972</t>
        </is>
      </c>
      <c r="R1292" t="inlineStr">
        <is>
          <t xml:space="preserve">BT </t>
        </is>
      </c>
      <c r="S1292" t="n">
        <v>2</v>
      </c>
      <c r="T1292" t="n">
        <v>2</v>
      </c>
      <c r="U1292" t="inlineStr">
        <is>
          <t>2004-08-26</t>
        </is>
      </c>
      <c r="V1292" t="inlineStr">
        <is>
          <t>2004-08-26</t>
        </is>
      </c>
      <c r="W1292" t="inlineStr">
        <is>
          <t>1992-02-10</t>
        </is>
      </c>
      <c r="X1292" t="inlineStr">
        <is>
          <t>1992-02-10</t>
        </is>
      </c>
      <c r="Y1292" t="n">
        <v>167</v>
      </c>
      <c r="Z1292" t="n">
        <v>151</v>
      </c>
      <c r="AA1292" t="n">
        <v>163</v>
      </c>
      <c r="AB1292" t="n">
        <v>1</v>
      </c>
      <c r="AC1292" t="n">
        <v>1</v>
      </c>
      <c r="AD1292" t="n">
        <v>23</v>
      </c>
      <c r="AE1292" t="n">
        <v>23</v>
      </c>
      <c r="AF1292" t="n">
        <v>5</v>
      </c>
      <c r="AG1292" t="n">
        <v>5</v>
      </c>
      <c r="AH1292" t="n">
        <v>8</v>
      </c>
      <c r="AI1292" t="n">
        <v>8</v>
      </c>
      <c r="AJ1292" t="n">
        <v>18</v>
      </c>
      <c r="AK1292" t="n">
        <v>18</v>
      </c>
      <c r="AL1292" t="n">
        <v>0</v>
      </c>
      <c r="AM1292" t="n">
        <v>0</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HYPERLINK("https://creighton-primo.hosted.exlibrisgroup.com/primo-explore/search?tab=default_tab&amp;search_scope=EVERYTHING&amp;vid=01CRU&amp;lang=en_US&amp;offset=0&amp;query=any,contains,991003500989702656","Catalog Record")</f>
        <v/>
      </c>
      <c r="AT1292">
        <f>HYPERLINK("http://www.worldcat.org/oclc/1053955","WorldCat Record")</f>
        <v/>
      </c>
      <c r="AU1292" t="inlineStr">
        <is>
          <t>1970728:eng</t>
        </is>
      </c>
      <c r="AV1292" t="inlineStr">
        <is>
          <t>1053955</t>
        </is>
      </c>
      <c r="AW1292" t="inlineStr">
        <is>
          <t>991003500989702656</t>
        </is>
      </c>
      <c r="AX1292" t="inlineStr">
        <is>
          <t>991003500989702656</t>
        </is>
      </c>
      <c r="AY1292" t="inlineStr">
        <is>
          <t>2270647520002656</t>
        </is>
      </c>
      <c r="AZ1292" t="inlineStr">
        <is>
          <t>BOOK</t>
        </is>
      </c>
      <c r="BB1292" t="inlineStr">
        <is>
          <t>9780877230120</t>
        </is>
      </c>
      <c r="BC1292" t="inlineStr">
        <is>
          <t>32285000869213</t>
        </is>
      </c>
      <c r="BD1292" t="inlineStr">
        <is>
          <t>893324125</t>
        </is>
      </c>
    </row>
    <row r="1293">
      <c r="A1293" t="inlineStr">
        <is>
          <t>No</t>
        </is>
      </c>
      <c r="B1293" t="inlineStr">
        <is>
          <t>BT823 .S3613 1978</t>
        </is>
      </c>
      <c r="C1293" t="inlineStr">
        <is>
          <t>0                      BT 0823000S  3613        1978</t>
        </is>
      </c>
      <c r="D1293" t="inlineStr">
        <is>
          <t>Christ, present and coming / Rudolf Schnackenburg ; translated by Edward Quinn.</t>
        </is>
      </c>
      <c r="F1293" t="inlineStr">
        <is>
          <t>No</t>
        </is>
      </c>
      <c r="G1293" t="inlineStr">
        <is>
          <t>1</t>
        </is>
      </c>
      <c r="H1293" t="inlineStr">
        <is>
          <t>No</t>
        </is>
      </c>
      <c r="I1293" t="inlineStr">
        <is>
          <t>No</t>
        </is>
      </c>
      <c r="J1293" t="inlineStr">
        <is>
          <t>0</t>
        </is>
      </c>
      <c r="K1293" t="inlineStr">
        <is>
          <t>Schnackenburg, Rudolf, 1914-</t>
        </is>
      </c>
      <c r="L1293" t="inlineStr">
        <is>
          <t>Philadelphia : Fortress Press, c1978.</t>
        </is>
      </c>
      <c r="M1293" t="inlineStr">
        <is>
          <t>1978</t>
        </is>
      </c>
      <c r="O1293" t="inlineStr">
        <is>
          <t>eng</t>
        </is>
      </c>
      <c r="P1293" t="inlineStr">
        <is>
          <t>pau</t>
        </is>
      </c>
      <c r="R1293" t="inlineStr">
        <is>
          <t xml:space="preserve">BT </t>
        </is>
      </c>
      <c r="S1293" t="n">
        <v>3</v>
      </c>
      <c r="T1293" t="n">
        <v>3</v>
      </c>
      <c r="U1293" t="inlineStr">
        <is>
          <t>1999-07-12</t>
        </is>
      </c>
      <c r="V1293" t="inlineStr">
        <is>
          <t>1999-07-12</t>
        </is>
      </c>
      <c r="W1293" t="inlineStr">
        <is>
          <t>1991-10-22</t>
        </is>
      </c>
      <c r="X1293" t="inlineStr">
        <is>
          <t>1991-10-22</t>
        </is>
      </c>
      <c r="Y1293" t="n">
        <v>232</v>
      </c>
      <c r="Z1293" t="n">
        <v>203</v>
      </c>
      <c r="AA1293" t="n">
        <v>208</v>
      </c>
      <c r="AB1293" t="n">
        <v>2</v>
      </c>
      <c r="AC1293" t="n">
        <v>2</v>
      </c>
      <c r="AD1293" t="n">
        <v>19</v>
      </c>
      <c r="AE1293" t="n">
        <v>19</v>
      </c>
      <c r="AF1293" t="n">
        <v>5</v>
      </c>
      <c r="AG1293" t="n">
        <v>5</v>
      </c>
      <c r="AH1293" t="n">
        <v>4</v>
      </c>
      <c r="AI1293" t="n">
        <v>4</v>
      </c>
      <c r="AJ1293" t="n">
        <v>12</v>
      </c>
      <c r="AK1293" t="n">
        <v>12</v>
      </c>
      <c r="AL1293" t="n">
        <v>1</v>
      </c>
      <c r="AM1293" t="n">
        <v>1</v>
      </c>
      <c r="AN1293" t="n">
        <v>0</v>
      </c>
      <c r="AO1293" t="n">
        <v>0</v>
      </c>
      <c r="AP1293" t="inlineStr">
        <is>
          <t>No</t>
        </is>
      </c>
      <c r="AQ1293" t="inlineStr">
        <is>
          <t>Yes</t>
        </is>
      </c>
      <c r="AR1293">
        <f>HYPERLINK("http://catalog.hathitrust.org/Record/009802071","HathiTrust Record")</f>
        <v/>
      </c>
      <c r="AS1293">
        <f>HYPERLINK("https://creighton-primo.hosted.exlibrisgroup.com/primo-explore/search?tab=default_tab&amp;search_scope=EVERYTHING&amp;vid=01CRU&amp;lang=en_US&amp;offset=0&amp;query=any,contains,991004475369702656","Catalog Record")</f>
        <v/>
      </c>
      <c r="AT1293">
        <f>HYPERLINK("http://www.worldcat.org/oclc/3609027","WorldCat Record")</f>
        <v/>
      </c>
      <c r="AU1293" t="inlineStr">
        <is>
          <t>2908552756:eng</t>
        </is>
      </c>
      <c r="AV1293" t="inlineStr">
        <is>
          <t>3609027</t>
        </is>
      </c>
      <c r="AW1293" t="inlineStr">
        <is>
          <t>991004475369702656</t>
        </is>
      </c>
      <c r="AX1293" t="inlineStr">
        <is>
          <t>991004475369702656</t>
        </is>
      </c>
      <c r="AY1293" t="inlineStr">
        <is>
          <t>2269906490002656</t>
        </is>
      </c>
      <c r="AZ1293" t="inlineStr">
        <is>
          <t>BOOK</t>
        </is>
      </c>
      <c r="BB1293" t="inlineStr">
        <is>
          <t>9780800613280</t>
        </is>
      </c>
      <c r="BC1293" t="inlineStr">
        <is>
          <t>32285000807122</t>
        </is>
      </c>
      <c r="BD1293" t="inlineStr">
        <is>
          <t>893319268</t>
        </is>
      </c>
    </row>
    <row r="1294">
      <c r="A1294" t="inlineStr">
        <is>
          <t>No</t>
        </is>
      </c>
      <c r="B1294" t="inlineStr">
        <is>
          <t>BT825 .A36</t>
        </is>
      </c>
      <c r="C1294" t="inlineStr">
        <is>
          <t>0                      BT 0825000A  36</t>
        </is>
      </c>
      <c r="D1294" t="inlineStr">
        <is>
          <t>Death in the secular city : a study of the notion of life after death in contemporary theology and philosophy / by Russell Aldwinckle.</t>
        </is>
      </c>
      <c r="F1294" t="inlineStr">
        <is>
          <t>No</t>
        </is>
      </c>
      <c r="G1294" t="inlineStr">
        <is>
          <t>1</t>
        </is>
      </c>
      <c r="H1294" t="inlineStr">
        <is>
          <t>No</t>
        </is>
      </c>
      <c r="I1294" t="inlineStr">
        <is>
          <t>No</t>
        </is>
      </c>
      <c r="J1294" t="inlineStr">
        <is>
          <t>0</t>
        </is>
      </c>
      <c r="K1294" t="inlineStr">
        <is>
          <t>Aldwinckle, Russell Foster.</t>
        </is>
      </c>
      <c r="L1294" t="inlineStr">
        <is>
          <t>London, Allen and Unwin, 1972.</t>
        </is>
      </c>
      <c r="M1294" t="inlineStr">
        <is>
          <t>1972</t>
        </is>
      </c>
      <c r="O1294" t="inlineStr">
        <is>
          <t>eng</t>
        </is>
      </c>
      <c r="P1294" t="inlineStr">
        <is>
          <t>enk</t>
        </is>
      </c>
      <c r="R1294" t="inlineStr">
        <is>
          <t xml:space="preserve">BT </t>
        </is>
      </c>
      <c r="S1294" t="n">
        <v>2</v>
      </c>
      <c r="T1294" t="n">
        <v>2</v>
      </c>
      <c r="U1294" t="inlineStr">
        <is>
          <t>1993-01-15</t>
        </is>
      </c>
      <c r="V1294" t="inlineStr">
        <is>
          <t>1993-01-15</t>
        </is>
      </c>
      <c r="W1294" t="inlineStr">
        <is>
          <t>1991-10-22</t>
        </is>
      </c>
      <c r="X1294" t="inlineStr">
        <is>
          <t>1991-10-22</t>
        </is>
      </c>
      <c r="Y1294" t="n">
        <v>328</v>
      </c>
      <c r="Z1294" t="n">
        <v>200</v>
      </c>
      <c r="AA1294" t="n">
        <v>536</v>
      </c>
      <c r="AB1294" t="n">
        <v>2</v>
      </c>
      <c r="AC1294" t="n">
        <v>7</v>
      </c>
      <c r="AD1294" t="n">
        <v>8</v>
      </c>
      <c r="AE1294" t="n">
        <v>30</v>
      </c>
      <c r="AF1294" t="n">
        <v>1</v>
      </c>
      <c r="AG1294" t="n">
        <v>10</v>
      </c>
      <c r="AH1294" t="n">
        <v>2</v>
      </c>
      <c r="AI1294" t="n">
        <v>6</v>
      </c>
      <c r="AJ1294" t="n">
        <v>5</v>
      </c>
      <c r="AK1294" t="n">
        <v>14</v>
      </c>
      <c r="AL1294" t="n">
        <v>1</v>
      </c>
      <c r="AM1294" t="n">
        <v>6</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HYPERLINK("https://creighton-primo.hosted.exlibrisgroup.com/primo-explore/search?tab=default_tab&amp;search_scope=EVERYTHING&amp;vid=01CRU&amp;lang=en_US&amp;offset=0&amp;query=any,contains,991003070169702656","Catalog Record")</f>
        <v/>
      </c>
      <c r="AT1294">
        <f>HYPERLINK("http://www.worldcat.org/oclc/624420","WorldCat Record")</f>
        <v/>
      </c>
      <c r="AU1294" t="inlineStr">
        <is>
          <t>1932832:eng</t>
        </is>
      </c>
      <c r="AV1294" t="inlineStr">
        <is>
          <t>624420</t>
        </is>
      </c>
      <c r="AW1294" t="inlineStr">
        <is>
          <t>991003070169702656</t>
        </is>
      </c>
      <c r="AX1294" t="inlineStr">
        <is>
          <t>991003070169702656</t>
        </is>
      </c>
      <c r="AY1294" t="inlineStr">
        <is>
          <t>2258625180002656</t>
        </is>
      </c>
      <c r="AZ1294" t="inlineStr">
        <is>
          <t>BOOK</t>
        </is>
      </c>
      <c r="BB1294" t="inlineStr">
        <is>
          <t>9780042000244</t>
        </is>
      </c>
      <c r="BC1294" t="inlineStr">
        <is>
          <t>32285000807130</t>
        </is>
      </c>
      <c r="BD1294" t="inlineStr">
        <is>
          <t>893793288</t>
        </is>
      </c>
    </row>
    <row r="1295">
      <c r="A1295" t="inlineStr">
        <is>
          <t>No</t>
        </is>
      </c>
      <c r="B1295" t="inlineStr">
        <is>
          <t>BT825 .B257</t>
        </is>
      </c>
      <c r="C1295" t="inlineStr">
        <is>
          <t>0                      BT 0825000B  257</t>
        </is>
      </c>
      <c r="D1295" t="inlineStr">
        <is>
          <t>Biblical perspectives on death / Lloyd R. Bailey, Sr.</t>
        </is>
      </c>
      <c r="F1295" t="inlineStr">
        <is>
          <t>No</t>
        </is>
      </c>
      <c r="G1295" t="inlineStr">
        <is>
          <t>1</t>
        </is>
      </c>
      <c r="H1295" t="inlineStr">
        <is>
          <t>No</t>
        </is>
      </c>
      <c r="I1295" t="inlineStr">
        <is>
          <t>No</t>
        </is>
      </c>
      <c r="J1295" t="inlineStr">
        <is>
          <t>0</t>
        </is>
      </c>
      <c r="K1295" t="inlineStr">
        <is>
          <t>Bailey, Lloyd R., 1936-</t>
        </is>
      </c>
      <c r="L1295" t="inlineStr">
        <is>
          <t>Philadelphia : Fortress Press, c1979.</t>
        </is>
      </c>
      <c r="M1295" t="inlineStr">
        <is>
          <t>1979</t>
        </is>
      </c>
      <c r="O1295" t="inlineStr">
        <is>
          <t>eng</t>
        </is>
      </c>
      <c r="P1295" t="inlineStr">
        <is>
          <t>pau</t>
        </is>
      </c>
      <c r="Q1295" t="inlineStr">
        <is>
          <t>Overtures to biblical theology</t>
        </is>
      </c>
      <c r="R1295" t="inlineStr">
        <is>
          <t xml:space="preserve">BT </t>
        </is>
      </c>
      <c r="S1295" t="n">
        <v>3</v>
      </c>
      <c r="T1295" t="n">
        <v>3</v>
      </c>
      <c r="U1295" t="inlineStr">
        <is>
          <t>2008-12-05</t>
        </is>
      </c>
      <c r="V1295" t="inlineStr">
        <is>
          <t>2008-12-05</t>
        </is>
      </c>
      <c r="W1295" t="inlineStr">
        <is>
          <t>1991-10-22</t>
        </is>
      </c>
      <c r="X1295" t="inlineStr">
        <is>
          <t>1991-10-22</t>
        </is>
      </c>
      <c r="Y1295" t="n">
        <v>795</v>
      </c>
      <c r="Z1295" t="n">
        <v>681</v>
      </c>
      <c r="AA1295" t="n">
        <v>685</v>
      </c>
      <c r="AB1295" t="n">
        <v>7</v>
      </c>
      <c r="AC1295" t="n">
        <v>7</v>
      </c>
      <c r="AD1295" t="n">
        <v>40</v>
      </c>
      <c r="AE1295" t="n">
        <v>40</v>
      </c>
      <c r="AF1295" t="n">
        <v>19</v>
      </c>
      <c r="AG1295" t="n">
        <v>19</v>
      </c>
      <c r="AH1295" t="n">
        <v>7</v>
      </c>
      <c r="AI1295" t="n">
        <v>7</v>
      </c>
      <c r="AJ1295" t="n">
        <v>20</v>
      </c>
      <c r="AK1295" t="n">
        <v>20</v>
      </c>
      <c r="AL1295" t="n">
        <v>5</v>
      </c>
      <c r="AM1295" t="n">
        <v>5</v>
      </c>
      <c r="AN1295" t="n">
        <v>0</v>
      </c>
      <c r="AO1295" t="n">
        <v>0</v>
      </c>
      <c r="AP1295" t="inlineStr">
        <is>
          <t>No</t>
        </is>
      </c>
      <c r="AQ1295" t="inlineStr">
        <is>
          <t>Yes</t>
        </is>
      </c>
      <c r="AR1295">
        <f>HYPERLINK("http://catalog.hathitrust.org/Record/000222812","HathiTrust Record")</f>
        <v/>
      </c>
      <c r="AS1295">
        <f>HYPERLINK("https://creighton-primo.hosted.exlibrisgroup.com/primo-explore/search?tab=default_tab&amp;search_scope=EVERYTHING&amp;vid=01CRU&amp;lang=en_US&amp;offset=0&amp;query=any,contains,991004686369702656","Catalog Record")</f>
        <v/>
      </c>
      <c r="AT1295">
        <f>HYPERLINK("http://www.worldcat.org/oclc/4593130","WorldCat Record")</f>
        <v/>
      </c>
      <c r="AU1295" t="inlineStr">
        <is>
          <t>14925716:eng</t>
        </is>
      </c>
      <c r="AV1295" t="inlineStr">
        <is>
          <t>4593130</t>
        </is>
      </c>
      <c r="AW1295" t="inlineStr">
        <is>
          <t>991004686369702656</t>
        </is>
      </c>
      <c r="AX1295" t="inlineStr">
        <is>
          <t>991004686369702656</t>
        </is>
      </c>
      <c r="AY1295" t="inlineStr">
        <is>
          <t>2271103750002656</t>
        </is>
      </c>
      <c r="AZ1295" t="inlineStr">
        <is>
          <t>BOOK</t>
        </is>
      </c>
      <c r="BB1295" t="inlineStr">
        <is>
          <t>9780800615307</t>
        </is>
      </c>
      <c r="BC1295" t="inlineStr">
        <is>
          <t>32285000807148</t>
        </is>
      </c>
      <c r="BD1295" t="inlineStr">
        <is>
          <t>893253991</t>
        </is>
      </c>
    </row>
    <row r="1296">
      <c r="A1296" t="inlineStr">
        <is>
          <t>No</t>
        </is>
      </c>
      <c r="B1296" t="inlineStr">
        <is>
          <t>BT825 .B563 1965</t>
        </is>
      </c>
      <c r="C1296" t="inlineStr">
        <is>
          <t>0                      BT 0825000B  563         1965</t>
        </is>
      </c>
      <c r="D1296" t="inlineStr">
        <is>
          <t>The mystery of death / Ladislaus Boros ; [translation by Gregory Bainbridge].</t>
        </is>
      </c>
      <c r="F1296" t="inlineStr">
        <is>
          <t>No</t>
        </is>
      </c>
      <c r="G1296" t="inlineStr">
        <is>
          <t>1</t>
        </is>
      </c>
      <c r="H1296" t="inlineStr">
        <is>
          <t>No</t>
        </is>
      </c>
      <c r="I1296" t="inlineStr">
        <is>
          <t>No</t>
        </is>
      </c>
      <c r="J1296" t="inlineStr">
        <is>
          <t>0</t>
        </is>
      </c>
      <c r="K1296" t="inlineStr">
        <is>
          <t>Boros, Ladislaus, 1927-1981.</t>
        </is>
      </c>
      <c r="L1296" t="inlineStr">
        <is>
          <t>New York : Herder and Herder, 1965.</t>
        </is>
      </c>
      <c r="M1296" t="inlineStr">
        <is>
          <t>1965</t>
        </is>
      </c>
      <c r="O1296" t="inlineStr">
        <is>
          <t>eng</t>
        </is>
      </c>
      <c r="P1296" t="inlineStr">
        <is>
          <t>nyu</t>
        </is>
      </c>
      <c r="R1296" t="inlineStr">
        <is>
          <t xml:space="preserve">BT </t>
        </is>
      </c>
      <c r="S1296" t="n">
        <v>6</v>
      </c>
      <c r="T1296" t="n">
        <v>6</v>
      </c>
      <c r="U1296" t="inlineStr">
        <is>
          <t>2010-01-13</t>
        </is>
      </c>
      <c r="V1296" t="inlineStr">
        <is>
          <t>2010-01-13</t>
        </is>
      </c>
      <c r="W1296" t="inlineStr">
        <is>
          <t>1999-04-07</t>
        </is>
      </c>
      <c r="X1296" t="inlineStr">
        <is>
          <t>1999-04-07</t>
        </is>
      </c>
      <c r="Y1296" t="n">
        <v>221</v>
      </c>
      <c r="Z1296" t="n">
        <v>195</v>
      </c>
      <c r="AA1296" t="n">
        <v>444</v>
      </c>
      <c r="AB1296" t="n">
        <v>1</v>
      </c>
      <c r="AC1296" t="n">
        <v>3</v>
      </c>
      <c r="AD1296" t="n">
        <v>18</v>
      </c>
      <c r="AE1296" t="n">
        <v>40</v>
      </c>
      <c r="AF1296" t="n">
        <v>7</v>
      </c>
      <c r="AG1296" t="n">
        <v>18</v>
      </c>
      <c r="AH1296" t="n">
        <v>4</v>
      </c>
      <c r="AI1296" t="n">
        <v>8</v>
      </c>
      <c r="AJ1296" t="n">
        <v>15</v>
      </c>
      <c r="AK1296" t="n">
        <v>25</v>
      </c>
      <c r="AL1296" t="n">
        <v>0</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HYPERLINK("https://creighton-primo.hosted.exlibrisgroup.com/primo-explore/search?tab=default_tab&amp;search_scope=EVERYTHING&amp;vid=01CRU&amp;lang=en_US&amp;offset=0&amp;query=any,contains,991000156219702656","Catalog Record")</f>
        <v/>
      </c>
      <c r="AT1296">
        <f>HYPERLINK("http://www.worldcat.org/oclc/9232813","WorldCat Record")</f>
        <v/>
      </c>
      <c r="AU1296" t="inlineStr">
        <is>
          <t>4494883470:eng</t>
        </is>
      </c>
      <c r="AV1296" t="inlineStr">
        <is>
          <t>9232813</t>
        </is>
      </c>
      <c r="AW1296" t="inlineStr">
        <is>
          <t>991000156219702656</t>
        </is>
      </c>
      <c r="AX1296" t="inlineStr">
        <is>
          <t>991000156219702656</t>
        </is>
      </c>
      <c r="AY1296" t="inlineStr">
        <is>
          <t>2269842170002656</t>
        </is>
      </c>
      <c r="AZ1296" t="inlineStr">
        <is>
          <t>BOOK</t>
        </is>
      </c>
      <c r="BC1296" t="inlineStr">
        <is>
          <t>32285003560868</t>
        </is>
      </c>
      <c r="BD1296" t="inlineStr">
        <is>
          <t>893865145</t>
        </is>
      </c>
    </row>
    <row r="1297">
      <c r="A1297" t="inlineStr">
        <is>
          <t>No</t>
        </is>
      </c>
      <c r="B1297" t="inlineStr">
        <is>
          <t>BT825 .C37</t>
        </is>
      </c>
      <c r="C1297" t="inlineStr">
        <is>
          <t>0                      BT 0825000C  37</t>
        </is>
      </c>
      <c r="D1297" t="inlineStr">
        <is>
          <t>Death and hope / edited by Harry J. Cargas and Ann White.</t>
        </is>
      </c>
      <c r="F1297" t="inlineStr">
        <is>
          <t>No</t>
        </is>
      </c>
      <c r="G1297" t="inlineStr">
        <is>
          <t>1</t>
        </is>
      </c>
      <c r="H1297" t="inlineStr">
        <is>
          <t>No</t>
        </is>
      </c>
      <c r="I1297" t="inlineStr">
        <is>
          <t>No</t>
        </is>
      </c>
      <c r="J1297" t="inlineStr">
        <is>
          <t>0</t>
        </is>
      </c>
      <c r="K1297" t="inlineStr">
        <is>
          <t>Cargas, Harry J. compiler.</t>
        </is>
      </c>
      <c r="L1297" t="inlineStr">
        <is>
          <t>New York, Corpus Books [1971, c1970]</t>
        </is>
      </c>
      <c r="M1297" t="inlineStr">
        <is>
          <t>1971</t>
        </is>
      </c>
      <c r="O1297" t="inlineStr">
        <is>
          <t>eng</t>
        </is>
      </c>
      <c r="P1297" t="inlineStr">
        <is>
          <t>nyu</t>
        </is>
      </c>
      <c r="R1297" t="inlineStr">
        <is>
          <t xml:space="preserve">BT </t>
        </is>
      </c>
      <c r="S1297" t="n">
        <v>6</v>
      </c>
      <c r="T1297" t="n">
        <v>6</v>
      </c>
      <c r="U1297" t="inlineStr">
        <is>
          <t>2000-03-12</t>
        </is>
      </c>
      <c r="V1297" t="inlineStr">
        <is>
          <t>2000-03-12</t>
        </is>
      </c>
      <c r="W1297" t="inlineStr">
        <is>
          <t>1990-08-08</t>
        </is>
      </c>
      <c r="X1297" t="inlineStr">
        <is>
          <t>1990-08-08</t>
        </is>
      </c>
      <c r="Y1297" t="n">
        <v>187</v>
      </c>
      <c r="Z1297" t="n">
        <v>176</v>
      </c>
      <c r="AA1297" t="n">
        <v>185</v>
      </c>
      <c r="AB1297" t="n">
        <v>6</v>
      </c>
      <c r="AC1297" t="n">
        <v>6</v>
      </c>
      <c r="AD1297" t="n">
        <v>25</v>
      </c>
      <c r="AE1297" t="n">
        <v>25</v>
      </c>
      <c r="AF1297" t="n">
        <v>9</v>
      </c>
      <c r="AG1297" t="n">
        <v>9</v>
      </c>
      <c r="AH1297" t="n">
        <v>5</v>
      </c>
      <c r="AI1297" t="n">
        <v>5</v>
      </c>
      <c r="AJ1297" t="n">
        <v>14</v>
      </c>
      <c r="AK1297" t="n">
        <v>14</v>
      </c>
      <c r="AL1297" t="n">
        <v>4</v>
      </c>
      <c r="AM1297" t="n">
        <v>4</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HYPERLINK("https://creighton-primo.hosted.exlibrisgroup.com/primo-explore/search?tab=default_tab&amp;search_scope=EVERYTHING&amp;vid=01CRU&amp;lang=en_US&amp;offset=0&amp;query=any,contains,991000680679702656","Catalog Record")</f>
        <v/>
      </c>
      <c r="AT1297">
        <f>HYPERLINK("http://www.worldcat.org/oclc/121721","WorldCat Record")</f>
        <v/>
      </c>
      <c r="AU1297" t="inlineStr">
        <is>
          <t>1243656:eng</t>
        </is>
      </c>
      <c r="AV1297" t="inlineStr">
        <is>
          <t>121721</t>
        </is>
      </c>
      <c r="AW1297" t="inlineStr">
        <is>
          <t>991000680679702656</t>
        </is>
      </c>
      <c r="AX1297" t="inlineStr">
        <is>
          <t>991000680679702656</t>
        </is>
      </c>
      <c r="AY1297" t="inlineStr">
        <is>
          <t>2262346110002656</t>
        </is>
      </c>
      <c r="AZ1297" t="inlineStr">
        <is>
          <t>BOOK</t>
        </is>
      </c>
      <c r="BC1297" t="inlineStr">
        <is>
          <t>32285000269471</t>
        </is>
      </c>
      <c r="BD1297" t="inlineStr">
        <is>
          <t>893808785</t>
        </is>
      </c>
    </row>
    <row r="1298">
      <c r="A1298" t="inlineStr">
        <is>
          <t>No</t>
        </is>
      </c>
      <c r="B1298" t="inlineStr">
        <is>
          <t>BT825 .F2413 1966</t>
        </is>
      </c>
      <c r="C1298" t="inlineStr">
        <is>
          <t>0                      BT 0825000F  2413        1966</t>
        </is>
      </c>
      <c r="D1298" t="inlineStr">
        <is>
          <t>The child and the mystery of death / by Marie Fargues. Translated by Sister Gertrude. With discussion questions.</t>
        </is>
      </c>
      <c r="F1298" t="inlineStr">
        <is>
          <t>No</t>
        </is>
      </c>
      <c r="G1298" t="inlineStr">
        <is>
          <t>1</t>
        </is>
      </c>
      <c r="H1298" t="inlineStr">
        <is>
          <t>No</t>
        </is>
      </c>
      <c r="I1298" t="inlineStr">
        <is>
          <t>No</t>
        </is>
      </c>
      <c r="J1298" t="inlineStr">
        <is>
          <t>0</t>
        </is>
      </c>
      <c r="K1298" t="inlineStr">
        <is>
          <t>Fargues, Marie.</t>
        </is>
      </c>
      <c r="L1298" t="inlineStr">
        <is>
          <t>Glen Rock, N.J. : Paulist Press, [1966]</t>
        </is>
      </c>
      <c r="M1298" t="inlineStr">
        <is>
          <t>1966</t>
        </is>
      </c>
      <c r="O1298" t="inlineStr">
        <is>
          <t>eng</t>
        </is>
      </c>
      <c r="P1298" t="inlineStr">
        <is>
          <t>nju</t>
        </is>
      </c>
      <c r="Q1298" t="inlineStr">
        <is>
          <t>Deus books</t>
        </is>
      </c>
      <c r="R1298" t="inlineStr">
        <is>
          <t xml:space="preserve">BT </t>
        </is>
      </c>
      <c r="S1298" t="n">
        <v>2</v>
      </c>
      <c r="T1298" t="n">
        <v>2</v>
      </c>
      <c r="U1298" t="inlineStr">
        <is>
          <t>1993-01-17</t>
        </is>
      </c>
      <c r="V1298" t="inlineStr">
        <is>
          <t>1993-01-17</t>
        </is>
      </c>
      <c r="W1298" t="inlineStr">
        <is>
          <t>1991-10-22</t>
        </is>
      </c>
      <c r="X1298" t="inlineStr">
        <is>
          <t>1991-10-22</t>
        </is>
      </c>
      <c r="Y1298" t="n">
        <v>90</v>
      </c>
      <c r="Z1298" t="n">
        <v>79</v>
      </c>
      <c r="AA1298" t="n">
        <v>79</v>
      </c>
      <c r="AB1298" t="n">
        <v>2</v>
      </c>
      <c r="AC1298" t="n">
        <v>2</v>
      </c>
      <c r="AD1298" t="n">
        <v>13</v>
      </c>
      <c r="AE1298" t="n">
        <v>13</v>
      </c>
      <c r="AF1298" t="n">
        <v>1</v>
      </c>
      <c r="AG1298" t="n">
        <v>1</v>
      </c>
      <c r="AH1298" t="n">
        <v>5</v>
      </c>
      <c r="AI1298" t="n">
        <v>5</v>
      </c>
      <c r="AJ1298" t="n">
        <v>8</v>
      </c>
      <c r="AK1298" t="n">
        <v>8</v>
      </c>
      <c r="AL1298" t="n">
        <v>1</v>
      </c>
      <c r="AM1298" t="n">
        <v>1</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HYPERLINK("https://creighton-primo.hosted.exlibrisgroup.com/primo-explore/search?tab=default_tab&amp;search_scope=EVERYTHING&amp;vid=01CRU&amp;lang=en_US&amp;offset=0&amp;query=any,contains,991003997149702656","Catalog Record")</f>
        <v/>
      </c>
      <c r="AT1298">
        <f>HYPERLINK("http://www.worldcat.org/oclc/2064359","WorldCat Record")</f>
        <v/>
      </c>
      <c r="AU1298" t="inlineStr">
        <is>
          <t>3794351:eng</t>
        </is>
      </c>
      <c r="AV1298" t="inlineStr">
        <is>
          <t>2064359</t>
        </is>
      </c>
      <c r="AW1298" t="inlineStr">
        <is>
          <t>991003997149702656</t>
        </is>
      </c>
      <c r="AX1298" t="inlineStr">
        <is>
          <t>991003997149702656</t>
        </is>
      </c>
      <c r="AY1298" t="inlineStr">
        <is>
          <t>2263205870002656</t>
        </is>
      </c>
      <c r="AZ1298" t="inlineStr">
        <is>
          <t>BOOK</t>
        </is>
      </c>
      <c r="BC1298" t="inlineStr">
        <is>
          <t>32285000807155</t>
        </is>
      </c>
      <c r="BD1298" t="inlineStr">
        <is>
          <t>893506251</t>
        </is>
      </c>
    </row>
    <row r="1299">
      <c r="A1299" t="inlineStr">
        <is>
          <t>No</t>
        </is>
      </c>
      <c r="B1299" t="inlineStr">
        <is>
          <t>BT825 .G38 1981</t>
        </is>
      </c>
      <c r="C1299" t="inlineStr">
        <is>
          <t>0                      BT 0825000G  38          1981</t>
        </is>
      </c>
      <c r="D1299" t="inlineStr">
        <is>
          <t>Welcome joy : death in Puritan New England / by Gordon E. Geddes.</t>
        </is>
      </c>
      <c r="F1299" t="inlineStr">
        <is>
          <t>No</t>
        </is>
      </c>
      <c r="G1299" t="inlineStr">
        <is>
          <t>1</t>
        </is>
      </c>
      <c r="H1299" t="inlineStr">
        <is>
          <t>No</t>
        </is>
      </c>
      <c r="I1299" t="inlineStr">
        <is>
          <t>No</t>
        </is>
      </c>
      <c r="J1299" t="inlineStr">
        <is>
          <t>0</t>
        </is>
      </c>
      <c r="K1299" t="inlineStr">
        <is>
          <t>Geddes, Gordon E.</t>
        </is>
      </c>
      <c r="L1299" t="inlineStr">
        <is>
          <t>Ann Arbor, Mich. : UMI Research Press, c1981.</t>
        </is>
      </c>
      <c r="M1299" t="inlineStr">
        <is>
          <t>1981</t>
        </is>
      </c>
      <c r="O1299" t="inlineStr">
        <is>
          <t>eng</t>
        </is>
      </c>
      <c r="P1299" t="inlineStr">
        <is>
          <t>miu</t>
        </is>
      </c>
      <c r="Q1299" t="inlineStr">
        <is>
          <t>Studies in American history and culture ; no. 28</t>
        </is>
      </c>
      <c r="R1299" t="inlineStr">
        <is>
          <t xml:space="preserve">BT </t>
        </is>
      </c>
      <c r="S1299" t="n">
        <v>3</v>
      </c>
      <c r="T1299" t="n">
        <v>3</v>
      </c>
      <c r="U1299" t="inlineStr">
        <is>
          <t>2008-12-05</t>
        </is>
      </c>
      <c r="V1299" t="inlineStr">
        <is>
          <t>2008-12-05</t>
        </is>
      </c>
      <c r="W1299" t="inlineStr">
        <is>
          <t>1990-03-05</t>
        </is>
      </c>
      <c r="X1299" t="inlineStr">
        <is>
          <t>1990-03-05</t>
        </is>
      </c>
      <c r="Y1299" t="n">
        <v>359</v>
      </c>
      <c r="Z1299" t="n">
        <v>312</v>
      </c>
      <c r="AA1299" t="n">
        <v>316</v>
      </c>
      <c r="AB1299" t="n">
        <v>1</v>
      </c>
      <c r="AC1299" t="n">
        <v>1</v>
      </c>
      <c r="AD1299" t="n">
        <v>15</v>
      </c>
      <c r="AE1299" t="n">
        <v>15</v>
      </c>
      <c r="AF1299" t="n">
        <v>3</v>
      </c>
      <c r="AG1299" t="n">
        <v>3</v>
      </c>
      <c r="AH1299" t="n">
        <v>6</v>
      </c>
      <c r="AI1299" t="n">
        <v>6</v>
      </c>
      <c r="AJ1299" t="n">
        <v>9</v>
      </c>
      <c r="AK1299" t="n">
        <v>9</v>
      </c>
      <c r="AL1299" t="n">
        <v>0</v>
      </c>
      <c r="AM1299" t="n">
        <v>0</v>
      </c>
      <c r="AN1299" t="n">
        <v>0</v>
      </c>
      <c r="AO1299" t="n">
        <v>0</v>
      </c>
      <c r="AP1299" t="inlineStr">
        <is>
          <t>No</t>
        </is>
      </c>
      <c r="AQ1299" t="inlineStr">
        <is>
          <t>Yes</t>
        </is>
      </c>
      <c r="AR1299">
        <f>HYPERLINK("http://catalog.hathitrust.org/Record/000104669","HathiTrust Record")</f>
        <v/>
      </c>
      <c r="AS1299">
        <f>HYPERLINK("https://creighton-primo.hosted.exlibrisgroup.com/primo-explore/search?tab=default_tab&amp;search_scope=EVERYTHING&amp;vid=01CRU&amp;lang=en_US&amp;offset=0&amp;query=any,contains,991005094949702656","Catalog Record")</f>
        <v/>
      </c>
      <c r="AT1299">
        <f>HYPERLINK("http://www.worldcat.org/oclc/7271965","WorldCat Record")</f>
        <v/>
      </c>
      <c r="AU1299" t="inlineStr">
        <is>
          <t>3857307399:eng</t>
        </is>
      </c>
      <c r="AV1299" t="inlineStr">
        <is>
          <t>7271965</t>
        </is>
      </c>
      <c r="AW1299" t="inlineStr">
        <is>
          <t>991005094949702656</t>
        </is>
      </c>
      <c r="AX1299" t="inlineStr">
        <is>
          <t>991005094949702656</t>
        </is>
      </c>
      <c r="AY1299" t="inlineStr">
        <is>
          <t>2259366190002656</t>
        </is>
      </c>
      <c r="AZ1299" t="inlineStr">
        <is>
          <t>BOOK</t>
        </is>
      </c>
      <c r="BB1299" t="inlineStr">
        <is>
          <t>9780835711814</t>
        </is>
      </c>
      <c r="BC1299" t="inlineStr">
        <is>
          <t>32285000076538</t>
        </is>
      </c>
      <c r="BD1299" t="inlineStr">
        <is>
          <t>893694747</t>
        </is>
      </c>
    </row>
    <row r="1300">
      <c r="A1300" t="inlineStr">
        <is>
          <t>No</t>
        </is>
      </c>
      <c r="B1300" t="inlineStr">
        <is>
          <t>BT825 .G613</t>
        </is>
      </c>
      <c r="C1300" t="inlineStr">
        <is>
          <t>0                      BT 0825000G  613</t>
        </is>
      </c>
      <c r="D1300" t="inlineStr">
        <is>
          <t>Death and presence : the psychology of death and the after-life / Edited by A. Godin.</t>
        </is>
      </c>
      <c r="F1300" t="inlineStr">
        <is>
          <t>No</t>
        </is>
      </c>
      <c r="G1300" t="inlineStr">
        <is>
          <t>1</t>
        </is>
      </c>
      <c r="H1300" t="inlineStr">
        <is>
          <t>No</t>
        </is>
      </c>
      <c r="I1300" t="inlineStr">
        <is>
          <t>No</t>
        </is>
      </c>
      <c r="J1300" t="inlineStr">
        <is>
          <t>0</t>
        </is>
      </c>
      <c r="K1300" t="inlineStr">
        <is>
          <t>Godin, André.</t>
        </is>
      </c>
      <c r="L1300" t="inlineStr">
        <is>
          <t>Brussels, Lumen Vitae Press, 1972.</t>
        </is>
      </c>
      <c r="M1300" t="inlineStr">
        <is>
          <t>1972</t>
        </is>
      </c>
      <c r="O1300" t="inlineStr">
        <is>
          <t>eng</t>
        </is>
      </c>
      <c r="P1300" t="inlineStr">
        <is>
          <t xml:space="preserve">be </t>
        </is>
      </c>
      <c r="Q1300" t="inlineStr">
        <is>
          <t>Lymen Vitae studies in the psychology of religion, 5</t>
        </is>
      </c>
      <c r="R1300" t="inlineStr">
        <is>
          <t xml:space="preserve">BT </t>
        </is>
      </c>
      <c r="S1300" t="n">
        <v>3</v>
      </c>
      <c r="T1300" t="n">
        <v>3</v>
      </c>
      <c r="U1300" t="inlineStr">
        <is>
          <t>2002-03-26</t>
        </is>
      </c>
      <c r="V1300" t="inlineStr">
        <is>
          <t>2002-03-26</t>
        </is>
      </c>
      <c r="W1300" t="inlineStr">
        <is>
          <t>1991-10-22</t>
        </is>
      </c>
      <c r="X1300" t="inlineStr">
        <is>
          <t>1991-10-22</t>
        </is>
      </c>
      <c r="Y1300" t="n">
        <v>163</v>
      </c>
      <c r="Z1300" t="n">
        <v>128</v>
      </c>
      <c r="AA1300" t="n">
        <v>130</v>
      </c>
      <c r="AB1300" t="n">
        <v>2</v>
      </c>
      <c r="AC1300" t="n">
        <v>2</v>
      </c>
      <c r="AD1300" t="n">
        <v>12</v>
      </c>
      <c r="AE1300" t="n">
        <v>12</v>
      </c>
      <c r="AF1300" t="n">
        <v>2</v>
      </c>
      <c r="AG1300" t="n">
        <v>2</v>
      </c>
      <c r="AH1300" t="n">
        <v>4</v>
      </c>
      <c r="AI1300" t="n">
        <v>4</v>
      </c>
      <c r="AJ1300" t="n">
        <v>10</v>
      </c>
      <c r="AK1300" t="n">
        <v>10</v>
      </c>
      <c r="AL1300" t="n">
        <v>0</v>
      </c>
      <c r="AM1300" t="n">
        <v>0</v>
      </c>
      <c r="AN1300" t="n">
        <v>0</v>
      </c>
      <c r="AO1300" t="n">
        <v>0</v>
      </c>
      <c r="AP1300" t="inlineStr">
        <is>
          <t>No</t>
        </is>
      </c>
      <c r="AQ1300" t="inlineStr">
        <is>
          <t>Yes</t>
        </is>
      </c>
      <c r="AR1300">
        <f>HYPERLINK("http://catalog.hathitrust.org/Record/001400643","HathiTrust Record")</f>
        <v/>
      </c>
      <c r="AS1300">
        <f>HYPERLINK("https://creighton-primo.hosted.exlibrisgroup.com/primo-explore/search?tab=default_tab&amp;search_scope=EVERYTHING&amp;vid=01CRU&amp;lang=en_US&amp;offset=0&amp;query=any,contains,991005266219702656","Catalog Record")</f>
        <v/>
      </c>
      <c r="AT1300">
        <f>HYPERLINK("http://www.worldcat.org/oclc/833116","WorldCat Record")</f>
        <v/>
      </c>
      <c r="AU1300" t="inlineStr">
        <is>
          <t>1748950:eng</t>
        </is>
      </c>
      <c r="AV1300" t="inlineStr">
        <is>
          <t>833116</t>
        </is>
      </c>
      <c r="AW1300" t="inlineStr">
        <is>
          <t>991005266219702656</t>
        </is>
      </c>
      <c r="AX1300" t="inlineStr">
        <is>
          <t>991005266219702656</t>
        </is>
      </c>
      <c r="AY1300" t="inlineStr">
        <is>
          <t>2271616100002656</t>
        </is>
      </c>
      <c r="AZ1300" t="inlineStr">
        <is>
          <t>BOOK</t>
        </is>
      </c>
      <c r="BC1300" t="inlineStr">
        <is>
          <t>32285000807163</t>
        </is>
      </c>
      <c r="BD1300" t="inlineStr">
        <is>
          <t>893536513</t>
        </is>
      </c>
    </row>
    <row r="1301">
      <c r="A1301" t="inlineStr">
        <is>
          <t>No</t>
        </is>
      </c>
      <c r="B1301" t="inlineStr">
        <is>
          <t>BT825 .G86 1996</t>
        </is>
      </c>
      <c r="C1301" t="inlineStr">
        <is>
          <t>0                      BT 0825000G  86          1996</t>
        </is>
      </c>
      <c r="D1301" t="inlineStr">
        <is>
          <t>Life's living toward dying : a theological and medical-ethical study / Vigen Guroian.</t>
        </is>
      </c>
      <c r="F1301" t="inlineStr">
        <is>
          <t>No</t>
        </is>
      </c>
      <c r="G1301" t="inlineStr">
        <is>
          <t>1</t>
        </is>
      </c>
      <c r="H1301" t="inlineStr">
        <is>
          <t>No</t>
        </is>
      </c>
      <c r="I1301" t="inlineStr">
        <is>
          <t>No</t>
        </is>
      </c>
      <c r="J1301" t="inlineStr">
        <is>
          <t>0</t>
        </is>
      </c>
      <c r="K1301" t="inlineStr">
        <is>
          <t>Guroian, Vigen.</t>
        </is>
      </c>
      <c r="L1301" t="inlineStr">
        <is>
          <t>Grand Rapids, Mich. : W.B. Eerdmans Pub. Co., c1996.</t>
        </is>
      </c>
      <c r="M1301" t="inlineStr">
        <is>
          <t>1996</t>
        </is>
      </c>
      <c r="O1301" t="inlineStr">
        <is>
          <t>eng</t>
        </is>
      </c>
      <c r="P1301" t="inlineStr">
        <is>
          <t>miu</t>
        </is>
      </c>
      <c r="R1301" t="inlineStr">
        <is>
          <t xml:space="preserve">BT </t>
        </is>
      </c>
      <c r="S1301" t="n">
        <v>4</v>
      </c>
      <c r="T1301" t="n">
        <v>4</v>
      </c>
      <c r="U1301" t="inlineStr">
        <is>
          <t>2005-07-24</t>
        </is>
      </c>
      <c r="V1301" t="inlineStr">
        <is>
          <t>2005-07-24</t>
        </is>
      </c>
      <c r="W1301" t="inlineStr">
        <is>
          <t>1999-09-08</t>
        </is>
      </c>
      <c r="X1301" t="inlineStr">
        <is>
          <t>1999-09-08</t>
        </is>
      </c>
      <c r="Y1301" t="n">
        <v>290</v>
      </c>
      <c r="Z1301" t="n">
        <v>247</v>
      </c>
      <c r="AA1301" t="n">
        <v>248</v>
      </c>
      <c r="AB1301" t="n">
        <v>2</v>
      </c>
      <c r="AC1301" t="n">
        <v>2</v>
      </c>
      <c r="AD1301" t="n">
        <v>21</v>
      </c>
      <c r="AE1301" t="n">
        <v>22</v>
      </c>
      <c r="AF1301" t="n">
        <v>7</v>
      </c>
      <c r="AG1301" t="n">
        <v>8</v>
      </c>
      <c r="AH1301" t="n">
        <v>5</v>
      </c>
      <c r="AI1301" t="n">
        <v>5</v>
      </c>
      <c r="AJ1301" t="n">
        <v>14</v>
      </c>
      <c r="AK1301" t="n">
        <v>15</v>
      </c>
      <c r="AL1301" t="n">
        <v>1</v>
      </c>
      <c r="AM1301" t="n">
        <v>1</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HYPERLINK("https://creighton-primo.hosted.exlibrisgroup.com/primo-explore/search?tab=default_tab&amp;search_scope=EVERYTHING&amp;vid=01CRU&amp;lang=en_US&amp;offset=0&amp;query=any,contains,991002618409702656","Catalog Record")</f>
        <v/>
      </c>
      <c r="AT1301">
        <f>HYPERLINK("http://www.worldcat.org/oclc/34320373","WorldCat Record")</f>
        <v/>
      </c>
      <c r="AU1301" t="inlineStr">
        <is>
          <t>476808657:eng</t>
        </is>
      </c>
      <c r="AV1301" t="inlineStr">
        <is>
          <t>34320373</t>
        </is>
      </c>
      <c r="AW1301" t="inlineStr">
        <is>
          <t>991002618409702656</t>
        </is>
      </c>
      <c r="AX1301" t="inlineStr">
        <is>
          <t>991002618409702656</t>
        </is>
      </c>
      <c r="AY1301" t="inlineStr">
        <is>
          <t>2256145220002656</t>
        </is>
      </c>
      <c r="AZ1301" t="inlineStr">
        <is>
          <t>BOOK</t>
        </is>
      </c>
      <c r="BB1301" t="inlineStr">
        <is>
          <t>9780802841902</t>
        </is>
      </c>
      <c r="BC1301" t="inlineStr">
        <is>
          <t>32285003586780</t>
        </is>
      </c>
      <c r="BD1301" t="inlineStr">
        <is>
          <t>893409321</t>
        </is>
      </c>
    </row>
    <row r="1302">
      <c r="A1302" t="inlineStr">
        <is>
          <t>No</t>
        </is>
      </c>
      <c r="B1302" t="inlineStr">
        <is>
          <t>BT825 .H38 1978</t>
        </is>
      </c>
      <c r="C1302" t="inlineStr">
        <is>
          <t>0                      BT 0825000H  38          1978</t>
        </is>
      </c>
      <c r="D1302" t="inlineStr">
        <is>
          <t>What are they saying about death and Christian hope? / by Monika K. Hellwig.</t>
        </is>
      </c>
      <c r="F1302" t="inlineStr">
        <is>
          <t>No</t>
        </is>
      </c>
      <c r="G1302" t="inlineStr">
        <is>
          <t>1</t>
        </is>
      </c>
      <c r="H1302" t="inlineStr">
        <is>
          <t>No</t>
        </is>
      </c>
      <c r="I1302" t="inlineStr">
        <is>
          <t>No</t>
        </is>
      </c>
      <c r="J1302" t="inlineStr">
        <is>
          <t>0</t>
        </is>
      </c>
      <c r="K1302" t="inlineStr">
        <is>
          <t>Hellwig, Monika.</t>
        </is>
      </c>
      <c r="L1302" t="inlineStr">
        <is>
          <t>New York : Paulist Press, c1978.</t>
        </is>
      </c>
      <c r="M1302" t="inlineStr">
        <is>
          <t>1978</t>
        </is>
      </c>
      <c r="O1302" t="inlineStr">
        <is>
          <t>eng</t>
        </is>
      </c>
      <c r="P1302" t="inlineStr">
        <is>
          <t>nyu</t>
        </is>
      </c>
      <c r="Q1302" t="inlineStr">
        <is>
          <t>A Deus book</t>
        </is>
      </c>
      <c r="R1302" t="inlineStr">
        <is>
          <t xml:space="preserve">BT </t>
        </is>
      </c>
      <c r="S1302" t="n">
        <v>1</v>
      </c>
      <c r="T1302" t="n">
        <v>1</v>
      </c>
      <c r="U1302" t="inlineStr">
        <is>
          <t>2009-07-28</t>
        </is>
      </c>
      <c r="V1302" t="inlineStr">
        <is>
          <t>2009-07-28</t>
        </is>
      </c>
      <c r="W1302" t="inlineStr">
        <is>
          <t>2009-07-28</t>
        </is>
      </c>
      <c r="X1302" t="inlineStr">
        <is>
          <t>2009-07-28</t>
        </is>
      </c>
      <c r="Y1302" t="n">
        <v>309</v>
      </c>
      <c r="Z1302" t="n">
        <v>264</v>
      </c>
      <c r="AA1302" t="n">
        <v>300</v>
      </c>
      <c r="AB1302" t="n">
        <v>3</v>
      </c>
      <c r="AC1302" t="n">
        <v>3</v>
      </c>
      <c r="AD1302" t="n">
        <v>32</v>
      </c>
      <c r="AE1302" t="n">
        <v>36</v>
      </c>
      <c r="AF1302" t="n">
        <v>12</v>
      </c>
      <c r="AG1302" t="n">
        <v>14</v>
      </c>
      <c r="AH1302" t="n">
        <v>7</v>
      </c>
      <c r="AI1302" t="n">
        <v>7</v>
      </c>
      <c r="AJ1302" t="n">
        <v>22</v>
      </c>
      <c r="AK1302" t="n">
        <v>25</v>
      </c>
      <c r="AL1302" t="n">
        <v>2</v>
      </c>
      <c r="AM1302" t="n">
        <v>2</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HYPERLINK("https://creighton-primo.hosted.exlibrisgroup.com/primo-explore/search?tab=default_tab&amp;search_scope=EVERYTHING&amp;vid=01CRU&amp;lang=en_US&amp;offset=0&amp;query=any,contains,991005328429702656","Catalog Record")</f>
        <v/>
      </c>
      <c r="AT1302">
        <f>HYPERLINK("http://www.worldcat.org/oclc/4579878","WorldCat Record")</f>
        <v/>
      </c>
      <c r="AU1302" t="inlineStr">
        <is>
          <t>579484:eng</t>
        </is>
      </c>
      <c r="AV1302" t="inlineStr">
        <is>
          <t>4579878</t>
        </is>
      </c>
      <c r="AW1302" t="inlineStr">
        <is>
          <t>991005328429702656</t>
        </is>
      </c>
      <c r="AX1302" t="inlineStr">
        <is>
          <t>991005328429702656</t>
        </is>
      </c>
      <c r="AY1302" t="inlineStr">
        <is>
          <t>2260690330002656</t>
        </is>
      </c>
      <c r="AZ1302" t="inlineStr">
        <is>
          <t>BOOK</t>
        </is>
      </c>
      <c r="BB1302" t="inlineStr">
        <is>
          <t>9780809121656</t>
        </is>
      </c>
      <c r="BC1302" t="inlineStr">
        <is>
          <t>32285005539399</t>
        </is>
      </c>
      <c r="BD1302" t="inlineStr">
        <is>
          <t>893424916</t>
        </is>
      </c>
    </row>
    <row r="1303">
      <c r="A1303" t="inlineStr">
        <is>
          <t>No</t>
        </is>
      </c>
      <c r="B1303" t="inlineStr">
        <is>
          <t>BT825 .J8413 1975</t>
        </is>
      </c>
      <c r="C1303" t="inlineStr">
        <is>
          <t>0                      BT 0825000J  8413        1975</t>
        </is>
      </c>
      <c r="D1303" t="inlineStr">
        <is>
          <t>Death, the riddle and the mystery / Eberhard Jüngel ; translated by Iain and Ute Nicol.</t>
        </is>
      </c>
      <c r="F1303" t="inlineStr">
        <is>
          <t>No</t>
        </is>
      </c>
      <c r="G1303" t="inlineStr">
        <is>
          <t>1</t>
        </is>
      </c>
      <c r="H1303" t="inlineStr">
        <is>
          <t>No</t>
        </is>
      </c>
      <c r="I1303" t="inlineStr">
        <is>
          <t>No</t>
        </is>
      </c>
      <c r="J1303" t="inlineStr">
        <is>
          <t>0</t>
        </is>
      </c>
      <c r="K1303" t="inlineStr">
        <is>
          <t>Jüngel, Eberhard.</t>
        </is>
      </c>
      <c r="L1303" t="inlineStr">
        <is>
          <t>Philadelphia : Westminster Press, [1975] c1974.</t>
        </is>
      </c>
      <c r="M1303" t="inlineStr">
        <is>
          <t>1975</t>
        </is>
      </c>
      <c r="O1303" t="inlineStr">
        <is>
          <t>eng</t>
        </is>
      </c>
      <c r="P1303" t="inlineStr">
        <is>
          <t>pau</t>
        </is>
      </c>
      <c r="R1303" t="inlineStr">
        <is>
          <t xml:space="preserve">BT </t>
        </is>
      </c>
      <c r="S1303" t="n">
        <v>8</v>
      </c>
      <c r="T1303" t="n">
        <v>8</v>
      </c>
      <c r="U1303" t="inlineStr">
        <is>
          <t>1995-01-23</t>
        </is>
      </c>
      <c r="V1303" t="inlineStr">
        <is>
          <t>1995-01-23</t>
        </is>
      </c>
      <c r="W1303" t="inlineStr">
        <is>
          <t>1990-04-25</t>
        </is>
      </c>
      <c r="X1303" t="inlineStr">
        <is>
          <t>1990-04-25</t>
        </is>
      </c>
      <c r="Y1303" t="n">
        <v>357</v>
      </c>
      <c r="Z1303" t="n">
        <v>332</v>
      </c>
      <c r="AA1303" t="n">
        <v>336</v>
      </c>
      <c r="AB1303" t="n">
        <v>5</v>
      </c>
      <c r="AC1303" t="n">
        <v>5</v>
      </c>
      <c r="AD1303" t="n">
        <v>25</v>
      </c>
      <c r="AE1303" t="n">
        <v>25</v>
      </c>
      <c r="AF1303" t="n">
        <v>5</v>
      </c>
      <c r="AG1303" t="n">
        <v>5</v>
      </c>
      <c r="AH1303" t="n">
        <v>6</v>
      </c>
      <c r="AI1303" t="n">
        <v>6</v>
      </c>
      <c r="AJ1303" t="n">
        <v>15</v>
      </c>
      <c r="AK1303" t="n">
        <v>15</v>
      </c>
      <c r="AL1303" t="n">
        <v>3</v>
      </c>
      <c r="AM1303" t="n">
        <v>3</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HYPERLINK("https://creighton-primo.hosted.exlibrisgroup.com/primo-explore/search?tab=default_tab&amp;search_scope=EVERYTHING&amp;vid=01CRU&amp;lang=en_US&amp;offset=0&amp;query=any,contains,991003538369702656","Catalog Record")</f>
        <v/>
      </c>
      <c r="AT1303">
        <f>HYPERLINK("http://www.worldcat.org/oclc/1103301","WorldCat Record")</f>
        <v/>
      </c>
      <c r="AU1303" t="inlineStr">
        <is>
          <t>10624822526:eng</t>
        </is>
      </c>
      <c r="AV1303" t="inlineStr">
        <is>
          <t>1103301</t>
        </is>
      </c>
      <c r="AW1303" t="inlineStr">
        <is>
          <t>991003538369702656</t>
        </is>
      </c>
      <c r="AX1303" t="inlineStr">
        <is>
          <t>991003538369702656</t>
        </is>
      </c>
      <c r="AY1303" t="inlineStr">
        <is>
          <t>2267271090002656</t>
        </is>
      </c>
      <c r="AZ1303" t="inlineStr">
        <is>
          <t>BOOK</t>
        </is>
      </c>
      <c r="BB1303" t="inlineStr">
        <is>
          <t>9780664208219</t>
        </is>
      </c>
      <c r="BC1303" t="inlineStr">
        <is>
          <t>32285000132646</t>
        </is>
      </c>
      <c r="BD1303" t="inlineStr">
        <is>
          <t>893711463</t>
        </is>
      </c>
    </row>
    <row r="1304">
      <c r="A1304" t="inlineStr">
        <is>
          <t>No</t>
        </is>
      </c>
      <c r="B1304" t="inlineStr">
        <is>
          <t>BT825 .L54 1926</t>
        </is>
      </c>
      <c r="C1304" t="inlineStr">
        <is>
          <t>0                      BT 0825000L  54          1926</t>
        </is>
      </c>
      <c r="D1304" t="inlineStr">
        <is>
          <t>Preparation for death ; or, Considerations on the eternal truths (maxims of eternity--rule of life.) / By St. Alphonsus de Liguori ; edited by Rev. Eugene Grimm.</t>
        </is>
      </c>
      <c r="F1304" t="inlineStr">
        <is>
          <t>No</t>
        </is>
      </c>
      <c r="G1304" t="inlineStr">
        <is>
          <t>1</t>
        </is>
      </c>
      <c r="H1304" t="inlineStr">
        <is>
          <t>No</t>
        </is>
      </c>
      <c r="I1304" t="inlineStr">
        <is>
          <t>No</t>
        </is>
      </c>
      <c r="J1304" t="inlineStr">
        <is>
          <t>0</t>
        </is>
      </c>
      <c r="K1304" t="inlineStr">
        <is>
          <t>Liguori, Alfonso Maria de', Saint, 1696-1787.</t>
        </is>
      </c>
      <c r="L1304" t="inlineStr">
        <is>
          <t>Brooklyn ; St. Louis [etc.] : Redemptorist fathers, [c1926]</t>
        </is>
      </c>
      <c r="M1304" t="inlineStr">
        <is>
          <t>1926</t>
        </is>
      </c>
      <c r="O1304" t="inlineStr">
        <is>
          <t>eng</t>
        </is>
      </c>
      <c r="P1304" t="inlineStr">
        <is>
          <t>___</t>
        </is>
      </c>
      <c r="Q1304" t="inlineStr">
        <is>
          <t>The complete works of Saint Alphonsus de Liguori. The ascetical works, v.1</t>
        </is>
      </c>
      <c r="R1304" t="inlineStr">
        <is>
          <t xml:space="preserve">BT </t>
        </is>
      </c>
      <c r="S1304" t="n">
        <v>5</v>
      </c>
      <c r="T1304" t="n">
        <v>5</v>
      </c>
      <c r="U1304" t="inlineStr">
        <is>
          <t>2007-05-30</t>
        </is>
      </c>
      <c r="V1304" t="inlineStr">
        <is>
          <t>2007-05-30</t>
        </is>
      </c>
      <c r="W1304" t="inlineStr">
        <is>
          <t>1990-08-08</t>
        </is>
      </c>
      <c r="X1304" t="inlineStr">
        <is>
          <t>1990-08-08</t>
        </is>
      </c>
      <c r="Y1304" t="n">
        <v>98</v>
      </c>
      <c r="Z1304" t="n">
        <v>88</v>
      </c>
      <c r="AA1304" t="n">
        <v>223</v>
      </c>
      <c r="AB1304" t="n">
        <v>3</v>
      </c>
      <c r="AC1304" t="n">
        <v>3</v>
      </c>
      <c r="AD1304" t="n">
        <v>14</v>
      </c>
      <c r="AE1304" t="n">
        <v>18</v>
      </c>
      <c r="AF1304" t="n">
        <v>2</v>
      </c>
      <c r="AG1304" t="n">
        <v>4</v>
      </c>
      <c r="AH1304" t="n">
        <v>3</v>
      </c>
      <c r="AI1304" t="n">
        <v>6</v>
      </c>
      <c r="AJ1304" t="n">
        <v>10</v>
      </c>
      <c r="AK1304" t="n">
        <v>12</v>
      </c>
      <c r="AL1304" t="n">
        <v>0</v>
      </c>
      <c r="AM1304" t="n">
        <v>0</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HYPERLINK("https://creighton-primo.hosted.exlibrisgroup.com/primo-explore/search?tab=default_tab&amp;search_scope=EVERYTHING&amp;vid=01CRU&amp;lang=en_US&amp;offset=0&amp;query=any,contains,991003524779702656","Catalog Record")</f>
        <v/>
      </c>
      <c r="AT1304">
        <f>HYPERLINK("http://www.worldcat.org/oclc/1086672","WorldCat Record")</f>
        <v/>
      </c>
      <c r="AU1304" t="inlineStr">
        <is>
          <t>4924996930:eng</t>
        </is>
      </c>
      <c r="AV1304" t="inlineStr">
        <is>
          <t>1086672</t>
        </is>
      </c>
      <c r="AW1304" t="inlineStr">
        <is>
          <t>991003524779702656</t>
        </is>
      </c>
      <c r="AX1304" t="inlineStr">
        <is>
          <t>991003524779702656</t>
        </is>
      </c>
      <c r="AY1304" t="inlineStr">
        <is>
          <t>2267502940002656</t>
        </is>
      </c>
      <c r="AZ1304" t="inlineStr">
        <is>
          <t>BOOK</t>
        </is>
      </c>
      <c r="BC1304" t="inlineStr">
        <is>
          <t>32285000269505</t>
        </is>
      </c>
      <c r="BD1304" t="inlineStr">
        <is>
          <t>893258515</t>
        </is>
      </c>
    </row>
    <row r="1305">
      <c r="A1305" t="inlineStr">
        <is>
          <t>No</t>
        </is>
      </c>
      <c r="B1305" t="inlineStr">
        <is>
          <t>BT825 .L56</t>
        </is>
      </c>
      <c r="C1305" t="inlineStr">
        <is>
          <t>0                      BT 0825000L  56</t>
        </is>
      </c>
      <c r="D1305" t="inlineStr">
        <is>
          <t>Healing the dying : releasing people to die / Mary Jane Linn, Matthew Linn, Dennis Linn.</t>
        </is>
      </c>
      <c r="F1305" t="inlineStr">
        <is>
          <t>No</t>
        </is>
      </c>
      <c r="G1305" t="inlineStr">
        <is>
          <t>1</t>
        </is>
      </c>
      <c r="H1305" t="inlineStr">
        <is>
          <t>No</t>
        </is>
      </c>
      <c r="I1305" t="inlineStr">
        <is>
          <t>No</t>
        </is>
      </c>
      <c r="J1305" t="inlineStr">
        <is>
          <t>0</t>
        </is>
      </c>
      <c r="K1305" t="inlineStr">
        <is>
          <t>Linn, Mary Jane.</t>
        </is>
      </c>
      <c r="L1305" t="inlineStr">
        <is>
          <t>New York : Paulist Press, c1979.</t>
        </is>
      </c>
      <c r="M1305" t="inlineStr">
        <is>
          <t>1979</t>
        </is>
      </c>
      <c r="O1305" t="inlineStr">
        <is>
          <t>eng</t>
        </is>
      </c>
      <c r="P1305" t="inlineStr">
        <is>
          <t>nyu</t>
        </is>
      </c>
      <c r="Q1305" t="inlineStr">
        <is>
          <t>An Exploration book</t>
        </is>
      </c>
      <c r="R1305" t="inlineStr">
        <is>
          <t xml:space="preserve">BT </t>
        </is>
      </c>
      <c r="S1305" t="n">
        <v>8</v>
      </c>
      <c r="T1305" t="n">
        <v>8</v>
      </c>
      <c r="U1305" t="inlineStr">
        <is>
          <t>2003-04-25</t>
        </is>
      </c>
      <c r="V1305" t="inlineStr">
        <is>
          <t>2003-04-25</t>
        </is>
      </c>
      <c r="W1305" t="inlineStr">
        <is>
          <t>1996-07-22</t>
        </is>
      </c>
      <c r="X1305" t="inlineStr">
        <is>
          <t>1996-07-22</t>
        </is>
      </c>
      <c r="Y1305" t="n">
        <v>249</v>
      </c>
      <c r="Z1305" t="n">
        <v>207</v>
      </c>
      <c r="AA1305" t="n">
        <v>209</v>
      </c>
      <c r="AB1305" t="n">
        <v>1</v>
      </c>
      <c r="AC1305" t="n">
        <v>1</v>
      </c>
      <c r="AD1305" t="n">
        <v>13</v>
      </c>
      <c r="AE1305" t="n">
        <v>13</v>
      </c>
      <c r="AF1305" t="n">
        <v>2</v>
      </c>
      <c r="AG1305" t="n">
        <v>2</v>
      </c>
      <c r="AH1305" t="n">
        <v>5</v>
      </c>
      <c r="AI1305" t="n">
        <v>5</v>
      </c>
      <c r="AJ1305" t="n">
        <v>10</v>
      </c>
      <c r="AK1305" t="n">
        <v>10</v>
      </c>
      <c r="AL1305" t="n">
        <v>0</v>
      </c>
      <c r="AM1305" t="n">
        <v>0</v>
      </c>
      <c r="AN1305" t="n">
        <v>0</v>
      </c>
      <c r="AO1305" t="n">
        <v>0</v>
      </c>
      <c r="AP1305" t="inlineStr">
        <is>
          <t>No</t>
        </is>
      </c>
      <c r="AQ1305" t="inlineStr">
        <is>
          <t>Yes</t>
        </is>
      </c>
      <c r="AR1305">
        <f>HYPERLINK("http://catalog.hathitrust.org/Record/000763538","HathiTrust Record")</f>
        <v/>
      </c>
      <c r="AS1305">
        <f>HYPERLINK("https://creighton-primo.hosted.exlibrisgroup.com/primo-explore/search?tab=default_tab&amp;search_scope=EVERYTHING&amp;vid=01CRU&amp;lang=en_US&amp;offset=0&amp;query=any,contains,991004858909702656","Catalog Record")</f>
        <v/>
      </c>
      <c r="AT1305">
        <f>HYPERLINK("http://www.worldcat.org/oclc/5678213","WorldCat Record")</f>
        <v/>
      </c>
      <c r="AU1305" t="inlineStr">
        <is>
          <t>466209:eng</t>
        </is>
      </c>
      <c r="AV1305" t="inlineStr">
        <is>
          <t>5678213</t>
        </is>
      </c>
      <c r="AW1305" t="inlineStr">
        <is>
          <t>991004858909702656</t>
        </is>
      </c>
      <c r="AX1305" t="inlineStr">
        <is>
          <t>991004858909702656</t>
        </is>
      </c>
      <c r="AY1305" t="inlineStr">
        <is>
          <t>2261059250002656</t>
        </is>
      </c>
      <c r="AZ1305" t="inlineStr">
        <is>
          <t>BOOK</t>
        </is>
      </c>
      <c r="BB1305" t="inlineStr">
        <is>
          <t>9780809122127</t>
        </is>
      </c>
      <c r="BC1305" t="inlineStr">
        <is>
          <t>32285002121639</t>
        </is>
      </c>
      <c r="BD1305" t="inlineStr">
        <is>
          <t>893795339</t>
        </is>
      </c>
    </row>
    <row r="1306">
      <c r="A1306" t="inlineStr">
        <is>
          <t>No</t>
        </is>
      </c>
      <c r="B1306" t="inlineStr">
        <is>
          <t>BT825 .N4 1973</t>
        </is>
      </c>
      <c r="C1306" t="inlineStr">
        <is>
          <t>0                      BT 0825000N  4           1973</t>
        </is>
      </c>
      <c r="D1306" t="inlineStr">
        <is>
          <t>The art of dying / [by] Robert E. Neale.</t>
        </is>
      </c>
      <c r="F1306" t="inlineStr">
        <is>
          <t>No</t>
        </is>
      </c>
      <c r="G1306" t="inlineStr">
        <is>
          <t>1</t>
        </is>
      </c>
      <c r="H1306" t="inlineStr">
        <is>
          <t>No</t>
        </is>
      </c>
      <c r="I1306" t="inlineStr">
        <is>
          <t>No</t>
        </is>
      </c>
      <c r="J1306" t="inlineStr">
        <is>
          <t>0</t>
        </is>
      </c>
      <c r="K1306" t="inlineStr">
        <is>
          <t>Neale, Robert E., 1929-</t>
        </is>
      </c>
      <c r="L1306" t="inlineStr">
        <is>
          <t>New York, Harper &amp; Row [1973]</t>
        </is>
      </c>
      <c r="M1306" t="inlineStr">
        <is>
          <t>1973</t>
        </is>
      </c>
      <c r="N1306" t="inlineStr">
        <is>
          <t>[1st ed.]</t>
        </is>
      </c>
      <c r="O1306" t="inlineStr">
        <is>
          <t>eng</t>
        </is>
      </c>
      <c r="P1306" t="inlineStr">
        <is>
          <t>nyu</t>
        </is>
      </c>
      <c r="R1306" t="inlineStr">
        <is>
          <t xml:space="preserve">BT </t>
        </is>
      </c>
      <c r="S1306" t="n">
        <v>5</v>
      </c>
      <c r="T1306" t="n">
        <v>5</v>
      </c>
      <c r="U1306" t="inlineStr">
        <is>
          <t>1999-03-22</t>
        </is>
      </c>
      <c r="V1306" t="inlineStr">
        <is>
          <t>1999-03-22</t>
        </is>
      </c>
      <c r="W1306" t="inlineStr">
        <is>
          <t>1991-10-22</t>
        </is>
      </c>
      <c r="X1306" t="inlineStr">
        <is>
          <t>1991-10-22</t>
        </is>
      </c>
      <c r="Y1306" t="n">
        <v>921</v>
      </c>
      <c r="Z1306" t="n">
        <v>854</v>
      </c>
      <c r="AA1306" t="n">
        <v>886</v>
      </c>
      <c r="AB1306" t="n">
        <v>4</v>
      </c>
      <c r="AC1306" t="n">
        <v>6</v>
      </c>
      <c r="AD1306" t="n">
        <v>28</v>
      </c>
      <c r="AE1306" t="n">
        <v>31</v>
      </c>
      <c r="AF1306" t="n">
        <v>11</v>
      </c>
      <c r="AG1306" t="n">
        <v>13</v>
      </c>
      <c r="AH1306" t="n">
        <v>5</v>
      </c>
      <c r="AI1306" t="n">
        <v>5</v>
      </c>
      <c r="AJ1306" t="n">
        <v>17</v>
      </c>
      <c r="AK1306" t="n">
        <v>17</v>
      </c>
      <c r="AL1306" t="n">
        <v>3</v>
      </c>
      <c r="AM1306" t="n">
        <v>4</v>
      </c>
      <c r="AN1306" t="n">
        <v>0</v>
      </c>
      <c r="AO1306" t="n">
        <v>0</v>
      </c>
      <c r="AP1306" t="inlineStr">
        <is>
          <t>No</t>
        </is>
      </c>
      <c r="AQ1306" t="inlineStr">
        <is>
          <t>Yes</t>
        </is>
      </c>
      <c r="AR1306">
        <f>HYPERLINK("http://catalog.hathitrust.org/Record/001412699","HathiTrust Record")</f>
        <v/>
      </c>
      <c r="AS1306">
        <f>HYPERLINK("https://creighton-primo.hosted.exlibrisgroup.com/primo-explore/search?tab=default_tab&amp;search_scope=EVERYTHING&amp;vid=01CRU&amp;lang=en_US&amp;offset=0&amp;query=any,contains,991003004399702656","Catalog Record")</f>
        <v/>
      </c>
      <c r="AT1306">
        <f>HYPERLINK("http://www.worldcat.org/oclc/572016","WorldCat Record")</f>
        <v/>
      </c>
      <c r="AU1306" t="inlineStr">
        <is>
          <t>570080:eng</t>
        </is>
      </c>
      <c r="AV1306" t="inlineStr">
        <is>
          <t>572016</t>
        </is>
      </c>
      <c r="AW1306" t="inlineStr">
        <is>
          <t>991003004399702656</t>
        </is>
      </c>
      <c r="AX1306" t="inlineStr">
        <is>
          <t>991003004399702656</t>
        </is>
      </c>
      <c r="AY1306" t="inlineStr">
        <is>
          <t>2272435380002656</t>
        </is>
      </c>
      <c r="AZ1306" t="inlineStr">
        <is>
          <t>BOOK</t>
        </is>
      </c>
      <c r="BB1306" t="inlineStr">
        <is>
          <t>9780060660901</t>
        </is>
      </c>
      <c r="BC1306" t="inlineStr">
        <is>
          <t>32285000807189</t>
        </is>
      </c>
      <c r="BD1306" t="inlineStr">
        <is>
          <t>893598155</t>
        </is>
      </c>
    </row>
    <row r="1307">
      <c r="A1307" t="inlineStr">
        <is>
          <t>No</t>
        </is>
      </c>
      <c r="B1307" t="inlineStr">
        <is>
          <t>BT825 .N67 1982</t>
        </is>
      </c>
      <c r="C1307" t="inlineStr">
        <is>
          <t>0                      BT 0825000N  67          1982</t>
        </is>
      </c>
      <c r="D1307" t="inlineStr">
        <is>
          <t>A letter of consolation / Henri J.M. Nouwen.</t>
        </is>
      </c>
      <c r="F1307" t="inlineStr">
        <is>
          <t>No</t>
        </is>
      </c>
      <c r="G1307" t="inlineStr">
        <is>
          <t>1</t>
        </is>
      </c>
      <c r="H1307" t="inlineStr">
        <is>
          <t>No</t>
        </is>
      </c>
      <c r="I1307" t="inlineStr">
        <is>
          <t>No</t>
        </is>
      </c>
      <c r="J1307" t="inlineStr">
        <is>
          <t>0</t>
        </is>
      </c>
      <c r="K1307" t="inlineStr">
        <is>
          <t>Nouwen, Henri J. M.</t>
        </is>
      </c>
      <c r="L1307" t="inlineStr">
        <is>
          <t>San Francisco : Harper &amp; Row, c1982.</t>
        </is>
      </c>
      <c r="M1307" t="inlineStr">
        <is>
          <t>1982</t>
        </is>
      </c>
      <c r="N1307" t="inlineStr">
        <is>
          <t>1st ed.</t>
        </is>
      </c>
      <c r="O1307" t="inlineStr">
        <is>
          <t>eng</t>
        </is>
      </c>
      <c r="P1307" t="inlineStr">
        <is>
          <t>cau</t>
        </is>
      </c>
      <c r="R1307" t="inlineStr">
        <is>
          <t xml:space="preserve">BT </t>
        </is>
      </c>
      <c r="S1307" t="n">
        <v>5</v>
      </c>
      <c r="T1307" t="n">
        <v>5</v>
      </c>
      <c r="U1307" t="inlineStr">
        <is>
          <t>2006-01-23</t>
        </is>
      </c>
      <c r="V1307" t="inlineStr">
        <is>
          <t>2006-01-23</t>
        </is>
      </c>
      <c r="W1307" t="inlineStr">
        <is>
          <t>1990-08-08</t>
        </is>
      </c>
      <c r="X1307" t="inlineStr">
        <is>
          <t>1990-08-08</t>
        </is>
      </c>
      <c r="Y1307" t="n">
        <v>502</v>
      </c>
      <c r="Z1307" t="n">
        <v>461</v>
      </c>
      <c r="AA1307" t="n">
        <v>528</v>
      </c>
      <c r="AB1307" t="n">
        <v>4</v>
      </c>
      <c r="AC1307" t="n">
        <v>4</v>
      </c>
      <c r="AD1307" t="n">
        <v>19</v>
      </c>
      <c r="AE1307" t="n">
        <v>23</v>
      </c>
      <c r="AF1307" t="n">
        <v>6</v>
      </c>
      <c r="AG1307" t="n">
        <v>8</v>
      </c>
      <c r="AH1307" t="n">
        <v>5</v>
      </c>
      <c r="AI1307" t="n">
        <v>7</v>
      </c>
      <c r="AJ1307" t="n">
        <v>12</v>
      </c>
      <c r="AK1307" t="n">
        <v>13</v>
      </c>
      <c r="AL1307" t="n">
        <v>1</v>
      </c>
      <c r="AM1307" t="n">
        <v>1</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HYPERLINK("https://creighton-primo.hosted.exlibrisgroup.com/primo-explore/search?tab=default_tab&amp;search_scope=EVERYTHING&amp;vid=01CRU&amp;lang=en_US&amp;offset=0&amp;query=any,contains,991005220249702656","Catalog Record")</f>
        <v/>
      </c>
      <c r="AT1307">
        <f>HYPERLINK("http://www.worldcat.org/oclc/8221426","WorldCat Record")</f>
        <v/>
      </c>
      <c r="AU1307" t="inlineStr">
        <is>
          <t>375066536:eng</t>
        </is>
      </c>
      <c r="AV1307" t="inlineStr">
        <is>
          <t>8221426</t>
        </is>
      </c>
      <c r="AW1307" t="inlineStr">
        <is>
          <t>991005220249702656</t>
        </is>
      </c>
      <c r="AX1307" t="inlineStr">
        <is>
          <t>991005220249702656</t>
        </is>
      </c>
      <c r="AY1307" t="inlineStr">
        <is>
          <t>2268538900002656</t>
        </is>
      </c>
      <c r="AZ1307" t="inlineStr">
        <is>
          <t>BOOK</t>
        </is>
      </c>
      <c r="BB1307" t="inlineStr">
        <is>
          <t>9780060663278</t>
        </is>
      </c>
      <c r="BC1307" t="inlineStr">
        <is>
          <t>32285000269802</t>
        </is>
      </c>
      <c r="BD1307" t="inlineStr">
        <is>
          <t>893720001</t>
        </is>
      </c>
    </row>
    <row r="1308">
      <c r="A1308" t="inlineStr">
        <is>
          <t>No</t>
        </is>
      </c>
      <c r="B1308" t="inlineStr">
        <is>
          <t>BT825 .N69 1972</t>
        </is>
      </c>
      <c r="C1308" t="inlineStr">
        <is>
          <t>0                      BT 0825000N  69          1972</t>
        </is>
      </c>
      <c r="D1308" t="inlineStr">
        <is>
          <t>What a modern Catholic believes about death / by Robert Nowell.</t>
        </is>
      </c>
      <c r="F1308" t="inlineStr">
        <is>
          <t>No</t>
        </is>
      </c>
      <c r="G1308" t="inlineStr">
        <is>
          <t>1</t>
        </is>
      </c>
      <c r="H1308" t="inlineStr">
        <is>
          <t>No</t>
        </is>
      </c>
      <c r="I1308" t="inlineStr">
        <is>
          <t>No</t>
        </is>
      </c>
      <c r="J1308" t="inlineStr">
        <is>
          <t>0</t>
        </is>
      </c>
      <c r="K1308" t="inlineStr">
        <is>
          <t>Nowell, Robert.</t>
        </is>
      </c>
      <c r="L1308" t="inlineStr">
        <is>
          <t>Chicago : Thomas More Press, [1972]</t>
        </is>
      </c>
      <c r="M1308" t="inlineStr">
        <is>
          <t>1972</t>
        </is>
      </c>
      <c r="O1308" t="inlineStr">
        <is>
          <t>eng</t>
        </is>
      </c>
      <c r="P1308" t="inlineStr">
        <is>
          <t>ilu</t>
        </is>
      </c>
      <c r="R1308" t="inlineStr">
        <is>
          <t xml:space="preserve">BT </t>
        </is>
      </c>
      <c r="S1308" t="n">
        <v>1</v>
      </c>
      <c r="T1308" t="n">
        <v>1</v>
      </c>
      <c r="U1308" t="inlineStr">
        <is>
          <t>2009-07-28</t>
        </is>
      </c>
      <c r="V1308" t="inlineStr">
        <is>
          <t>2009-07-28</t>
        </is>
      </c>
      <c r="W1308" t="inlineStr">
        <is>
          <t>2009-07-28</t>
        </is>
      </c>
      <c r="X1308" t="inlineStr">
        <is>
          <t>2009-07-28</t>
        </is>
      </c>
      <c r="Y1308" t="n">
        <v>132</v>
      </c>
      <c r="Z1308" t="n">
        <v>115</v>
      </c>
      <c r="AA1308" t="n">
        <v>115</v>
      </c>
      <c r="AB1308" t="n">
        <v>3</v>
      </c>
      <c r="AC1308" t="n">
        <v>3</v>
      </c>
      <c r="AD1308" t="n">
        <v>14</v>
      </c>
      <c r="AE1308" t="n">
        <v>14</v>
      </c>
      <c r="AF1308" t="n">
        <v>4</v>
      </c>
      <c r="AG1308" t="n">
        <v>4</v>
      </c>
      <c r="AH1308" t="n">
        <v>2</v>
      </c>
      <c r="AI1308" t="n">
        <v>2</v>
      </c>
      <c r="AJ1308" t="n">
        <v>10</v>
      </c>
      <c r="AK1308" t="n">
        <v>10</v>
      </c>
      <c r="AL1308" t="n">
        <v>1</v>
      </c>
      <c r="AM1308" t="n">
        <v>1</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HYPERLINK("https://creighton-primo.hosted.exlibrisgroup.com/primo-explore/search?tab=default_tab&amp;search_scope=EVERYTHING&amp;vid=01CRU&amp;lang=en_US&amp;offset=0&amp;query=any,contains,991005328409702656","Catalog Record")</f>
        <v/>
      </c>
      <c r="AT1308">
        <f>HYPERLINK("http://www.worldcat.org/oclc/323052","WorldCat Record")</f>
        <v/>
      </c>
      <c r="AU1308" t="inlineStr">
        <is>
          <t>1405978:eng</t>
        </is>
      </c>
      <c r="AV1308" t="inlineStr">
        <is>
          <t>323052</t>
        </is>
      </c>
      <c r="AW1308" t="inlineStr">
        <is>
          <t>991005328409702656</t>
        </is>
      </c>
      <c r="AX1308" t="inlineStr">
        <is>
          <t>991005328409702656</t>
        </is>
      </c>
      <c r="AY1308" t="inlineStr">
        <is>
          <t>2256865570002656</t>
        </is>
      </c>
      <c r="AZ1308" t="inlineStr">
        <is>
          <t>BOOK</t>
        </is>
      </c>
      <c r="BC1308" t="inlineStr">
        <is>
          <t>32285005539670</t>
        </is>
      </c>
      <c r="BD1308" t="inlineStr">
        <is>
          <t>893431240</t>
        </is>
      </c>
    </row>
    <row r="1309">
      <c r="A1309" t="inlineStr">
        <is>
          <t>No</t>
        </is>
      </c>
      <c r="B1309" t="inlineStr">
        <is>
          <t>BT825 .P38</t>
        </is>
      </c>
      <c r="C1309" t="inlineStr">
        <is>
          <t>0                      BT 0825000P  38</t>
        </is>
      </c>
      <c r="D1309" t="inlineStr">
        <is>
          <t>The shape of death : life, death and immortality in the early fathers / Jaroslav Pelikan.</t>
        </is>
      </c>
      <c r="F1309" t="inlineStr">
        <is>
          <t>No</t>
        </is>
      </c>
      <c r="G1309" t="inlineStr">
        <is>
          <t>1</t>
        </is>
      </c>
      <c r="H1309" t="inlineStr">
        <is>
          <t>No</t>
        </is>
      </c>
      <c r="I1309" t="inlineStr">
        <is>
          <t>No</t>
        </is>
      </c>
      <c r="J1309" t="inlineStr">
        <is>
          <t>0</t>
        </is>
      </c>
      <c r="K1309" t="inlineStr">
        <is>
          <t>Pelikan, Jaroslav, 1923-2006.</t>
        </is>
      </c>
      <c r="L1309" t="inlineStr">
        <is>
          <t>London : Macmillan, 1962 [c1961]</t>
        </is>
      </c>
      <c r="M1309" t="inlineStr">
        <is>
          <t>1962</t>
        </is>
      </c>
      <c r="O1309" t="inlineStr">
        <is>
          <t>eng</t>
        </is>
      </c>
      <c r="P1309" t="inlineStr">
        <is>
          <t xml:space="preserve">en </t>
        </is>
      </c>
      <c r="R1309" t="inlineStr">
        <is>
          <t xml:space="preserve">BT </t>
        </is>
      </c>
      <c r="S1309" t="n">
        <v>6</v>
      </c>
      <c r="T1309" t="n">
        <v>6</v>
      </c>
      <c r="U1309" t="inlineStr">
        <is>
          <t>2004-02-11</t>
        </is>
      </c>
      <c r="V1309" t="inlineStr">
        <is>
          <t>2004-02-11</t>
        </is>
      </c>
      <c r="W1309" t="inlineStr">
        <is>
          <t>1990-04-25</t>
        </is>
      </c>
      <c r="X1309" t="inlineStr">
        <is>
          <t>1990-04-25</t>
        </is>
      </c>
      <c r="Y1309" t="n">
        <v>133</v>
      </c>
      <c r="Z1309" t="n">
        <v>96</v>
      </c>
      <c r="AA1309" t="n">
        <v>708</v>
      </c>
      <c r="AB1309" t="n">
        <v>1</v>
      </c>
      <c r="AC1309" t="n">
        <v>8</v>
      </c>
      <c r="AD1309" t="n">
        <v>12</v>
      </c>
      <c r="AE1309" t="n">
        <v>43</v>
      </c>
      <c r="AF1309" t="n">
        <v>5</v>
      </c>
      <c r="AG1309" t="n">
        <v>18</v>
      </c>
      <c r="AH1309" t="n">
        <v>3</v>
      </c>
      <c r="AI1309" t="n">
        <v>8</v>
      </c>
      <c r="AJ1309" t="n">
        <v>6</v>
      </c>
      <c r="AK1309" t="n">
        <v>22</v>
      </c>
      <c r="AL1309" t="n">
        <v>0</v>
      </c>
      <c r="AM1309" t="n">
        <v>6</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HYPERLINK("https://creighton-primo.hosted.exlibrisgroup.com/primo-explore/search?tab=default_tab&amp;search_scope=EVERYTHING&amp;vid=01CRU&amp;lang=en_US&amp;offset=0&amp;query=any,contains,991004329949702656","Catalog Record")</f>
        <v/>
      </c>
      <c r="AT1309">
        <f>HYPERLINK("http://www.worldcat.org/oclc/3056358","WorldCat Record")</f>
        <v/>
      </c>
      <c r="AU1309" t="inlineStr">
        <is>
          <t>52314058:eng</t>
        </is>
      </c>
      <c r="AV1309" t="inlineStr">
        <is>
          <t>3056358</t>
        </is>
      </c>
      <c r="AW1309" t="inlineStr">
        <is>
          <t>991004329949702656</t>
        </is>
      </c>
      <c r="AX1309" t="inlineStr">
        <is>
          <t>991004329949702656</t>
        </is>
      </c>
      <c r="AY1309" t="inlineStr">
        <is>
          <t>2265313440002656</t>
        </is>
      </c>
      <c r="AZ1309" t="inlineStr">
        <is>
          <t>BOOK</t>
        </is>
      </c>
      <c r="BC1309" t="inlineStr">
        <is>
          <t>32285000132653</t>
        </is>
      </c>
      <c r="BD1309" t="inlineStr">
        <is>
          <t>893794733</t>
        </is>
      </c>
    </row>
    <row r="1310">
      <c r="A1310" t="inlineStr">
        <is>
          <t>No</t>
        </is>
      </c>
      <c r="B1310" t="inlineStr">
        <is>
          <t>BT825 .T713 1963</t>
        </is>
      </c>
      <c r="C1310" t="inlineStr">
        <is>
          <t>0                      BT 0825000T  713         1963</t>
        </is>
      </c>
      <c r="D1310" t="inlineStr">
        <is>
          <t>I do not die / Roger Troisfontaines. Translated by Francis E. Albert.</t>
        </is>
      </c>
      <c r="F1310" t="inlineStr">
        <is>
          <t>No</t>
        </is>
      </c>
      <c r="G1310" t="inlineStr">
        <is>
          <t>1</t>
        </is>
      </c>
      <c r="H1310" t="inlineStr">
        <is>
          <t>No</t>
        </is>
      </c>
      <c r="I1310" t="inlineStr">
        <is>
          <t>No</t>
        </is>
      </c>
      <c r="J1310" t="inlineStr">
        <is>
          <t>0</t>
        </is>
      </c>
      <c r="K1310" t="inlineStr">
        <is>
          <t>Troisfontaines, Roger.</t>
        </is>
      </c>
      <c r="L1310" t="inlineStr">
        <is>
          <t>New York : Desclee Co., 1963.</t>
        </is>
      </c>
      <c r="M1310" t="inlineStr">
        <is>
          <t>1963</t>
        </is>
      </c>
      <c r="O1310" t="inlineStr">
        <is>
          <t>eng</t>
        </is>
      </c>
      <c r="P1310" t="inlineStr">
        <is>
          <t>___</t>
        </is>
      </c>
      <c r="R1310" t="inlineStr">
        <is>
          <t xml:space="preserve">BT </t>
        </is>
      </c>
      <c r="S1310" t="n">
        <v>2</v>
      </c>
      <c r="T1310" t="n">
        <v>2</v>
      </c>
      <c r="U1310" t="inlineStr">
        <is>
          <t>1992-06-21</t>
        </is>
      </c>
      <c r="V1310" t="inlineStr">
        <is>
          <t>1992-06-21</t>
        </is>
      </c>
      <c r="W1310" t="inlineStr">
        <is>
          <t>1991-10-22</t>
        </is>
      </c>
      <c r="X1310" t="inlineStr">
        <is>
          <t>1991-10-22</t>
        </is>
      </c>
      <c r="Y1310" t="n">
        <v>237</v>
      </c>
      <c r="Z1310" t="n">
        <v>208</v>
      </c>
      <c r="AA1310" t="n">
        <v>208</v>
      </c>
      <c r="AB1310" t="n">
        <v>3</v>
      </c>
      <c r="AC1310" t="n">
        <v>3</v>
      </c>
      <c r="AD1310" t="n">
        <v>31</v>
      </c>
      <c r="AE1310" t="n">
        <v>31</v>
      </c>
      <c r="AF1310" t="n">
        <v>11</v>
      </c>
      <c r="AG1310" t="n">
        <v>11</v>
      </c>
      <c r="AH1310" t="n">
        <v>7</v>
      </c>
      <c r="AI1310" t="n">
        <v>7</v>
      </c>
      <c r="AJ1310" t="n">
        <v>25</v>
      </c>
      <c r="AK1310" t="n">
        <v>25</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HYPERLINK("https://creighton-primo.hosted.exlibrisgroup.com/primo-explore/search?tab=default_tab&amp;search_scope=EVERYTHING&amp;vid=01CRU&amp;lang=en_US&amp;offset=0&amp;query=any,contains,991002852949702656","Catalog Record")</f>
        <v/>
      </c>
      <c r="AT1310">
        <f>HYPERLINK("http://www.worldcat.org/oclc/488064","WorldCat Record")</f>
        <v/>
      </c>
      <c r="AU1310" t="inlineStr">
        <is>
          <t>1574716:eng</t>
        </is>
      </c>
      <c r="AV1310" t="inlineStr">
        <is>
          <t>488064</t>
        </is>
      </c>
      <c r="AW1310" t="inlineStr">
        <is>
          <t>991002852949702656</t>
        </is>
      </c>
      <c r="AX1310" t="inlineStr">
        <is>
          <t>991002852949702656</t>
        </is>
      </c>
      <c r="AY1310" t="inlineStr">
        <is>
          <t>2254980100002656</t>
        </is>
      </c>
      <c r="AZ1310" t="inlineStr">
        <is>
          <t>BOOK</t>
        </is>
      </c>
      <c r="BC1310" t="inlineStr">
        <is>
          <t>32285000807270</t>
        </is>
      </c>
      <c r="BD1310" t="inlineStr">
        <is>
          <t>893622825</t>
        </is>
      </c>
    </row>
    <row r="1311">
      <c r="A1311" t="inlineStr">
        <is>
          <t>No</t>
        </is>
      </c>
      <c r="B1311" t="inlineStr">
        <is>
          <t>BT825 .V65 1931</t>
        </is>
      </c>
      <c r="C1311" t="inlineStr">
        <is>
          <t>0                      BT 0825000V  65          1931</t>
        </is>
      </c>
      <c r="D1311" t="inlineStr">
        <is>
          <t>Death and judgement / by Anscar Vonier. Introduction by Edwin V. O'Hara.</t>
        </is>
      </c>
      <c r="F1311" t="inlineStr">
        <is>
          <t>No</t>
        </is>
      </c>
      <c r="G1311" t="inlineStr">
        <is>
          <t>1</t>
        </is>
      </c>
      <c r="H1311" t="inlineStr">
        <is>
          <t>No</t>
        </is>
      </c>
      <c r="I1311" t="inlineStr">
        <is>
          <t>No</t>
        </is>
      </c>
      <c r="J1311" t="inlineStr">
        <is>
          <t>0</t>
        </is>
      </c>
      <c r="K1311" t="inlineStr">
        <is>
          <t>Vonier, Anscar, 1875-1938.</t>
        </is>
      </c>
      <c r="L1311" t="inlineStr">
        <is>
          <t>N. Y. : Macmillan, 1931.</t>
        </is>
      </c>
      <c r="M1311" t="inlineStr">
        <is>
          <t>1931</t>
        </is>
      </c>
      <c r="O1311" t="inlineStr">
        <is>
          <t>eng</t>
        </is>
      </c>
      <c r="P1311" t="inlineStr">
        <is>
          <t xml:space="preserve">xx </t>
        </is>
      </c>
      <c r="Q1311" t="inlineStr">
        <is>
          <t>The Treasury of the Faith series: 31.</t>
        </is>
      </c>
      <c r="R1311" t="inlineStr">
        <is>
          <t xml:space="preserve">BT </t>
        </is>
      </c>
      <c r="S1311" t="n">
        <v>4</v>
      </c>
      <c r="T1311" t="n">
        <v>4</v>
      </c>
      <c r="U1311" t="inlineStr">
        <is>
          <t>2001-10-03</t>
        </is>
      </c>
      <c r="V1311" t="inlineStr">
        <is>
          <t>2001-10-03</t>
        </is>
      </c>
      <c r="W1311" t="inlineStr">
        <is>
          <t>1991-10-22</t>
        </is>
      </c>
      <c r="X1311" t="inlineStr">
        <is>
          <t>1991-10-22</t>
        </is>
      </c>
      <c r="Y1311" t="n">
        <v>38</v>
      </c>
      <c r="Z1311" t="n">
        <v>38</v>
      </c>
      <c r="AA1311" t="n">
        <v>59</v>
      </c>
      <c r="AB1311" t="n">
        <v>1</v>
      </c>
      <c r="AC1311" t="n">
        <v>2</v>
      </c>
      <c r="AD1311" t="n">
        <v>11</v>
      </c>
      <c r="AE1311" t="n">
        <v>12</v>
      </c>
      <c r="AF1311" t="n">
        <v>2</v>
      </c>
      <c r="AG1311" t="n">
        <v>2</v>
      </c>
      <c r="AH1311" t="n">
        <v>2</v>
      </c>
      <c r="AI1311" t="n">
        <v>3</v>
      </c>
      <c r="AJ1311" t="n">
        <v>10</v>
      </c>
      <c r="AK1311" t="n">
        <v>10</v>
      </c>
      <c r="AL1311" t="n">
        <v>0</v>
      </c>
      <c r="AM1311" t="n">
        <v>0</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HYPERLINK("https://creighton-primo.hosted.exlibrisgroup.com/primo-explore/search?tab=default_tab&amp;search_scope=EVERYTHING&amp;vid=01CRU&amp;lang=en_US&amp;offset=0&amp;query=any,contains,991004622779702656","Catalog Record")</f>
        <v/>
      </c>
      <c r="AT1311">
        <f>HYPERLINK("http://www.worldcat.org/oclc/4310594","WorldCat Record")</f>
        <v/>
      </c>
      <c r="AU1311" t="inlineStr">
        <is>
          <t>15104613:eng</t>
        </is>
      </c>
      <c r="AV1311" t="inlineStr">
        <is>
          <t>4310594</t>
        </is>
      </c>
      <c r="AW1311" t="inlineStr">
        <is>
          <t>991004622779702656</t>
        </is>
      </c>
      <c r="AX1311" t="inlineStr">
        <is>
          <t>991004622779702656</t>
        </is>
      </c>
      <c r="AY1311" t="inlineStr">
        <is>
          <t>2267893790002656</t>
        </is>
      </c>
      <c r="AZ1311" t="inlineStr">
        <is>
          <t>BOOK</t>
        </is>
      </c>
      <c r="BC1311" t="inlineStr">
        <is>
          <t>32285000807288</t>
        </is>
      </c>
      <c r="BD1311" t="inlineStr">
        <is>
          <t>893325573</t>
        </is>
      </c>
    </row>
    <row r="1312">
      <c r="A1312" t="inlineStr">
        <is>
          <t>No</t>
        </is>
      </c>
      <c r="B1312" t="inlineStr">
        <is>
          <t>BT83 .R63</t>
        </is>
      </c>
      <c r="C1312" t="inlineStr">
        <is>
          <t>0                      BT 0083000R  63</t>
        </is>
      </c>
      <c r="D1312" t="inlineStr">
        <is>
          <t>The beginnings of dialectic theology / edited by James M. Robinson.</t>
        </is>
      </c>
      <c r="F1312" t="inlineStr">
        <is>
          <t>No</t>
        </is>
      </c>
      <c r="G1312" t="inlineStr">
        <is>
          <t>1</t>
        </is>
      </c>
      <c r="H1312" t="inlineStr">
        <is>
          <t>No</t>
        </is>
      </c>
      <c r="I1312" t="inlineStr">
        <is>
          <t>No</t>
        </is>
      </c>
      <c r="J1312" t="inlineStr">
        <is>
          <t>0</t>
        </is>
      </c>
      <c r="K1312" t="inlineStr">
        <is>
          <t>Robinson, James M. (James McConkey), 1924-2016.</t>
        </is>
      </c>
      <c r="L1312" t="inlineStr">
        <is>
          <t>Richmond, John Knox Press [1968-</t>
        </is>
      </c>
      <c r="M1312" t="inlineStr">
        <is>
          <t>1968</t>
        </is>
      </c>
      <c r="O1312" t="inlineStr">
        <is>
          <t>eng</t>
        </is>
      </c>
      <c r="P1312" t="inlineStr">
        <is>
          <t>vau</t>
        </is>
      </c>
      <c r="R1312" t="inlineStr">
        <is>
          <t xml:space="preserve">BT </t>
        </is>
      </c>
      <c r="S1312" t="n">
        <v>1</v>
      </c>
      <c r="T1312" t="n">
        <v>1</v>
      </c>
      <c r="U1312" t="inlineStr">
        <is>
          <t>2008-04-12</t>
        </is>
      </c>
      <c r="V1312" t="inlineStr">
        <is>
          <t>2008-04-12</t>
        </is>
      </c>
      <c r="W1312" t="inlineStr">
        <is>
          <t>1991-06-24</t>
        </is>
      </c>
      <c r="X1312" t="inlineStr">
        <is>
          <t>1991-06-24</t>
        </is>
      </c>
      <c r="Y1312" t="n">
        <v>491</v>
      </c>
      <c r="Z1312" t="n">
        <v>441</v>
      </c>
      <c r="AA1312" t="n">
        <v>446</v>
      </c>
      <c r="AB1312" t="n">
        <v>6</v>
      </c>
      <c r="AC1312" t="n">
        <v>6</v>
      </c>
      <c r="AD1312" t="n">
        <v>36</v>
      </c>
      <c r="AE1312" t="n">
        <v>36</v>
      </c>
      <c r="AF1312" t="n">
        <v>13</v>
      </c>
      <c r="AG1312" t="n">
        <v>13</v>
      </c>
      <c r="AH1312" t="n">
        <v>7</v>
      </c>
      <c r="AI1312" t="n">
        <v>7</v>
      </c>
      <c r="AJ1312" t="n">
        <v>22</v>
      </c>
      <c r="AK1312" t="n">
        <v>22</v>
      </c>
      <c r="AL1312" t="n">
        <v>5</v>
      </c>
      <c r="AM1312" t="n">
        <v>5</v>
      </c>
      <c r="AN1312" t="n">
        <v>0</v>
      </c>
      <c r="AO1312" t="n">
        <v>0</v>
      </c>
      <c r="AP1312" t="inlineStr">
        <is>
          <t>No</t>
        </is>
      </c>
      <c r="AQ1312" t="inlineStr">
        <is>
          <t>Yes</t>
        </is>
      </c>
      <c r="AR1312">
        <f>HYPERLINK("http://catalog.hathitrust.org/Record/001411756","HathiTrust Record")</f>
        <v/>
      </c>
      <c r="AS1312">
        <f>HYPERLINK("https://creighton-primo.hosted.exlibrisgroup.com/primo-explore/search?tab=default_tab&amp;search_scope=EVERYTHING&amp;vid=01CRU&amp;lang=en_US&amp;offset=0&amp;query=any,contains,991003183669702656","Catalog Record")</f>
        <v/>
      </c>
      <c r="AT1312">
        <f>HYPERLINK("http://www.worldcat.org/oclc/712311","WorldCat Record")</f>
        <v/>
      </c>
      <c r="AU1312" t="inlineStr">
        <is>
          <t>194499813:eng</t>
        </is>
      </c>
      <c r="AV1312" t="inlineStr">
        <is>
          <t>712311</t>
        </is>
      </c>
      <c r="AW1312" t="inlineStr">
        <is>
          <t>991003183669702656</t>
        </is>
      </c>
      <c r="AX1312" t="inlineStr">
        <is>
          <t>991003183669702656</t>
        </is>
      </c>
      <c r="AY1312" t="inlineStr">
        <is>
          <t>2256482390002656</t>
        </is>
      </c>
      <c r="AZ1312" t="inlineStr">
        <is>
          <t>BOOK</t>
        </is>
      </c>
      <c r="BC1312" t="inlineStr">
        <is>
          <t>32285000689041</t>
        </is>
      </c>
      <c r="BD1312" t="inlineStr">
        <is>
          <t>893893457</t>
        </is>
      </c>
    </row>
    <row r="1313">
      <c r="A1313" t="inlineStr">
        <is>
          <t>No</t>
        </is>
      </c>
      <c r="B1313" t="inlineStr">
        <is>
          <t>BT83.5 .M8</t>
        </is>
      </c>
      <c r="C1313" t="inlineStr">
        <is>
          <t>0                      BT 0083500M  8</t>
        </is>
      </c>
      <c r="D1313" t="inlineStr">
        <is>
          <t>The meaning of the death of God : Protestant, Jewish and Catholic scholars explore atheistic theology / edited and with an introd. by Bernard Murchland.</t>
        </is>
      </c>
      <c r="F1313" t="inlineStr">
        <is>
          <t>No</t>
        </is>
      </c>
      <c r="G1313" t="inlineStr">
        <is>
          <t>1</t>
        </is>
      </c>
      <c r="H1313" t="inlineStr">
        <is>
          <t>No</t>
        </is>
      </c>
      <c r="I1313" t="inlineStr">
        <is>
          <t>No</t>
        </is>
      </c>
      <c r="J1313" t="inlineStr">
        <is>
          <t>0</t>
        </is>
      </c>
      <c r="K1313" t="inlineStr">
        <is>
          <t>Murchland, Bernard, compiler.</t>
        </is>
      </c>
      <c r="L1313" t="inlineStr">
        <is>
          <t>New York, Random House [1967]</t>
        </is>
      </c>
      <c r="M1313" t="inlineStr">
        <is>
          <t>1967</t>
        </is>
      </c>
      <c r="O1313" t="inlineStr">
        <is>
          <t>eng</t>
        </is>
      </c>
      <c r="P1313" t="inlineStr">
        <is>
          <t>nyu</t>
        </is>
      </c>
      <c r="R1313" t="inlineStr">
        <is>
          <t xml:space="preserve">BT </t>
        </is>
      </c>
      <c r="S1313" t="n">
        <v>3</v>
      </c>
      <c r="T1313" t="n">
        <v>3</v>
      </c>
      <c r="U1313" t="inlineStr">
        <is>
          <t>1997-01-28</t>
        </is>
      </c>
      <c r="V1313" t="inlineStr">
        <is>
          <t>1997-01-28</t>
        </is>
      </c>
      <c r="W1313" t="inlineStr">
        <is>
          <t>1991-06-25</t>
        </is>
      </c>
      <c r="X1313" t="inlineStr">
        <is>
          <t>1991-06-25</t>
        </is>
      </c>
      <c r="Y1313" t="n">
        <v>1066</v>
      </c>
      <c r="Z1313" t="n">
        <v>973</v>
      </c>
      <c r="AA1313" t="n">
        <v>1047</v>
      </c>
      <c r="AB1313" t="n">
        <v>9</v>
      </c>
      <c r="AC1313" t="n">
        <v>9</v>
      </c>
      <c r="AD1313" t="n">
        <v>45</v>
      </c>
      <c r="AE1313" t="n">
        <v>47</v>
      </c>
      <c r="AF1313" t="n">
        <v>15</v>
      </c>
      <c r="AG1313" t="n">
        <v>16</v>
      </c>
      <c r="AH1313" t="n">
        <v>9</v>
      </c>
      <c r="AI1313" t="n">
        <v>9</v>
      </c>
      <c r="AJ1313" t="n">
        <v>24</v>
      </c>
      <c r="AK1313" t="n">
        <v>25</v>
      </c>
      <c r="AL1313" t="n">
        <v>8</v>
      </c>
      <c r="AM1313" t="n">
        <v>8</v>
      </c>
      <c r="AN1313" t="n">
        <v>0</v>
      </c>
      <c r="AO1313" t="n">
        <v>0</v>
      </c>
      <c r="AP1313" t="inlineStr">
        <is>
          <t>No</t>
        </is>
      </c>
      <c r="AQ1313" t="inlineStr">
        <is>
          <t>Yes</t>
        </is>
      </c>
      <c r="AR1313">
        <f>HYPERLINK("http://catalog.hathitrust.org/Record/001411763","HathiTrust Record")</f>
        <v/>
      </c>
      <c r="AS1313">
        <f>HYPERLINK("https://creighton-primo.hosted.exlibrisgroup.com/primo-explore/search?tab=default_tab&amp;search_scope=EVERYTHING&amp;vid=01CRU&amp;lang=en_US&amp;offset=0&amp;query=any,contains,991002187289702656","Catalog Record")</f>
        <v/>
      </c>
      <c r="AT1313">
        <f>HYPERLINK("http://www.worldcat.org/oclc/280289","WorldCat Record")</f>
        <v/>
      </c>
      <c r="AU1313" t="inlineStr">
        <is>
          <t>1425881:eng</t>
        </is>
      </c>
      <c r="AV1313" t="inlineStr">
        <is>
          <t>280289</t>
        </is>
      </c>
      <c r="AW1313" t="inlineStr">
        <is>
          <t>991002187289702656</t>
        </is>
      </c>
      <c r="AX1313" t="inlineStr">
        <is>
          <t>991002187289702656</t>
        </is>
      </c>
      <c r="AY1313" t="inlineStr">
        <is>
          <t>2265212150002656</t>
        </is>
      </c>
      <c r="AZ1313" t="inlineStr">
        <is>
          <t>BOOK</t>
        </is>
      </c>
      <c r="BC1313" t="inlineStr">
        <is>
          <t>32285000689223</t>
        </is>
      </c>
      <c r="BD1313" t="inlineStr">
        <is>
          <t>893250916</t>
        </is>
      </c>
    </row>
    <row r="1314">
      <c r="A1314" t="inlineStr">
        <is>
          <t>No</t>
        </is>
      </c>
      <c r="B1314" t="inlineStr">
        <is>
          <t>BT83.55 .C365 1995</t>
        </is>
      </c>
      <c r="C1314" t="inlineStr">
        <is>
          <t>0                      BT 0083550C  365         1995</t>
        </is>
      </c>
      <c r="D1314" t="inlineStr">
        <is>
          <t>Christian feminist theology : a constructive interpretation / Denise L. Carmody.</t>
        </is>
      </c>
      <c r="F1314" t="inlineStr">
        <is>
          <t>No</t>
        </is>
      </c>
      <c r="G1314" t="inlineStr">
        <is>
          <t>1</t>
        </is>
      </c>
      <c r="H1314" t="inlineStr">
        <is>
          <t>No</t>
        </is>
      </c>
      <c r="I1314" t="inlineStr">
        <is>
          <t>No</t>
        </is>
      </c>
      <c r="J1314" t="inlineStr">
        <is>
          <t>0</t>
        </is>
      </c>
      <c r="K1314" t="inlineStr">
        <is>
          <t>Carmody, Denise Lardner, 1935-</t>
        </is>
      </c>
      <c r="L1314" t="inlineStr">
        <is>
          <t>Cambridge, MA : Blackwell Publishers, 1995.</t>
        </is>
      </c>
      <c r="M1314" t="inlineStr">
        <is>
          <t>1995</t>
        </is>
      </c>
      <c r="O1314" t="inlineStr">
        <is>
          <t>eng</t>
        </is>
      </c>
      <c r="P1314" t="inlineStr">
        <is>
          <t>mau</t>
        </is>
      </c>
      <c r="R1314" t="inlineStr">
        <is>
          <t xml:space="preserve">BT </t>
        </is>
      </c>
      <c r="S1314" t="n">
        <v>9</v>
      </c>
      <c r="T1314" t="n">
        <v>9</v>
      </c>
      <c r="U1314" t="inlineStr">
        <is>
          <t>2009-12-03</t>
        </is>
      </c>
      <c r="V1314" t="inlineStr">
        <is>
          <t>2009-12-03</t>
        </is>
      </c>
      <c r="W1314" t="inlineStr">
        <is>
          <t>1996-08-26</t>
        </is>
      </c>
      <c r="X1314" t="inlineStr">
        <is>
          <t>1996-08-26</t>
        </is>
      </c>
      <c r="Y1314" t="n">
        <v>423</v>
      </c>
      <c r="Z1314" t="n">
        <v>291</v>
      </c>
      <c r="AA1314" t="n">
        <v>296</v>
      </c>
      <c r="AB1314" t="n">
        <v>3</v>
      </c>
      <c r="AC1314" t="n">
        <v>3</v>
      </c>
      <c r="AD1314" t="n">
        <v>21</v>
      </c>
      <c r="AE1314" t="n">
        <v>21</v>
      </c>
      <c r="AF1314" t="n">
        <v>9</v>
      </c>
      <c r="AG1314" t="n">
        <v>9</v>
      </c>
      <c r="AH1314" t="n">
        <v>3</v>
      </c>
      <c r="AI1314" t="n">
        <v>3</v>
      </c>
      <c r="AJ1314" t="n">
        <v>13</v>
      </c>
      <c r="AK1314" t="n">
        <v>13</v>
      </c>
      <c r="AL1314" t="n">
        <v>2</v>
      </c>
      <c r="AM1314" t="n">
        <v>2</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HYPERLINK("https://creighton-primo.hosted.exlibrisgroup.com/primo-explore/search?tab=default_tab&amp;search_scope=EVERYTHING&amp;vid=01CRU&amp;lang=en_US&amp;offset=0&amp;query=any,contains,991002484599702656","Catalog Record")</f>
        <v/>
      </c>
      <c r="AT1314">
        <f>HYPERLINK("http://www.worldcat.org/oclc/32347188","WorldCat Record")</f>
        <v/>
      </c>
      <c r="AU1314" t="inlineStr">
        <is>
          <t>836904997:eng</t>
        </is>
      </c>
      <c r="AV1314" t="inlineStr">
        <is>
          <t>32347188</t>
        </is>
      </c>
      <c r="AW1314" t="inlineStr">
        <is>
          <t>991002484599702656</t>
        </is>
      </c>
      <c r="AX1314" t="inlineStr">
        <is>
          <t>991002484599702656</t>
        </is>
      </c>
      <c r="AY1314" t="inlineStr">
        <is>
          <t>2261163840002656</t>
        </is>
      </c>
      <c r="AZ1314" t="inlineStr">
        <is>
          <t>BOOK</t>
        </is>
      </c>
      <c r="BB1314" t="inlineStr">
        <is>
          <t>9781557865861</t>
        </is>
      </c>
      <c r="BC1314" t="inlineStr">
        <is>
          <t>32285002292158</t>
        </is>
      </c>
      <c r="BD1314" t="inlineStr">
        <is>
          <t>893786210</t>
        </is>
      </c>
    </row>
    <row r="1315">
      <c r="A1315" t="inlineStr">
        <is>
          <t>No</t>
        </is>
      </c>
      <c r="B1315" t="inlineStr">
        <is>
          <t>BT83.55 .C485 1990</t>
        </is>
      </c>
      <c r="C1315" t="inlineStr">
        <is>
          <t>0                      BT 0083550C  485         1990</t>
        </is>
      </c>
      <c r="D1315" t="inlineStr">
        <is>
          <t>Struggle to be the sun again : introducing Asian women's theology / Chung Hyun Kyung.</t>
        </is>
      </c>
      <c r="F1315" t="inlineStr">
        <is>
          <t>No</t>
        </is>
      </c>
      <c r="G1315" t="inlineStr">
        <is>
          <t>1</t>
        </is>
      </c>
      <c r="H1315" t="inlineStr">
        <is>
          <t>No</t>
        </is>
      </c>
      <c r="I1315" t="inlineStr">
        <is>
          <t>No</t>
        </is>
      </c>
      <c r="J1315" t="inlineStr">
        <is>
          <t>0</t>
        </is>
      </c>
      <c r="K1315" t="inlineStr">
        <is>
          <t>Chung, Hyun Kyung.</t>
        </is>
      </c>
      <c r="L1315" t="inlineStr">
        <is>
          <t>Maryknoll, N.Y. : Orbis Books, c1990.</t>
        </is>
      </c>
      <c r="M1315" t="inlineStr">
        <is>
          <t>1990</t>
        </is>
      </c>
      <c r="O1315" t="inlineStr">
        <is>
          <t>eng</t>
        </is>
      </c>
      <c r="P1315" t="inlineStr">
        <is>
          <t>nyu</t>
        </is>
      </c>
      <c r="R1315" t="inlineStr">
        <is>
          <t xml:space="preserve">BT </t>
        </is>
      </c>
      <c r="S1315" t="n">
        <v>0</v>
      </c>
      <c r="T1315" t="n">
        <v>0</v>
      </c>
      <c r="U1315" t="inlineStr">
        <is>
          <t>2005-08-25</t>
        </is>
      </c>
      <c r="V1315" t="inlineStr">
        <is>
          <t>2005-08-25</t>
        </is>
      </c>
      <c r="W1315" t="inlineStr">
        <is>
          <t>1992-08-25</t>
        </is>
      </c>
      <c r="X1315" t="inlineStr">
        <is>
          <t>1992-08-25</t>
        </is>
      </c>
      <c r="Y1315" t="n">
        <v>431</v>
      </c>
      <c r="Z1315" t="n">
        <v>348</v>
      </c>
      <c r="AA1315" t="n">
        <v>370</v>
      </c>
      <c r="AB1315" t="n">
        <v>3</v>
      </c>
      <c r="AC1315" t="n">
        <v>3</v>
      </c>
      <c r="AD1315" t="n">
        <v>26</v>
      </c>
      <c r="AE1315" t="n">
        <v>26</v>
      </c>
      <c r="AF1315" t="n">
        <v>9</v>
      </c>
      <c r="AG1315" t="n">
        <v>9</v>
      </c>
      <c r="AH1315" t="n">
        <v>5</v>
      </c>
      <c r="AI1315" t="n">
        <v>5</v>
      </c>
      <c r="AJ1315" t="n">
        <v>17</v>
      </c>
      <c r="AK1315" t="n">
        <v>17</v>
      </c>
      <c r="AL1315" t="n">
        <v>2</v>
      </c>
      <c r="AM1315" t="n">
        <v>2</v>
      </c>
      <c r="AN1315" t="n">
        <v>0</v>
      </c>
      <c r="AO1315" t="n">
        <v>0</v>
      </c>
      <c r="AP1315" t="inlineStr">
        <is>
          <t>No</t>
        </is>
      </c>
      <c r="AQ1315" t="inlineStr">
        <is>
          <t>Yes</t>
        </is>
      </c>
      <c r="AR1315">
        <f>HYPERLINK("http://catalog.hathitrust.org/Record/002424333","HathiTrust Record")</f>
        <v/>
      </c>
      <c r="AS1315">
        <f>HYPERLINK("https://creighton-primo.hosted.exlibrisgroup.com/primo-explore/search?tab=default_tab&amp;search_scope=EVERYTHING&amp;vid=01CRU&amp;lang=en_US&amp;offset=0&amp;query=any,contains,991001750629702656","Catalog Record")</f>
        <v/>
      </c>
      <c r="AT1315">
        <f>HYPERLINK("http://www.worldcat.org/oclc/22180445","WorldCat Record")</f>
        <v/>
      </c>
      <c r="AU1315" t="inlineStr">
        <is>
          <t>792493679:eng</t>
        </is>
      </c>
      <c r="AV1315" t="inlineStr">
        <is>
          <t>22180445</t>
        </is>
      </c>
      <c r="AW1315" t="inlineStr">
        <is>
          <t>991001750629702656</t>
        </is>
      </c>
      <c r="AX1315" t="inlineStr">
        <is>
          <t>991001750629702656</t>
        </is>
      </c>
      <c r="AY1315" t="inlineStr">
        <is>
          <t>2270318440002656</t>
        </is>
      </c>
      <c r="AZ1315" t="inlineStr">
        <is>
          <t>BOOK</t>
        </is>
      </c>
      <c r="BB1315" t="inlineStr">
        <is>
          <t>9780883446843</t>
        </is>
      </c>
      <c r="BC1315" t="inlineStr">
        <is>
          <t>32285001198158</t>
        </is>
      </c>
      <c r="BD1315" t="inlineStr">
        <is>
          <t>893772881</t>
        </is>
      </c>
    </row>
    <row r="1316">
      <c r="A1316" t="inlineStr">
        <is>
          <t>No</t>
        </is>
      </c>
      <c r="B1316" t="inlineStr">
        <is>
          <t>BT83.55 .H48 1989</t>
        </is>
      </c>
      <c r="C1316" t="inlineStr">
        <is>
          <t>0                      BT 0083550H  48          1989</t>
        </is>
      </c>
      <c r="D1316" t="inlineStr">
        <is>
          <t>Speaking of Christ : a lesbian feminist voice / Carter Heyward ; edited by Ellen C. Davis.</t>
        </is>
      </c>
      <c r="F1316" t="inlineStr">
        <is>
          <t>No</t>
        </is>
      </c>
      <c r="G1316" t="inlineStr">
        <is>
          <t>1</t>
        </is>
      </c>
      <c r="H1316" t="inlineStr">
        <is>
          <t>No</t>
        </is>
      </c>
      <c r="I1316" t="inlineStr">
        <is>
          <t>No</t>
        </is>
      </c>
      <c r="J1316" t="inlineStr">
        <is>
          <t>0</t>
        </is>
      </c>
      <c r="K1316" t="inlineStr">
        <is>
          <t>Heyward, Carter.</t>
        </is>
      </c>
      <c r="L1316" t="inlineStr">
        <is>
          <t>New York, N.Y. : Pilgrim Press, c1989.</t>
        </is>
      </c>
      <c r="M1316" t="inlineStr">
        <is>
          <t>1989</t>
        </is>
      </c>
      <c r="O1316" t="inlineStr">
        <is>
          <t>eng</t>
        </is>
      </c>
      <c r="P1316" t="inlineStr">
        <is>
          <t>nyu</t>
        </is>
      </c>
      <c r="R1316" t="inlineStr">
        <is>
          <t xml:space="preserve">BT </t>
        </is>
      </c>
      <c r="S1316" t="n">
        <v>3</v>
      </c>
      <c r="T1316" t="n">
        <v>3</v>
      </c>
      <c r="U1316" t="inlineStr">
        <is>
          <t>2004-04-26</t>
        </is>
      </c>
      <c r="V1316" t="inlineStr">
        <is>
          <t>2004-04-26</t>
        </is>
      </c>
      <c r="W1316" t="inlineStr">
        <is>
          <t>2000-11-06</t>
        </is>
      </c>
      <c r="X1316" t="inlineStr">
        <is>
          <t>2000-11-06</t>
        </is>
      </c>
      <c r="Y1316" t="n">
        <v>310</v>
      </c>
      <c r="Z1316" t="n">
        <v>257</v>
      </c>
      <c r="AA1316" t="n">
        <v>264</v>
      </c>
      <c r="AB1316" t="n">
        <v>3</v>
      </c>
      <c r="AC1316" t="n">
        <v>3</v>
      </c>
      <c r="AD1316" t="n">
        <v>20</v>
      </c>
      <c r="AE1316" t="n">
        <v>20</v>
      </c>
      <c r="AF1316" t="n">
        <v>9</v>
      </c>
      <c r="AG1316" t="n">
        <v>9</v>
      </c>
      <c r="AH1316" t="n">
        <v>3</v>
      </c>
      <c r="AI1316" t="n">
        <v>3</v>
      </c>
      <c r="AJ1316" t="n">
        <v>12</v>
      </c>
      <c r="AK1316" t="n">
        <v>12</v>
      </c>
      <c r="AL1316" t="n">
        <v>2</v>
      </c>
      <c r="AM1316" t="n">
        <v>2</v>
      </c>
      <c r="AN1316" t="n">
        <v>0</v>
      </c>
      <c r="AO1316" t="n">
        <v>0</v>
      </c>
      <c r="AP1316" t="inlineStr">
        <is>
          <t>No</t>
        </is>
      </c>
      <c r="AQ1316" t="inlineStr">
        <is>
          <t>Yes</t>
        </is>
      </c>
      <c r="AR1316">
        <f>HYPERLINK("http://catalog.hathitrust.org/Record/001835058","HathiTrust Record")</f>
        <v/>
      </c>
      <c r="AS1316">
        <f>HYPERLINK("https://creighton-primo.hosted.exlibrisgroup.com/primo-explore/search?tab=default_tab&amp;search_scope=EVERYTHING&amp;vid=01CRU&amp;lang=en_US&amp;offset=0&amp;query=any,contains,991003219279702656","Catalog Record")</f>
        <v/>
      </c>
      <c r="AT1316">
        <f>HYPERLINK("http://www.worldcat.org/oclc/19921960","WorldCat Record")</f>
        <v/>
      </c>
      <c r="AU1316" t="inlineStr">
        <is>
          <t>373992991:eng</t>
        </is>
      </c>
      <c r="AV1316" t="inlineStr">
        <is>
          <t>19921960</t>
        </is>
      </c>
      <c r="AW1316" t="inlineStr">
        <is>
          <t>991003219279702656</t>
        </is>
      </c>
      <c r="AX1316" t="inlineStr">
        <is>
          <t>991003219279702656</t>
        </is>
      </c>
      <c r="AY1316" t="inlineStr">
        <is>
          <t>2269451390002656</t>
        </is>
      </c>
      <c r="AZ1316" t="inlineStr">
        <is>
          <t>BOOK</t>
        </is>
      </c>
      <c r="BB1316" t="inlineStr">
        <is>
          <t>9780829808292</t>
        </is>
      </c>
      <c r="BC1316" t="inlineStr">
        <is>
          <t>32285004263363</t>
        </is>
      </c>
      <c r="BD1316" t="inlineStr">
        <is>
          <t>893780734</t>
        </is>
      </c>
    </row>
    <row r="1317">
      <c r="A1317" t="inlineStr">
        <is>
          <t>No</t>
        </is>
      </c>
      <c r="B1317" t="inlineStr">
        <is>
          <t>BT83.55 .S26 1994</t>
        </is>
      </c>
      <c r="C1317" t="inlineStr">
        <is>
          <t>0                      BT 0083550S  26          1994</t>
        </is>
      </c>
      <c r="D1317" t="inlineStr">
        <is>
          <t>Escape from paradise : evil and tragedy in feminist theology / Kathleen M. Sands.</t>
        </is>
      </c>
      <c r="F1317" t="inlineStr">
        <is>
          <t>No</t>
        </is>
      </c>
      <c r="G1317" t="inlineStr">
        <is>
          <t>1</t>
        </is>
      </c>
      <c r="H1317" t="inlineStr">
        <is>
          <t>No</t>
        </is>
      </c>
      <c r="I1317" t="inlineStr">
        <is>
          <t>No</t>
        </is>
      </c>
      <c r="J1317" t="inlineStr">
        <is>
          <t>0</t>
        </is>
      </c>
      <c r="K1317" t="inlineStr">
        <is>
          <t>Sands, Kathleen M., 1954-</t>
        </is>
      </c>
      <c r="L1317" t="inlineStr">
        <is>
          <t>Minneapolis : Fortress Press, c1994.</t>
        </is>
      </c>
      <c r="M1317" t="inlineStr">
        <is>
          <t>1994</t>
        </is>
      </c>
      <c r="O1317" t="inlineStr">
        <is>
          <t>eng</t>
        </is>
      </c>
      <c r="P1317" t="inlineStr">
        <is>
          <t>mnu</t>
        </is>
      </c>
      <c r="R1317" t="inlineStr">
        <is>
          <t xml:space="preserve">BT </t>
        </is>
      </c>
      <c r="S1317" t="n">
        <v>4</v>
      </c>
      <c r="T1317" t="n">
        <v>4</v>
      </c>
      <c r="U1317" t="inlineStr">
        <is>
          <t>2005-11-13</t>
        </is>
      </c>
      <c r="V1317" t="inlineStr">
        <is>
          <t>2005-11-13</t>
        </is>
      </c>
      <c r="W1317" t="inlineStr">
        <is>
          <t>2003-04-10</t>
        </is>
      </c>
      <c r="X1317" t="inlineStr">
        <is>
          <t>2003-04-10</t>
        </is>
      </c>
      <c r="Y1317" t="n">
        <v>344</v>
      </c>
      <c r="Z1317" t="n">
        <v>284</v>
      </c>
      <c r="AA1317" t="n">
        <v>291</v>
      </c>
      <c r="AB1317" t="n">
        <v>6</v>
      </c>
      <c r="AC1317" t="n">
        <v>6</v>
      </c>
      <c r="AD1317" t="n">
        <v>29</v>
      </c>
      <c r="AE1317" t="n">
        <v>29</v>
      </c>
      <c r="AF1317" t="n">
        <v>10</v>
      </c>
      <c r="AG1317" t="n">
        <v>10</v>
      </c>
      <c r="AH1317" t="n">
        <v>6</v>
      </c>
      <c r="AI1317" t="n">
        <v>6</v>
      </c>
      <c r="AJ1317" t="n">
        <v>19</v>
      </c>
      <c r="AK1317" t="n">
        <v>19</v>
      </c>
      <c r="AL1317" t="n">
        <v>4</v>
      </c>
      <c r="AM1317" t="n">
        <v>4</v>
      </c>
      <c r="AN1317" t="n">
        <v>0</v>
      </c>
      <c r="AO1317" t="n">
        <v>0</v>
      </c>
      <c r="AP1317" t="inlineStr">
        <is>
          <t>No</t>
        </is>
      </c>
      <c r="AQ1317" t="inlineStr">
        <is>
          <t>Yes</t>
        </is>
      </c>
      <c r="AR1317">
        <f>HYPERLINK("http://catalog.hathitrust.org/Record/002905555","HathiTrust Record")</f>
        <v/>
      </c>
      <c r="AS1317">
        <f>HYPERLINK("https://creighton-primo.hosted.exlibrisgroup.com/primo-explore/search?tab=default_tab&amp;search_scope=EVERYTHING&amp;vid=01CRU&amp;lang=en_US&amp;offset=0&amp;query=any,contains,991004006629702656","Catalog Record")</f>
        <v/>
      </c>
      <c r="AT1317">
        <f>HYPERLINK("http://www.worldcat.org/oclc/30070256","WorldCat Record")</f>
        <v/>
      </c>
      <c r="AU1317" t="inlineStr">
        <is>
          <t>32054767:eng</t>
        </is>
      </c>
      <c r="AV1317" t="inlineStr">
        <is>
          <t>30070256</t>
        </is>
      </c>
      <c r="AW1317" t="inlineStr">
        <is>
          <t>991004006629702656</t>
        </is>
      </c>
      <c r="AX1317" t="inlineStr">
        <is>
          <t>991004006629702656</t>
        </is>
      </c>
      <c r="AY1317" t="inlineStr">
        <is>
          <t>2260801870002656</t>
        </is>
      </c>
      <c r="AZ1317" t="inlineStr">
        <is>
          <t>BOOK</t>
        </is>
      </c>
      <c r="BB1317" t="inlineStr">
        <is>
          <t>9780800626365</t>
        </is>
      </c>
      <c r="BC1317" t="inlineStr">
        <is>
          <t>32285004741012</t>
        </is>
      </c>
      <c r="BD1317" t="inlineStr">
        <is>
          <t>893894463</t>
        </is>
      </c>
    </row>
    <row r="1318">
      <c r="A1318" t="inlineStr">
        <is>
          <t>No</t>
        </is>
      </c>
      <c r="B1318" t="inlineStr">
        <is>
          <t>BT83.55 .W421 1995</t>
        </is>
      </c>
      <c r="C1318" t="inlineStr">
        <is>
          <t>0                      BT 0083550W  421         1995</t>
        </is>
      </c>
      <c r="D1318" t="inlineStr">
        <is>
          <t>Found wanting : women, Christianity and sexuality / Alison R. Webster ; foreword by Sara Maitland.</t>
        </is>
      </c>
      <c r="F1318" t="inlineStr">
        <is>
          <t>No</t>
        </is>
      </c>
      <c r="G1318" t="inlineStr">
        <is>
          <t>1</t>
        </is>
      </c>
      <c r="H1318" t="inlineStr">
        <is>
          <t>No</t>
        </is>
      </c>
      <c r="I1318" t="inlineStr">
        <is>
          <t>No</t>
        </is>
      </c>
      <c r="J1318" t="inlineStr">
        <is>
          <t>0</t>
        </is>
      </c>
      <c r="K1318" t="inlineStr">
        <is>
          <t>Webster, Alison R.</t>
        </is>
      </c>
      <c r="L1318" t="inlineStr">
        <is>
          <t>London : Cassell, 1995.</t>
        </is>
      </c>
      <c r="M1318" t="inlineStr">
        <is>
          <t>1995</t>
        </is>
      </c>
      <c r="O1318" t="inlineStr">
        <is>
          <t>eng</t>
        </is>
      </c>
      <c r="P1318" t="inlineStr">
        <is>
          <t>enk</t>
        </is>
      </c>
      <c r="R1318" t="inlineStr">
        <is>
          <t xml:space="preserve">BT </t>
        </is>
      </c>
      <c r="S1318" t="n">
        <v>5</v>
      </c>
      <c r="T1318" t="n">
        <v>5</v>
      </c>
      <c r="U1318" t="inlineStr">
        <is>
          <t>1998-06-12</t>
        </is>
      </c>
      <c r="V1318" t="inlineStr">
        <is>
          <t>1998-06-12</t>
        </is>
      </c>
      <c r="W1318" t="inlineStr">
        <is>
          <t>1997-06-03</t>
        </is>
      </c>
      <c r="X1318" t="inlineStr">
        <is>
          <t>1997-06-03</t>
        </is>
      </c>
      <c r="Y1318" t="n">
        <v>240</v>
      </c>
      <c r="Z1318" t="n">
        <v>153</v>
      </c>
      <c r="AA1318" t="n">
        <v>156</v>
      </c>
      <c r="AB1318" t="n">
        <v>2</v>
      </c>
      <c r="AC1318" t="n">
        <v>2</v>
      </c>
      <c r="AD1318" t="n">
        <v>8</v>
      </c>
      <c r="AE1318" t="n">
        <v>8</v>
      </c>
      <c r="AF1318" t="n">
        <v>1</v>
      </c>
      <c r="AG1318" t="n">
        <v>1</v>
      </c>
      <c r="AH1318" t="n">
        <v>3</v>
      </c>
      <c r="AI1318" t="n">
        <v>3</v>
      </c>
      <c r="AJ1318" t="n">
        <v>5</v>
      </c>
      <c r="AK1318" t="n">
        <v>5</v>
      </c>
      <c r="AL1318" t="n">
        <v>1</v>
      </c>
      <c r="AM1318" t="n">
        <v>1</v>
      </c>
      <c r="AN1318" t="n">
        <v>0</v>
      </c>
      <c r="AO1318" t="n">
        <v>0</v>
      </c>
      <c r="AP1318" t="inlineStr">
        <is>
          <t>No</t>
        </is>
      </c>
      <c r="AQ1318" t="inlineStr">
        <is>
          <t>Yes</t>
        </is>
      </c>
      <c r="AR1318">
        <f>HYPERLINK("http://catalog.hathitrust.org/Record/003019819","HathiTrust Record")</f>
        <v/>
      </c>
      <c r="AS1318">
        <f>HYPERLINK("https://creighton-primo.hosted.exlibrisgroup.com/primo-explore/search?tab=default_tab&amp;search_scope=EVERYTHING&amp;vid=01CRU&amp;lang=en_US&amp;offset=0&amp;query=any,contains,991002538839702656","Catalog Record")</f>
        <v/>
      </c>
      <c r="AT1318">
        <f>HYPERLINK("http://www.worldcat.org/oclc/37213743","WorldCat Record")</f>
        <v/>
      </c>
      <c r="AU1318" t="inlineStr">
        <is>
          <t>327154769:eng</t>
        </is>
      </c>
      <c r="AV1318" t="inlineStr">
        <is>
          <t>37213743</t>
        </is>
      </c>
      <c r="AW1318" t="inlineStr">
        <is>
          <t>991002538839702656</t>
        </is>
      </c>
      <c r="AX1318" t="inlineStr">
        <is>
          <t>991002538839702656</t>
        </is>
      </c>
      <c r="AY1318" t="inlineStr">
        <is>
          <t>2257419790002656</t>
        </is>
      </c>
      <c r="AZ1318" t="inlineStr">
        <is>
          <t>BOOK</t>
        </is>
      </c>
      <c r="BB1318" t="inlineStr">
        <is>
          <t>9780304328482</t>
        </is>
      </c>
      <c r="BC1318" t="inlineStr">
        <is>
          <t>32285002613395</t>
        </is>
      </c>
      <c r="BD1318" t="inlineStr">
        <is>
          <t>893323056</t>
        </is>
      </c>
    </row>
    <row r="1319">
      <c r="A1319" t="inlineStr">
        <is>
          <t>No</t>
        </is>
      </c>
      <c r="B1319" t="inlineStr">
        <is>
          <t>BT83.57 .C35513 1994</t>
        </is>
      </c>
      <c r="C1319" t="inlineStr">
        <is>
          <t>0                      BT 0083570C  35513       1994</t>
        </is>
      </c>
      <c r="D1319" t="inlineStr">
        <is>
          <t>Political holiness / Pedro Casaldáliga, José María Vigil ; with a foreword by Ernesto Cardenal and an epilogue by Gustavo Gutiérrez ; translated from the Spanish by Paul Burns and Francis McDonagh.</t>
        </is>
      </c>
      <c r="F1319" t="inlineStr">
        <is>
          <t>No</t>
        </is>
      </c>
      <c r="G1319" t="inlineStr">
        <is>
          <t>1</t>
        </is>
      </c>
      <c r="H1319" t="inlineStr">
        <is>
          <t>No</t>
        </is>
      </c>
      <c r="I1319" t="inlineStr">
        <is>
          <t>No</t>
        </is>
      </c>
      <c r="J1319" t="inlineStr">
        <is>
          <t>0</t>
        </is>
      </c>
      <c r="K1319" t="inlineStr">
        <is>
          <t>Casaldáliga, Pedro.</t>
        </is>
      </c>
      <c r="L1319" t="inlineStr">
        <is>
          <t>Maryknoll, N.Y. : Orbis Books, c1994.</t>
        </is>
      </c>
      <c r="M1319" t="inlineStr">
        <is>
          <t>1994</t>
        </is>
      </c>
      <c r="O1319" t="inlineStr">
        <is>
          <t>eng</t>
        </is>
      </c>
      <c r="P1319" t="inlineStr">
        <is>
          <t>nyu</t>
        </is>
      </c>
      <c r="Q1319" t="inlineStr">
        <is>
          <t>Theology and liberation series</t>
        </is>
      </c>
      <c r="R1319" t="inlineStr">
        <is>
          <t xml:space="preserve">BT </t>
        </is>
      </c>
      <c r="S1319" t="n">
        <v>9</v>
      </c>
      <c r="T1319" t="n">
        <v>9</v>
      </c>
      <c r="U1319" t="inlineStr">
        <is>
          <t>2009-04-24</t>
        </is>
      </c>
      <c r="V1319" t="inlineStr">
        <is>
          <t>2009-04-24</t>
        </is>
      </c>
      <c r="W1319" t="inlineStr">
        <is>
          <t>1999-12-02</t>
        </is>
      </c>
      <c r="X1319" t="inlineStr">
        <is>
          <t>1999-12-02</t>
        </is>
      </c>
      <c r="Y1319" t="n">
        <v>200</v>
      </c>
      <c r="Z1319" t="n">
        <v>173</v>
      </c>
      <c r="AA1319" t="n">
        <v>176</v>
      </c>
      <c r="AB1319" t="n">
        <v>1</v>
      </c>
      <c r="AC1319" t="n">
        <v>1</v>
      </c>
      <c r="AD1319" t="n">
        <v>16</v>
      </c>
      <c r="AE1319" t="n">
        <v>16</v>
      </c>
      <c r="AF1319" t="n">
        <v>6</v>
      </c>
      <c r="AG1319" t="n">
        <v>6</v>
      </c>
      <c r="AH1319" t="n">
        <v>4</v>
      </c>
      <c r="AI1319" t="n">
        <v>4</v>
      </c>
      <c r="AJ1319" t="n">
        <v>10</v>
      </c>
      <c r="AK1319" t="n">
        <v>10</v>
      </c>
      <c r="AL1319" t="n">
        <v>0</v>
      </c>
      <c r="AM1319" t="n">
        <v>0</v>
      </c>
      <c r="AN1319" t="n">
        <v>0</v>
      </c>
      <c r="AO1319" t="n">
        <v>0</v>
      </c>
      <c r="AP1319" t="inlineStr">
        <is>
          <t>No</t>
        </is>
      </c>
      <c r="AQ1319" t="inlineStr">
        <is>
          <t>No</t>
        </is>
      </c>
      <c r="AS1319">
        <f>HYPERLINK("https://creighton-primo.hosted.exlibrisgroup.com/primo-explore/search?tab=default_tab&amp;search_scope=EVERYTHING&amp;vid=01CRU&amp;lang=en_US&amp;offset=0&amp;query=any,contains,991002364089702656","Catalog Record")</f>
        <v/>
      </c>
      <c r="AT1319">
        <f>HYPERLINK("http://www.worldcat.org/oclc/30737622","WorldCat Record")</f>
        <v/>
      </c>
      <c r="AU1319" t="inlineStr">
        <is>
          <t>31413941:eng</t>
        </is>
      </c>
      <c r="AV1319" t="inlineStr">
        <is>
          <t>30737622</t>
        </is>
      </c>
      <c r="AW1319" t="inlineStr">
        <is>
          <t>991002364089702656</t>
        </is>
      </c>
      <c r="AX1319" t="inlineStr">
        <is>
          <t>991002364089702656</t>
        </is>
      </c>
      <c r="AY1319" t="inlineStr">
        <is>
          <t>2266587230002656</t>
        </is>
      </c>
      <c r="AZ1319" t="inlineStr">
        <is>
          <t>BOOK</t>
        </is>
      </c>
      <c r="BB1319" t="inlineStr">
        <is>
          <t>9780883449790</t>
        </is>
      </c>
      <c r="BC1319" t="inlineStr">
        <is>
          <t>32285003627691</t>
        </is>
      </c>
      <c r="BD1319" t="inlineStr">
        <is>
          <t>893597363</t>
        </is>
      </c>
    </row>
    <row r="1320">
      <c r="A1320" t="inlineStr">
        <is>
          <t>No</t>
        </is>
      </c>
      <c r="B1320" t="inlineStr">
        <is>
          <t>BT83.57 .C65</t>
        </is>
      </c>
      <c r="C1320" t="inlineStr">
        <is>
          <t>0                      BT 0083570C  65</t>
        </is>
      </c>
      <c r="D1320" t="inlineStr">
        <is>
          <t>The church and the national security state / José Comblin.</t>
        </is>
      </c>
      <c r="F1320" t="inlineStr">
        <is>
          <t>No</t>
        </is>
      </c>
      <c r="G1320" t="inlineStr">
        <is>
          <t>1</t>
        </is>
      </c>
      <c r="H1320" t="inlineStr">
        <is>
          <t>No</t>
        </is>
      </c>
      <c r="I1320" t="inlineStr">
        <is>
          <t>No</t>
        </is>
      </c>
      <c r="J1320" t="inlineStr">
        <is>
          <t>0</t>
        </is>
      </c>
      <c r="K1320" t="inlineStr">
        <is>
          <t>Comblin, José, 1923-2011.</t>
        </is>
      </c>
      <c r="L1320" t="inlineStr">
        <is>
          <t>Maryknoll, N.Y. : Orbis Books, c1979.</t>
        </is>
      </c>
      <c r="M1320" t="inlineStr">
        <is>
          <t>1979</t>
        </is>
      </c>
      <c r="O1320" t="inlineStr">
        <is>
          <t>eng</t>
        </is>
      </c>
      <c r="P1320" t="inlineStr">
        <is>
          <t>nyu</t>
        </is>
      </c>
      <c r="R1320" t="inlineStr">
        <is>
          <t xml:space="preserve">BT </t>
        </is>
      </c>
      <c r="S1320" t="n">
        <v>3</v>
      </c>
      <c r="T1320" t="n">
        <v>3</v>
      </c>
      <c r="U1320" t="inlineStr">
        <is>
          <t>2004-09-01</t>
        </is>
      </c>
      <c r="V1320" t="inlineStr">
        <is>
          <t>2004-09-01</t>
        </is>
      </c>
      <c r="W1320" t="inlineStr">
        <is>
          <t>1990-04-17</t>
        </is>
      </c>
      <c r="X1320" t="inlineStr">
        <is>
          <t>1990-04-17</t>
        </is>
      </c>
      <c r="Y1320" t="n">
        <v>508</v>
      </c>
      <c r="Z1320" t="n">
        <v>420</v>
      </c>
      <c r="AA1320" t="n">
        <v>424</v>
      </c>
      <c r="AB1320" t="n">
        <v>4</v>
      </c>
      <c r="AC1320" t="n">
        <v>4</v>
      </c>
      <c r="AD1320" t="n">
        <v>34</v>
      </c>
      <c r="AE1320" t="n">
        <v>34</v>
      </c>
      <c r="AF1320" t="n">
        <v>12</v>
      </c>
      <c r="AG1320" t="n">
        <v>12</v>
      </c>
      <c r="AH1320" t="n">
        <v>10</v>
      </c>
      <c r="AI1320" t="n">
        <v>10</v>
      </c>
      <c r="AJ1320" t="n">
        <v>21</v>
      </c>
      <c r="AK1320" t="n">
        <v>21</v>
      </c>
      <c r="AL1320" t="n">
        <v>3</v>
      </c>
      <c r="AM1320" t="n">
        <v>3</v>
      </c>
      <c r="AN1320" t="n">
        <v>0</v>
      </c>
      <c r="AO1320" t="n">
        <v>0</v>
      </c>
      <c r="AP1320" t="inlineStr">
        <is>
          <t>No</t>
        </is>
      </c>
      <c r="AQ1320" t="inlineStr">
        <is>
          <t>Yes</t>
        </is>
      </c>
      <c r="AR1320">
        <f>HYPERLINK("http://catalog.hathitrust.org/Record/000388197","HathiTrust Record")</f>
        <v/>
      </c>
      <c r="AS1320">
        <f>HYPERLINK("https://creighton-primo.hosted.exlibrisgroup.com/primo-explore/search?tab=default_tab&amp;search_scope=EVERYTHING&amp;vid=01CRU&amp;lang=en_US&amp;offset=0&amp;query=any,contains,991004724419702656","Catalog Record")</f>
        <v/>
      </c>
      <c r="AT1320">
        <f>HYPERLINK("http://www.worldcat.org/oclc/4805166","WorldCat Record")</f>
        <v/>
      </c>
      <c r="AU1320" t="inlineStr">
        <is>
          <t>14968198:eng</t>
        </is>
      </c>
      <c r="AV1320" t="inlineStr">
        <is>
          <t>4805166</t>
        </is>
      </c>
      <c r="AW1320" t="inlineStr">
        <is>
          <t>991004724419702656</t>
        </is>
      </c>
      <c r="AX1320" t="inlineStr">
        <is>
          <t>991004724419702656</t>
        </is>
      </c>
      <c r="AY1320" t="inlineStr">
        <is>
          <t>2270774350002656</t>
        </is>
      </c>
      <c r="AZ1320" t="inlineStr">
        <is>
          <t>BOOK</t>
        </is>
      </c>
      <c r="BB1320" t="inlineStr">
        <is>
          <t>9780883440827</t>
        </is>
      </c>
      <c r="BC1320" t="inlineStr">
        <is>
          <t>32285000122910</t>
        </is>
      </c>
      <c r="BD1320" t="inlineStr">
        <is>
          <t>893519982</t>
        </is>
      </c>
    </row>
    <row r="1321">
      <c r="A1321" t="inlineStr">
        <is>
          <t>No</t>
        </is>
      </c>
      <c r="B1321" t="inlineStr">
        <is>
          <t>BT83.57 .D38 1990</t>
        </is>
      </c>
      <c r="C1321" t="inlineStr">
        <is>
          <t>0                      BT 0083570D  38          1990</t>
        </is>
      </c>
      <c r="D1321" t="inlineStr">
        <is>
          <t>Emancipation still comin' : explorations in Caribbean emancipatory theology / Kortright Davis.</t>
        </is>
      </c>
      <c r="F1321" t="inlineStr">
        <is>
          <t>No</t>
        </is>
      </c>
      <c r="G1321" t="inlineStr">
        <is>
          <t>1</t>
        </is>
      </c>
      <c r="H1321" t="inlineStr">
        <is>
          <t>No</t>
        </is>
      </c>
      <c r="I1321" t="inlineStr">
        <is>
          <t>No</t>
        </is>
      </c>
      <c r="J1321" t="inlineStr">
        <is>
          <t>0</t>
        </is>
      </c>
      <c r="K1321" t="inlineStr">
        <is>
          <t>Davis, Kortright.</t>
        </is>
      </c>
      <c r="L1321" t="inlineStr">
        <is>
          <t>Maryknoll, N.Y. : Orbis Books, c1990.</t>
        </is>
      </c>
      <c r="M1321" t="inlineStr">
        <is>
          <t>1990</t>
        </is>
      </c>
      <c r="O1321" t="inlineStr">
        <is>
          <t>eng</t>
        </is>
      </c>
      <c r="P1321" t="inlineStr">
        <is>
          <t>nyu</t>
        </is>
      </c>
      <c r="R1321" t="inlineStr">
        <is>
          <t xml:space="preserve">BT </t>
        </is>
      </c>
      <c r="S1321" t="n">
        <v>4</v>
      </c>
      <c r="T1321" t="n">
        <v>4</v>
      </c>
      <c r="U1321" t="inlineStr">
        <is>
          <t>1999-06-01</t>
        </is>
      </c>
      <c r="V1321" t="inlineStr">
        <is>
          <t>1999-06-01</t>
        </is>
      </c>
      <c r="W1321" t="inlineStr">
        <is>
          <t>1995-12-27</t>
        </is>
      </c>
      <c r="X1321" t="inlineStr">
        <is>
          <t>1995-12-27</t>
        </is>
      </c>
      <c r="Y1321" t="n">
        <v>249</v>
      </c>
      <c r="Z1321" t="n">
        <v>207</v>
      </c>
      <c r="AA1321" t="n">
        <v>215</v>
      </c>
      <c r="AB1321" t="n">
        <v>2</v>
      </c>
      <c r="AC1321" t="n">
        <v>2</v>
      </c>
      <c r="AD1321" t="n">
        <v>13</v>
      </c>
      <c r="AE1321" t="n">
        <v>13</v>
      </c>
      <c r="AF1321" t="n">
        <v>3</v>
      </c>
      <c r="AG1321" t="n">
        <v>3</v>
      </c>
      <c r="AH1321" t="n">
        <v>4</v>
      </c>
      <c r="AI1321" t="n">
        <v>4</v>
      </c>
      <c r="AJ1321" t="n">
        <v>9</v>
      </c>
      <c r="AK1321" t="n">
        <v>9</v>
      </c>
      <c r="AL1321" t="n">
        <v>1</v>
      </c>
      <c r="AM1321" t="n">
        <v>1</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HYPERLINK("https://creighton-primo.hosted.exlibrisgroup.com/primo-explore/search?tab=default_tab&amp;search_scope=EVERYTHING&amp;vid=01CRU&amp;lang=en_US&amp;offset=0&amp;query=any,contains,991001625769702656","Catalog Record")</f>
        <v/>
      </c>
      <c r="AT1321">
        <f>HYPERLINK("http://www.worldcat.org/oclc/20852417","WorldCat Record")</f>
        <v/>
      </c>
      <c r="AU1321" t="inlineStr">
        <is>
          <t>375715954:eng</t>
        </is>
      </c>
      <c r="AV1321" t="inlineStr">
        <is>
          <t>20852417</t>
        </is>
      </c>
      <c r="AW1321" t="inlineStr">
        <is>
          <t>991001625769702656</t>
        </is>
      </c>
      <c r="AX1321" t="inlineStr">
        <is>
          <t>991001625769702656</t>
        </is>
      </c>
      <c r="AY1321" t="inlineStr">
        <is>
          <t>2265017630002656</t>
        </is>
      </c>
      <c r="AZ1321" t="inlineStr">
        <is>
          <t>BOOK</t>
        </is>
      </c>
      <c r="BB1321" t="inlineStr">
        <is>
          <t>9780883446720</t>
        </is>
      </c>
      <c r="BC1321" t="inlineStr">
        <is>
          <t>32285002112653</t>
        </is>
      </c>
      <c r="BD1321" t="inlineStr">
        <is>
          <t>893785232</t>
        </is>
      </c>
    </row>
    <row r="1322">
      <c r="A1322" t="inlineStr">
        <is>
          <t>No</t>
        </is>
      </c>
      <c r="B1322" t="inlineStr">
        <is>
          <t>BT83.57 .F87 1978</t>
        </is>
      </c>
      <c r="C1322" t="inlineStr">
        <is>
          <t>0                      BT 0083570F  87          1978</t>
        </is>
      </c>
      <c r="D1322" t="inlineStr">
        <is>
          <t>Love and the urban ghetto / Paul Hanly Furfey.</t>
        </is>
      </c>
      <c r="F1322" t="inlineStr">
        <is>
          <t>No</t>
        </is>
      </c>
      <c r="G1322" t="inlineStr">
        <is>
          <t>1</t>
        </is>
      </c>
      <c r="H1322" t="inlineStr">
        <is>
          <t>No</t>
        </is>
      </c>
      <c r="I1322" t="inlineStr">
        <is>
          <t>No</t>
        </is>
      </c>
      <c r="J1322" t="inlineStr">
        <is>
          <t>0</t>
        </is>
      </c>
      <c r="K1322" t="inlineStr">
        <is>
          <t>Furfey, Paul Hanly, 1896-1992.</t>
        </is>
      </c>
      <c r="L1322" t="inlineStr">
        <is>
          <t>Maryknoll, N.Y. : Orbis Books, c1978.</t>
        </is>
      </c>
      <c r="M1322" t="inlineStr">
        <is>
          <t>1978</t>
        </is>
      </c>
      <c r="O1322" t="inlineStr">
        <is>
          <t>eng</t>
        </is>
      </c>
      <c r="P1322" t="inlineStr">
        <is>
          <t>nyu</t>
        </is>
      </c>
      <c r="R1322" t="inlineStr">
        <is>
          <t xml:space="preserve">BT </t>
        </is>
      </c>
      <c r="S1322" t="n">
        <v>6</v>
      </c>
      <c r="T1322" t="n">
        <v>6</v>
      </c>
      <c r="U1322" t="inlineStr">
        <is>
          <t>2007-11-04</t>
        </is>
      </c>
      <c r="V1322" t="inlineStr">
        <is>
          <t>2007-11-04</t>
        </is>
      </c>
      <c r="W1322" t="inlineStr">
        <is>
          <t>1991-06-25</t>
        </is>
      </c>
      <c r="X1322" t="inlineStr">
        <is>
          <t>1991-06-25</t>
        </is>
      </c>
      <c r="Y1322" t="n">
        <v>232</v>
      </c>
      <c r="Z1322" t="n">
        <v>202</v>
      </c>
      <c r="AA1322" t="n">
        <v>208</v>
      </c>
      <c r="AB1322" t="n">
        <v>2</v>
      </c>
      <c r="AC1322" t="n">
        <v>2</v>
      </c>
      <c r="AD1322" t="n">
        <v>15</v>
      </c>
      <c r="AE1322" t="n">
        <v>15</v>
      </c>
      <c r="AF1322" t="n">
        <v>4</v>
      </c>
      <c r="AG1322" t="n">
        <v>4</v>
      </c>
      <c r="AH1322" t="n">
        <v>5</v>
      </c>
      <c r="AI1322" t="n">
        <v>5</v>
      </c>
      <c r="AJ1322" t="n">
        <v>10</v>
      </c>
      <c r="AK1322" t="n">
        <v>10</v>
      </c>
      <c r="AL1322" t="n">
        <v>1</v>
      </c>
      <c r="AM1322" t="n">
        <v>1</v>
      </c>
      <c r="AN1322" t="n">
        <v>0</v>
      </c>
      <c r="AO1322" t="n">
        <v>0</v>
      </c>
      <c r="AP1322" t="inlineStr">
        <is>
          <t>No</t>
        </is>
      </c>
      <c r="AQ1322" t="inlineStr">
        <is>
          <t>Yes</t>
        </is>
      </c>
      <c r="AR1322">
        <f>HYPERLINK("http://catalog.hathitrust.org/Record/006020565","HathiTrust Record")</f>
        <v/>
      </c>
      <c r="AS1322">
        <f>HYPERLINK("https://creighton-primo.hosted.exlibrisgroup.com/primo-explore/search?tab=default_tab&amp;search_scope=EVERYTHING&amp;vid=01CRU&amp;lang=en_US&amp;offset=0&amp;query=any,contains,991004429209702656","Catalog Record")</f>
        <v/>
      </c>
      <c r="AT1322">
        <f>HYPERLINK("http://www.worldcat.org/oclc/3414741","WorldCat Record")</f>
        <v/>
      </c>
      <c r="AU1322" t="inlineStr">
        <is>
          <t>51566488:eng</t>
        </is>
      </c>
      <c r="AV1322" t="inlineStr">
        <is>
          <t>3414741</t>
        </is>
      </c>
      <c r="AW1322" t="inlineStr">
        <is>
          <t>991004429209702656</t>
        </is>
      </c>
      <c r="AX1322" t="inlineStr">
        <is>
          <t>991004429209702656</t>
        </is>
      </c>
      <c r="AY1322" t="inlineStr">
        <is>
          <t>2260094120002656</t>
        </is>
      </c>
      <c r="AZ1322" t="inlineStr">
        <is>
          <t>BOOK</t>
        </is>
      </c>
      <c r="BB1322" t="inlineStr">
        <is>
          <t>9780883442920</t>
        </is>
      </c>
      <c r="BC1322" t="inlineStr">
        <is>
          <t>32285000689322</t>
        </is>
      </c>
      <c r="BD1322" t="inlineStr">
        <is>
          <t>893776011</t>
        </is>
      </c>
    </row>
    <row r="1323">
      <c r="A1323" t="inlineStr">
        <is>
          <t>No</t>
        </is>
      </c>
      <c r="B1323" t="inlineStr">
        <is>
          <t>BT83.57 .H46 1999</t>
        </is>
      </c>
      <c r="C1323" t="inlineStr">
        <is>
          <t>0                      BT 0083570H  46          1999</t>
        </is>
      </c>
      <c r="D1323" t="inlineStr">
        <is>
          <t>Theology from the belly of the whale : a Frederick Herzog reader / edited by Joerg Rieger.</t>
        </is>
      </c>
      <c r="F1323" t="inlineStr">
        <is>
          <t>No</t>
        </is>
      </c>
      <c r="G1323" t="inlineStr">
        <is>
          <t>1</t>
        </is>
      </c>
      <c r="H1323" t="inlineStr">
        <is>
          <t>No</t>
        </is>
      </c>
      <c r="I1323" t="inlineStr">
        <is>
          <t>No</t>
        </is>
      </c>
      <c r="J1323" t="inlineStr">
        <is>
          <t>0</t>
        </is>
      </c>
      <c r="K1323" t="inlineStr">
        <is>
          <t>Herzog, Frederick.</t>
        </is>
      </c>
      <c r="L1323" t="inlineStr">
        <is>
          <t>Harrisburg, Pa. : Trinity Press International, c1999.</t>
        </is>
      </c>
      <c r="M1323" t="inlineStr">
        <is>
          <t>1999</t>
        </is>
      </c>
      <c r="O1323" t="inlineStr">
        <is>
          <t>eng</t>
        </is>
      </c>
      <c r="P1323" t="inlineStr">
        <is>
          <t>pau</t>
        </is>
      </c>
      <c r="R1323" t="inlineStr">
        <is>
          <t xml:space="preserve">BT </t>
        </is>
      </c>
      <c r="S1323" t="n">
        <v>2</v>
      </c>
      <c r="T1323" t="n">
        <v>2</v>
      </c>
      <c r="U1323" t="inlineStr">
        <is>
          <t>2004-08-27</t>
        </is>
      </c>
      <c r="V1323" t="inlineStr">
        <is>
          <t>2004-08-27</t>
        </is>
      </c>
      <c r="W1323" t="inlineStr">
        <is>
          <t>2004-01-22</t>
        </is>
      </c>
      <c r="X1323" t="inlineStr">
        <is>
          <t>2004-01-22</t>
        </is>
      </c>
      <c r="Y1323" t="n">
        <v>148</v>
      </c>
      <c r="Z1323" t="n">
        <v>129</v>
      </c>
      <c r="AA1323" t="n">
        <v>131</v>
      </c>
      <c r="AB1323" t="n">
        <v>2</v>
      </c>
      <c r="AC1323" t="n">
        <v>2</v>
      </c>
      <c r="AD1323" t="n">
        <v>9</v>
      </c>
      <c r="AE1323" t="n">
        <v>9</v>
      </c>
      <c r="AF1323" t="n">
        <v>2</v>
      </c>
      <c r="AG1323" t="n">
        <v>2</v>
      </c>
      <c r="AH1323" t="n">
        <v>3</v>
      </c>
      <c r="AI1323" t="n">
        <v>3</v>
      </c>
      <c r="AJ1323" t="n">
        <v>5</v>
      </c>
      <c r="AK1323" t="n">
        <v>5</v>
      </c>
      <c r="AL1323" t="n">
        <v>1</v>
      </c>
      <c r="AM1323" t="n">
        <v>1</v>
      </c>
      <c r="AN1323" t="n">
        <v>0</v>
      </c>
      <c r="AO1323" t="n">
        <v>0</v>
      </c>
      <c r="AP1323" t="inlineStr">
        <is>
          <t>No</t>
        </is>
      </c>
      <c r="AQ1323" t="inlineStr">
        <is>
          <t>Yes</t>
        </is>
      </c>
      <c r="AR1323">
        <f>HYPERLINK("http://catalog.hathitrust.org/Record/004035575","HathiTrust Record")</f>
        <v/>
      </c>
      <c r="AS1323">
        <f>HYPERLINK("https://creighton-primo.hosted.exlibrisgroup.com/primo-explore/search?tab=default_tab&amp;search_scope=EVERYTHING&amp;vid=01CRU&amp;lang=en_US&amp;offset=0&amp;query=any,contains,991004217069702656","Catalog Record")</f>
        <v/>
      </c>
      <c r="AT1323">
        <f>HYPERLINK("http://www.worldcat.org/oclc/41118809","WorldCat Record")</f>
        <v/>
      </c>
      <c r="AU1323" t="inlineStr">
        <is>
          <t>1207087214:eng</t>
        </is>
      </c>
      <c r="AV1323" t="inlineStr">
        <is>
          <t>41118809</t>
        </is>
      </c>
      <c r="AW1323" t="inlineStr">
        <is>
          <t>991004217069702656</t>
        </is>
      </c>
      <c r="AX1323" t="inlineStr">
        <is>
          <t>991004217069702656</t>
        </is>
      </c>
      <c r="AY1323" t="inlineStr">
        <is>
          <t>2258261230002656</t>
        </is>
      </c>
      <c r="AZ1323" t="inlineStr">
        <is>
          <t>BOOK</t>
        </is>
      </c>
      <c r="BB1323" t="inlineStr">
        <is>
          <t>9781563382659</t>
        </is>
      </c>
      <c r="BC1323" t="inlineStr">
        <is>
          <t>32285004636022</t>
        </is>
      </c>
      <c r="BD1323" t="inlineStr">
        <is>
          <t>893800737</t>
        </is>
      </c>
    </row>
    <row r="1324">
      <c r="A1324" t="inlineStr">
        <is>
          <t>No</t>
        </is>
      </c>
      <c r="B1324" t="inlineStr">
        <is>
          <t>BT83.57 .I73 1978</t>
        </is>
      </c>
      <c r="C1324" t="inlineStr">
        <is>
          <t>0                      BT 0083570I  73          1978</t>
        </is>
      </c>
      <c r="D1324" t="inlineStr">
        <is>
          <t>Ireland, liberation, and theology / edited by Dermot Lane.</t>
        </is>
      </c>
      <c r="F1324" t="inlineStr">
        <is>
          <t>No</t>
        </is>
      </c>
      <c r="G1324" t="inlineStr">
        <is>
          <t>1</t>
        </is>
      </c>
      <c r="H1324" t="inlineStr">
        <is>
          <t>No</t>
        </is>
      </c>
      <c r="I1324" t="inlineStr">
        <is>
          <t>No</t>
        </is>
      </c>
      <c r="J1324" t="inlineStr">
        <is>
          <t>0</t>
        </is>
      </c>
      <c r="L1324" t="inlineStr">
        <is>
          <t>Maryknoll, N.Y. : Orbis Books, 1978, c1977.</t>
        </is>
      </c>
      <c r="M1324" t="inlineStr">
        <is>
          <t>1978</t>
        </is>
      </c>
      <c r="O1324" t="inlineStr">
        <is>
          <t>eng</t>
        </is>
      </c>
      <c r="P1324" t="inlineStr">
        <is>
          <t>nyu</t>
        </is>
      </c>
      <c r="R1324" t="inlineStr">
        <is>
          <t xml:space="preserve">BT </t>
        </is>
      </c>
      <c r="S1324" t="n">
        <v>6</v>
      </c>
      <c r="T1324" t="n">
        <v>6</v>
      </c>
      <c r="U1324" t="inlineStr">
        <is>
          <t>2004-10-25</t>
        </is>
      </c>
      <c r="V1324" t="inlineStr">
        <is>
          <t>2004-10-25</t>
        </is>
      </c>
      <c r="W1324" t="inlineStr">
        <is>
          <t>1991-06-25</t>
        </is>
      </c>
      <c r="X1324" t="inlineStr">
        <is>
          <t>1991-06-25</t>
        </is>
      </c>
      <c r="Y1324" t="n">
        <v>212</v>
      </c>
      <c r="Z1324" t="n">
        <v>193</v>
      </c>
      <c r="AA1324" t="n">
        <v>195</v>
      </c>
      <c r="AB1324" t="n">
        <v>2</v>
      </c>
      <c r="AC1324" t="n">
        <v>2</v>
      </c>
      <c r="AD1324" t="n">
        <v>13</v>
      </c>
      <c r="AE1324" t="n">
        <v>13</v>
      </c>
      <c r="AF1324" t="n">
        <v>3</v>
      </c>
      <c r="AG1324" t="n">
        <v>3</v>
      </c>
      <c r="AH1324" t="n">
        <v>6</v>
      </c>
      <c r="AI1324" t="n">
        <v>6</v>
      </c>
      <c r="AJ1324" t="n">
        <v>7</v>
      </c>
      <c r="AK1324" t="n">
        <v>7</v>
      </c>
      <c r="AL1324" t="n">
        <v>1</v>
      </c>
      <c r="AM1324" t="n">
        <v>1</v>
      </c>
      <c r="AN1324" t="n">
        <v>0</v>
      </c>
      <c r="AO1324" t="n">
        <v>0</v>
      </c>
      <c r="AP1324" t="inlineStr">
        <is>
          <t>No</t>
        </is>
      </c>
      <c r="AQ1324" t="inlineStr">
        <is>
          <t>Yes</t>
        </is>
      </c>
      <c r="AR1324">
        <f>HYPERLINK("http://catalog.hathitrust.org/Record/007855119","HathiTrust Record")</f>
        <v/>
      </c>
      <c r="AS1324">
        <f>HYPERLINK("https://creighton-primo.hosted.exlibrisgroup.com/primo-explore/search?tab=default_tab&amp;search_scope=EVERYTHING&amp;vid=01CRU&amp;lang=en_US&amp;offset=0&amp;query=any,contains,991004544809702656","Catalog Record")</f>
        <v/>
      </c>
      <c r="AT1324">
        <f>HYPERLINK("http://www.worldcat.org/oclc/3912853","WorldCat Record")</f>
        <v/>
      </c>
      <c r="AU1324" t="inlineStr">
        <is>
          <t>543389:eng</t>
        </is>
      </c>
      <c r="AV1324" t="inlineStr">
        <is>
          <t>3912853</t>
        </is>
      </c>
      <c r="AW1324" t="inlineStr">
        <is>
          <t>991004544809702656</t>
        </is>
      </c>
      <c r="AX1324" t="inlineStr">
        <is>
          <t>991004544809702656</t>
        </is>
      </c>
      <c r="AY1324" t="inlineStr">
        <is>
          <t>2260390280002656</t>
        </is>
      </c>
      <c r="AZ1324" t="inlineStr">
        <is>
          <t>BOOK</t>
        </is>
      </c>
      <c r="BB1324" t="inlineStr">
        <is>
          <t>9780883442173</t>
        </is>
      </c>
      <c r="BC1324" t="inlineStr">
        <is>
          <t>32285000689355</t>
        </is>
      </c>
      <c r="BD1324" t="inlineStr">
        <is>
          <t>893229487</t>
        </is>
      </c>
    </row>
    <row r="1325">
      <c r="A1325" t="inlineStr">
        <is>
          <t>No</t>
        </is>
      </c>
      <c r="B1325" t="inlineStr">
        <is>
          <t>BT83.57 .L69 1996</t>
        </is>
      </c>
      <c r="C1325" t="inlineStr">
        <is>
          <t>0                      BT 0083570L  69          1996</t>
        </is>
      </c>
      <c r="D1325" t="inlineStr">
        <is>
          <t>The war of gods : religion and politics in Latin America / Michael Löwy.</t>
        </is>
      </c>
      <c r="F1325" t="inlineStr">
        <is>
          <t>No</t>
        </is>
      </c>
      <c r="G1325" t="inlineStr">
        <is>
          <t>1</t>
        </is>
      </c>
      <c r="H1325" t="inlineStr">
        <is>
          <t>No</t>
        </is>
      </c>
      <c r="I1325" t="inlineStr">
        <is>
          <t>No</t>
        </is>
      </c>
      <c r="J1325" t="inlineStr">
        <is>
          <t>0</t>
        </is>
      </c>
      <c r="K1325" t="inlineStr">
        <is>
          <t>Löwy, Michael, 1938-</t>
        </is>
      </c>
      <c r="L1325" t="inlineStr">
        <is>
          <t>London ; New York : Verso, 1996.</t>
        </is>
      </c>
      <c r="M1325" t="inlineStr">
        <is>
          <t>1996</t>
        </is>
      </c>
      <c r="O1325" t="inlineStr">
        <is>
          <t>eng</t>
        </is>
      </c>
      <c r="P1325" t="inlineStr">
        <is>
          <t>enk</t>
        </is>
      </c>
      <c r="Q1325" t="inlineStr">
        <is>
          <t>Critical studies in Latin American and Iberian cultures</t>
        </is>
      </c>
      <c r="R1325" t="inlineStr">
        <is>
          <t xml:space="preserve">BT </t>
        </is>
      </c>
      <c r="S1325" t="n">
        <v>9</v>
      </c>
      <c r="T1325" t="n">
        <v>9</v>
      </c>
      <c r="U1325" t="inlineStr">
        <is>
          <t>2010-07-22</t>
        </is>
      </c>
      <c r="V1325" t="inlineStr">
        <is>
          <t>2010-07-22</t>
        </is>
      </c>
      <c r="W1325" t="inlineStr">
        <is>
          <t>1998-05-19</t>
        </is>
      </c>
      <c r="X1325" t="inlineStr">
        <is>
          <t>1998-05-19</t>
        </is>
      </c>
      <c r="Y1325" t="n">
        <v>536</v>
      </c>
      <c r="Z1325" t="n">
        <v>446</v>
      </c>
      <c r="AA1325" t="n">
        <v>448</v>
      </c>
      <c r="AB1325" t="n">
        <v>1</v>
      </c>
      <c r="AC1325" t="n">
        <v>1</v>
      </c>
      <c r="AD1325" t="n">
        <v>31</v>
      </c>
      <c r="AE1325" t="n">
        <v>31</v>
      </c>
      <c r="AF1325" t="n">
        <v>16</v>
      </c>
      <c r="AG1325" t="n">
        <v>16</v>
      </c>
      <c r="AH1325" t="n">
        <v>7</v>
      </c>
      <c r="AI1325" t="n">
        <v>7</v>
      </c>
      <c r="AJ1325" t="n">
        <v>15</v>
      </c>
      <c r="AK1325" t="n">
        <v>15</v>
      </c>
      <c r="AL1325" t="n">
        <v>0</v>
      </c>
      <c r="AM1325" t="n">
        <v>0</v>
      </c>
      <c r="AN1325" t="n">
        <v>0</v>
      </c>
      <c r="AO1325" t="n">
        <v>0</v>
      </c>
      <c r="AP1325" t="inlineStr">
        <is>
          <t>No</t>
        </is>
      </c>
      <c r="AQ1325" t="inlineStr">
        <is>
          <t>Yes</t>
        </is>
      </c>
      <c r="AR1325">
        <f>HYPERLINK("http://catalog.hathitrust.org/Record/003085817","HathiTrust Record")</f>
        <v/>
      </c>
      <c r="AS1325">
        <f>HYPERLINK("https://creighton-primo.hosted.exlibrisgroup.com/primo-explore/search?tab=default_tab&amp;search_scope=EVERYTHING&amp;vid=01CRU&amp;lang=en_US&amp;offset=0&amp;query=any,contains,991002624729702656","Catalog Record")</f>
        <v/>
      </c>
      <c r="AT1325">
        <f>HYPERLINK("http://www.worldcat.org/oclc/34410570","WorldCat Record")</f>
        <v/>
      </c>
      <c r="AU1325" t="inlineStr">
        <is>
          <t>9349931158:eng</t>
        </is>
      </c>
      <c r="AV1325" t="inlineStr">
        <is>
          <t>34410570</t>
        </is>
      </c>
      <c r="AW1325" t="inlineStr">
        <is>
          <t>991002624729702656</t>
        </is>
      </c>
      <c r="AX1325" t="inlineStr">
        <is>
          <t>991002624729702656</t>
        </is>
      </c>
      <c r="AY1325" t="inlineStr">
        <is>
          <t>2263629610002656</t>
        </is>
      </c>
      <c r="AZ1325" t="inlineStr">
        <is>
          <t>BOOK</t>
        </is>
      </c>
      <c r="BB1325" t="inlineStr">
        <is>
          <t>9781859840023</t>
        </is>
      </c>
      <c r="BC1325" t="inlineStr">
        <is>
          <t>32285003409991</t>
        </is>
      </c>
      <c r="BD1325" t="inlineStr">
        <is>
          <t>893898992</t>
        </is>
      </c>
    </row>
    <row r="1326">
      <c r="A1326" t="inlineStr">
        <is>
          <t>No</t>
        </is>
      </c>
      <c r="B1326" t="inlineStr">
        <is>
          <t>BT83.57 .O36</t>
        </is>
      </c>
      <c r="C1326" t="inlineStr">
        <is>
          <t>0                      BT 0083570O  36</t>
        </is>
      </c>
      <c r="D1326" t="inlineStr">
        <is>
          <t>Faith and freedom : toward a theology of liberation / Schubert M. Ogden.</t>
        </is>
      </c>
      <c r="F1326" t="inlineStr">
        <is>
          <t>No</t>
        </is>
      </c>
      <c r="G1326" t="inlineStr">
        <is>
          <t>1</t>
        </is>
      </c>
      <c r="H1326" t="inlineStr">
        <is>
          <t>No</t>
        </is>
      </c>
      <c r="I1326" t="inlineStr">
        <is>
          <t>No</t>
        </is>
      </c>
      <c r="J1326" t="inlineStr">
        <is>
          <t>0</t>
        </is>
      </c>
      <c r="K1326" t="inlineStr">
        <is>
          <t>Ogden, Schubert M. (Schubert Miles), 1928-2019.</t>
        </is>
      </c>
      <c r="L1326" t="inlineStr">
        <is>
          <t>Nashville : Abingdon, c1979.</t>
        </is>
      </c>
      <c r="M1326" t="inlineStr">
        <is>
          <t>1979</t>
        </is>
      </c>
      <c r="O1326" t="inlineStr">
        <is>
          <t>eng</t>
        </is>
      </c>
      <c r="P1326" t="inlineStr">
        <is>
          <t>tnu</t>
        </is>
      </c>
      <c r="R1326" t="inlineStr">
        <is>
          <t xml:space="preserve">BT </t>
        </is>
      </c>
      <c r="S1326" t="n">
        <v>9</v>
      </c>
      <c r="T1326" t="n">
        <v>9</v>
      </c>
      <c r="U1326" t="inlineStr">
        <is>
          <t>2008-12-07</t>
        </is>
      </c>
      <c r="V1326" t="inlineStr">
        <is>
          <t>2008-12-07</t>
        </is>
      </c>
      <c r="W1326" t="inlineStr">
        <is>
          <t>1990-04-09</t>
        </is>
      </c>
      <c r="X1326" t="inlineStr">
        <is>
          <t>1990-04-09</t>
        </is>
      </c>
      <c r="Y1326" t="n">
        <v>481</v>
      </c>
      <c r="Z1326" t="n">
        <v>416</v>
      </c>
      <c r="AA1326" t="n">
        <v>498</v>
      </c>
      <c r="AB1326" t="n">
        <v>6</v>
      </c>
      <c r="AC1326" t="n">
        <v>6</v>
      </c>
      <c r="AD1326" t="n">
        <v>31</v>
      </c>
      <c r="AE1326" t="n">
        <v>38</v>
      </c>
      <c r="AF1326" t="n">
        <v>9</v>
      </c>
      <c r="AG1326" t="n">
        <v>14</v>
      </c>
      <c r="AH1326" t="n">
        <v>6</v>
      </c>
      <c r="AI1326" t="n">
        <v>8</v>
      </c>
      <c r="AJ1326" t="n">
        <v>18</v>
      </c>
      <c r="AK1326" t="n">
        <v>22</v>
      </c>
      <c r="AL1326" t="n">
        <v>5</v>
      </c>
      <c r="AM1326" t="n">
        <v>5</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HYPERLINK("https://creighton-primo.hosted.exlibrisgroup.com/primo-explore/search?tab=default_tab&amp;search_scope=EVERYTHING&amp;vid=01CRU&amp;lang=en_US&amp;offset=0&amp;query=any,contains,991004606229702656","Catalog Record")</f>
        <v/>
      </c>
      <c r="AT1326">
        <f>HYPERLINK("http://www.worldcat.org/oclc/4194574","WorldCat Record")</f>
        <v/>
      </c>
      <c r="AU1326" t="inlineStr">
        <is>
          <t>7800168:eng</t>
        </is>
      </c>
      <c r="AV1326" t="inlineStr">
        <is>
          <t>4194574</t>
        </is>
      </c>
      <c r="AW1326" t="inlineStr">
        <is>
          <t>991004606229702656</t>
        </is>
      </c>
      <c r="AX1326" t="inlineStr">
        <is>
          <t>991004606229702656</t>
        </is>
      </c>
      <c r="AY1326" t="inlineStr">
        <is>
          <t>2262444850002656</t>
        </is>
      </c>
      <c r="AZ1326" t="inlineStr">
        <is>
          <t>BOOK</t>
        </is>
      </c>
      <c r="BB1326" t="inlineStr">
        <is>
          <t>9780687125906</t>
        </is>
      </c>
      <c r="BC1326" t="inlineStr">
        <is>
          <t>32285000113745</t>
        </is>
      </c>
      <c r="BD1326" t="inlineStr">
        <is>
          <t>893694124</t>
        </is>
      </c>
    </row>
    <row r="1327">
      <c r="A1327" t="inlineStr">
        <is>
          <t>No</t>
        </is>
      </c>
      <c r="B1327" t="inlineStr">
        <is>
          <t>BT83.57 .T7513 1991</t>
        </is>
      </c>
      <c r="C1327" t="inlineStr">
        <is>
          <t>0                      BT 0083570T  7513        1991</t>
        </is>
      </c>
      <c r="D1327" t="inlineStr">
        <is>
          <t>Creation and history / Pedro Trigo ; translated from the Spanish by Robert R. Barr.</t>
        </is>
      </c>
      <c r="F1327" t="inlineStr">
        <is>
          <t>No</t>
        </is>
      </c>
      <c r="G1327" t="inlineStr">
        <is>
          <t>1</t>
        </is>
      </c>
      <c r="H1327" t="inlineStr">
        <is>
          <t>No</t>
        </is>
      </c>
      <c r="I1327" t="inlineStr">
        <is>
          <t>No</t>
        </is>
      </c>
      <c r="J1327" t="inlineStr">
        <is>
          <t>0</t>
        </is>
      </c>
      <c r="K1327" t="inlineStr">
        <is>
          <t>Trigo, Pedro.</t>
        </is>
      </c>
      <c r="L1327" t="inlineStr">
        <is>
          <t>Maryknoll, N.Y. : Orbis Books, 1991.</t>
        </is>
      </c>
      <c r="M1327" t="inlineStr">
        <is>
          <t>1991</t>
        </is>
      </c>
      <c r="O1327" t="inlineStr">
        <is>
          <t>eng</t>
        </is>
      </c>
      <c r="P1327" t="inlineStr">
        <is>
          <t>nyu</t>
        </is>
      </c>
      <c r="Q1327" t="inlineStr">
        <is>
          <t>Theology and liberation series</t>
        </is>
      </c>
      <c r="R1327" t="inlineStr">
        <is>
          <t xml:space="preserve">BT </t>
        </is>
      </c>
      <c r="S1327" t="n">
        <v>4</v>
      </c>
      <c r="T1327" t="n">
        <v>4</v>
      </c>
      <c r="U1327" t="inlineStr">
        <is>
          <t>2007-10-31</t>
        </is>
      </c>
      <c r="V1327" t="inlineStr">
        <is>
          <t>2007-10-31</t>
        </is>
      </c>
      <c r="W1327" t="inlineStr">
        <is>
          <t>1993-09-28</t>
        </is>
      </c>
      <c r="X1327" t="inlineStr">
        <is>
          <t>1993-09-28</t>
        </is>
      </c>
      <c r="Y1327" t="n">
        <v>194</v>
      </c>
      <c r="Z1327" t="n">
        <v>168</v>
      </c>
      <c r="AA1327" t="n">
        <v>174</v>
      </c>
      <c r="AB1327" t="n">
        <v>1</v>
      </c>
      <c r="AC1327" t="n">
        <v>1</v>
      </c>
      <c r="AD1327" t="n">
        <v>12</v>
      </c>
      <c r="AE1327" t="n">
        <v>12</v>
      </c>
      <c r="AF1327" t="n">
        <v>2</v>
      </c>
      <c r="AG1327" t="n">
        <v>2</v>
      </c>
      <c r="AH1327" t="n">
        <v>5</v>
      </c>
      <c r="AI1327" t="n">
        <v>5</v>
      </c>
      <c r="AJ1327" t="n">
        <v>9</v>
      </c>
      <c r="AK1327" t="n">
        <v>9</v>
      </c>
      <c r="AL1327" t="n">
        <v>0</v>
      </c>
      <c r="AM1327" t="n">
        <v>0</v>
      </c>
      <c r="AN1327" t="n">
        <v>0</v>
      </c>
      <c r="AO1327" t="n">
        <v>0</v>
      </c>
      <c r="AP1327" t="inlineStr">
        <is>
          <t>No</t>
        </is>
      </c>
      <c r="AQ1327" t="inlineStr">
        <is>
          <t>Yes</t>
        </is>
      </c>
      <c r="AR1327">
        <f>HYPERLINK("http://catalog.hathitrust.org/Record/002457028","HathiTrust Record")</f>
        <v/>
      </c>
      <c r="AS1327">
        <f>HYPERLINK("https://creighton-primo.hosted.exlibrisgroup.com/primo-explore/search?tab=default_tab&amp;search_scope=EVERYTHING&amp;vid=01CRU&amp;lang=en_US&amp;offset=0&amp;query=any,contains,991001836809702656","Catalog Record")</f>
        <v/>
      </c>
      <c r="AT1327">
        <f>HYPERLINK("http://www.worldcat.org/oclc/23079929","WorldCat Record")</f>
        <v/>
      </c>
      <c r="AU1327" t="inlineStr">
        <is>
          <t>13362487:eng</t>
        </is>
      </c>
      <c r="AV1327" t="inlineStr">
        <is>
          <t>23079929</t>
        </is>
      </c>
      <c r="AW1327" t="inlineStr">
        <is>
          <t>991001836809702656</t>
        </is>
      </c>
      <c r="AX1327" t="inlineStr">
        <is>
          <t>991001836809702656</t>
        </is>
      </c>
      <c r="AY1327" t="inlineStr">
        <is>
          <t>2260335930002656</t>
        </is>
      </c>
      <c r="AZ1327" t="inlineStr">
        <is>
          <t>BOOK</t>
        </is>
      </c>
      <c r="BB1327" t="inlineStr">
        <is>
          <t>9780883447369</t>
        </is>
      </c>
      <c r="BC1327" t="inlineStr">
        <is>
          <t>32285001767978</t>
        </is>
      </c>
      <c r="BD1327" t="inlineStr">
        <is>
          <t>893779124</t>
        </is>
      </c>
    </row>
    <row r="1328">
      <c r="A1328" t="inlineStr">
        <is>
          <t>No</t>
        </is>
      </c>
      <c r="B1328" t="inlineStr">
        <is>
          <t>BT83.6 .B3 1970</t>
        </is>
      </c>
      <c r="C1328" t="inlineStr">
        <is>
          <t>0                      BT 0083600B  3           1970</t>
        </is>
      </c>
      <c r="D1328" t="inlineStr">
        <is>
          <t>God within process / [by] Eulalio R. Baltazar.</t>
        </is>
      </c>
      <c r="F1328" t="inlineStr">
        <is>
          <t>No</t>
        </is>
      </c>
      <c r="G1328" t="inlineStr">
        <is>
          <t>1</t>
        </is>
      </c>
      <c r="H1328" t="inlineStr">
        <is>
          <t>No</t>
        </is>
      </c>
      <c r="I1328" t="inlineStr">
        <is>
          <t>No</t>
        </is>
      </c>
      <c r="J1328" t="inlineStr">
        <is>
          <t>0</t>
        </is>
      </c>
      <c r="K1328" t="inlineStr">
        <is>
          <t>Baltazar, Eulalio R.</t>
        </is>
      </c>
      <c r="L1328" t="inlineStr">
        <is>
          <t>Paramus, N.J., Newman Press [1970]</t>
        </is>
      </c>
      <c r="M1328" t="inlineStr">
        <is>
          <t>1970</t>
        </is>
      </c>
      <c r="O1328" t="inlineStr">
        <is>
          <t>eng</t>
        </is>
      </c>
      <c r="P1328" t="inlineStr">
        <is>
          <t>nju</t>
        </is>
      </c>
      <c r="R1328" t="inlineStr">
        <is>
          <t xml:space="preserve">BT </t>
        </is>
      </c>
      <c r="S1328" t="n">
        <v>1</v>
      </c>
      <c r="T1328" t="n">
        <v>1</v>
      </c>
      <c r="U1328" t="inlineStr">
        <is>
          <t>2008-11-29</t>
        </is>
      </c>
      <c r="V1328" t="inlineStr">
        <is>
          <t>2008-11-29</t>
        </is>
      </c>
      <c r="W1328" t="inlineStr">
        <is>
          <t>1991-06-25</t>
        </is>
      </c>
      <c r="X1328" t="inlineStr">
        <is>
          <t>1991-06-25</t>
        </is>
      </c>
      <c r="Y1328" t="n">
        <v>397</v>
      </c>
      <c r="Z1328" t="n">
        <v>343</v>
      </c>
      <c r="AA1328" t="n">
        <v>354</v>
      </c>
      <c r="AB1328" t="n">
        <v>6</v>
      </c>
      <c r="AC1328" t="n">
        <v>6</v>
      </c>
      <c r="AD1328" t="n">
        <v>36</v>
      </c>
      <c r="AE1328" t="n">
        <v>36</v>
      </c>
      <c r="AF1328" t="n">
        <v>11</v>
      </c>
      <c r="AG1328" t="n">
        <v>11</v>
      </c>
      <c r="AH1328" t="n">
        <v>7</v>
      </c>
      <c r="AI1328" t="n">
        <v>7</v>
      </c>
      <c r="AJ1328" t="n">
        <v>27</v>
      </c>
      <c r="AK1328" t="n">
        <v>27</v>
      </c>
      <c r="AL1328" t="n">
        <v>4</v>
      </c>
      <c r="AM1328" t="n">
        <v>4</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HYPERLINK("https://creighton-primo.hosted.exlibrisgroup.com/primo-explore/search?tab=default_tab&amp;search_scope=EVERYTHING&amp;vid=01CRU&amp;lang=en_US&amp;offset=0&amp;query=any,contains,991000502269702656","Catalog Record")</f>
        <v/>
      </c>
      <c r="AT1328">
        <f>HYPERLINK("http://www.worldcat.org/oclc/81837","WorldCat Record")</f>
        <v/>
      </c>
      <c r="AU1328" t="inlineStr">
        <is>
          <t>1266259:eng</t>
        </is>
      </c>
      <c r="AV1328" t="inlineStr">
        <is>
          <t>81837</t>
        </is>
      </c>
      <c r="AW1328" t="inlineStr">
        <is>
          <t>991000502269702656</t>
        </is>
      </c>
      <c r="AX1328" t="inlineStr">
        <is>
          <t>991000502269702656</t>
        </is>
      </c>
      <c r="AY1328" t="inlineStr">
        <is>
          <t>2272114320002656</t>
        </is>
      </c>
      <c r="AZ1328" t="inlineStr">
        <is>
          <t>BOOK</t>
        </is>
      </c>
      <c r="BC1328" t="inlineStr">
        <is>
          <t>32285000689488</t>
        </is>
      </c>
      <c r="BD1328" t="inlineStr">
        <is>
          <t>893515322</t>
        </is>
      </c>
    </row>
    <row r="1329">
      <c r="A1329" t="inlineStr">
        <is>
          <t>No</t>
        </is>
      </c>
      <c r="B1329" t="inlineStr">
        <is>
          <t>BT83.6 .B76</t>
        </is>
      </c>
      <c r="C1329" t="inlineStr">
        <is>
          <t>0                      BT 0083600B  76</t>
        </is>
      </c>
      <c r="D1329" t="inlineStr">
        <is>
          <t>Process philosophy and Christian thought / edited by Delwin Brown, Ralph E. James, Jr. [and] Gene Reeves.</t>
        </is>
      </c>
      <c r="F1329" t="inlineStr">
        <is>
          <t>No</t>
        </is>
      </c>
      <c r="G1329" t="inlineStr">
        <is>
          <t>1</t>
        </is>
      </c>
      <c r="H1329" t="inlineStr">
        <is>
          <t>No</t>
        </is>
      </c>
      <c r="I1329" t="inlineStr">
        <is>
          <t>No</t>
        </is>
      </c>
      <c r="J1329" t="inlineStr">
        <is>
          <t>0</t>
        </is>
      </c>
      <c r="K1329" t="inlineStr">
        <is>
          <t>Brown, Delwin, 1935-, compiler.</t>
        </is>
      </c>
      <c r="L1329" t="inlineStr">
        <is>
          <t>Indianapolis, Bobbs-Merrill [1971]</t>
        </is>
      </c>
      <c r="M1329" t="inlineStr">
        <is>
          <t>1971</t>
        </is>
      </c>
      <c r="O1329" t="inlineStr">
        <is>
          <t>eng</t>
        </is>
      </c>
      <c r="P1329" t="inlineStr">
        <is>
          <t>inu</t>
        </is>
      </c>
      <c r="R1329" t="inlineStr">
        <is>
          <t xml:space="preserve">BT </t>
        </is>
      </c>
      <c r="S1329" t="n">
        <v>2</v>
      </c>
      <c r="T1329" t="n">
        <v>2</v>
      </c>
      <c r="U1329" t="inlineStr">
        <is>
          <t>2004-11-20</t>
        </is>
      </c>
      <c r="V1329" t="inlineStr">
        <is>
          <t>2004-11-20</t>
        </is>
      </c>
      <c r="W1329" t="inlineStr">
        <is>
          <t>1991-06-25</t>
        </is>
      </c>
      <c r="X1329" t="inlineStr">
        <is>
          <t>1991-06-25</t>
        </is>
      </c>
      <c r="Y1329" t="n">
        <v>687</v>
      </c>
      <c r="Z1329" t="n">
        <v>597</v>
      </c>
      <c r="AA1329" t="n">
        <v>607</v>
      </c>
      <c r="AB1329" t="n">
        <v>7</v>
      </c>
      <c r="AC1329" t="n">
        <v>7</v>
      </c>
      <c r="AD1329" t="n">
        <v>39</v>
      </c>
      <c r="AE1329" t="n">
        <v>39</v>
      </c>
      <c r="AF1329" t="n">
        <v>13</v>
      </c>
      <c r="AG1329" t="n">
        <v>13</v>
      </c>
      <c r="AH1329" t="n">
        <v>9</v>
      </c>
      <c r="AI1329" t="n">
        <v>9</v>
      </c>
      <c r="AJ1329" t="n">
        <v>25</v>
      </c>
      <c r="AK1329" t="n">
        <v>25</v>
      </c>
      <c r="AL1329" t="n">
        <v>5</v>
      </c>
      <c r="AM1329" t="n">
        <v>5</v>
      </c>
      <c r="AN1329" t="n">
        <v>0</v>
      </c>
      <c r="AO1329" t="n">
        <v>0</v>
      </c>
      <c r="AP1329" t="inlineStr">
        <is>
          <t>No</t>
        </is>
      </c>
      <c r="AQ1329" t="inlineStr">
        <is>
          <t>Yes</t>
        </is>
      </c>
      <c r="AR1329">
        <f>HYPERLINK("http://catalog.hathitrust.org/Record/000181175","HathiTrust Record")</f>
        <v/>
      </c>
      <c r="AS1329">
        <f>HYPERLINK("https://creighton-primo.hosted.exlibrisgroup.com/primo-explore/search?tab=default_tab&amp;search_scope=EVERYTHING&amp;vid=01CRU&amp;lang=en_US&amp;offset=0&amp;query=any,contains,991000782609702656","Catalog Record")</f>
        <v/>
      </c>
      <c r="AT1329">
        <f>HYPERLINK("http://www.worldcat.org/oclc/135544","WorldCat Record")</f>
        <v/>
      </c>
      <c r="AU1329" t="inlineStr">
        <is>
          <t>1283312:eng</t>
        </is>
      </c>
      <c r="AV1329" t="inlineStr">
        <is>
          <t>135544</t>
        </is>
      </c>
      <c r="AW1329" t="inlineStr">
        <is>
          <t>991000782609702656</t>
        </is>
      </c>
      <c r="AX1329" t="inlineStr">
        <is>
          <t>991000782609702656</t>
        </is>
      </c>
      <c r="AY1329" t="inlineStr">
        <is>
          <t>2263435800002656</t>
        </is>
      </c>
      <c r="AZ1329" t="inlineStr">
        <is>
          <t>BOOK</t>
        </is>
      </c>
      <c r="BC1329" t="inlineStr">
        <is>
          <t>32285000689496</t>
        </is>
      </c>
      <c r="BD1329" t="inlineStr">
        <is>
          <t>893595876</t>
        </is>
      </c>
    </row>
    <row r="1330">
      <c r="A1330" t="inlineStr">
        <is>
          <t>No</t>
        </is>
      </c>
      <c r="B1330" t="inlineStr">
        <is>
          <t>BT83.6 .L43</t>
        </is>
      </c>
      <c r="C1330" t="inlineStr">
        <is>
          <t>0                      BT 0083600L  43</t>
        </is>
      </c>
      <c r="D1330" t="inlineStr">
        <is>
          <t>The becoming of the Church; a process theology of the structures of Christian experience / by Bernard Lee.</t>
        </is>
      </c>
      <c r="F1330" t="inlineStr">
        <is>
          <t>No</t>
        </is>
      </c>
      <c r="G1330" t="inlineStr">
        <is>
          <t>1</t>
        </is>
      </c>
      <c r="H1330" t="inlineStr">
        <is>
          <t>No</t>
        </is>
      </c>
      <c r="I1330" t="inlineStr">
        <is>
          <t>No</t>
        </is>
      </c>
      <c r="J1330" t="inlineStr">
        <is>
          <t>0</t>
        </is>
      </c>
      <c r="K1330" t="inlineStr">
        <is>
          <t>Lee, Bernard J., 1932-</t>
        </is>
      </c>
      <c r="L1330" t="inlineStr">
        <is>
          <t>New York, Paulist Press [1974]</t>
        </is>
      </c>
      <c r="M1330" t="inlineStr">
        <is>
          <t>1974</t>
        </is>
      </c>
      <c r="O1330" t="inlineStr">
        <is>
          <t>eng</t>
        </is>
      </c>
      <c r="P1330" t="inlineStr">
        <is>
          <t>nyu</t>
        </is>
      </c>
      <c r="R1330" t="inlineStr">
        <is>
          <t xml:space="preserve">BT </t>
        </is>
      </c>
      <c r="S1330" t="n">
        <v>1</v>
      </c>
      <c r="T1330" t="n">
        <v>1</v>
      </c>
      <c r="U1330" t="inlineStr">
        <is>
          <t>2009-03-16</t>
        </is>
      </c>
      <c r="V1330" t="inlineStr">
        <is>
          <t>2009-03-16</t>
        </is>
      </c>
      <c r="W1330" t="inlineStr">
        <is>
          <t>1991-06-25</t>
        </is>
      </c>
      <c r="X1330" t="inlineStr">
        <is>
          <t>1991-06-25</t>
        </is>
      </c>
      <c r="Y1330" t="n">
        <v>339</v>
      </c>
      <c r="Z1330" t="n">
        <v>290</v>
      </c>
      <c r="AA1330" t="n">
        <v>295</v>
      </c>
      <c r="AB1330" t="n">
        <v>5</v>
      </c>
      <c r="AC1330" t="n">
        <v>5</v>
      </c>
      <c r="AD1330" t="n">
        <v>35</v>
      </c>
      <c r="AE1330" t="n">
        <v>35</v>
      </c>
      <c r="AF1330" t="n">
        <v>13</v>
      </c>
      <c r="AG1330" t="n">
        <v>13</v>
      </c>
      <c r="AH1330" t="n">
        <v>7</v>
      </c>
      <c r="AI1330" t="n">
        <v>7</v>
      </c>
      <c r="AJ1330" t="n">
        <v>22</v>
      </c>
      <c r="AK1330" t="n">
        <v>22</v>
      </c>
      <c r="AL1330" t="n">
        <v>3</v>
      </c>
      <c r="AM1330" t="n">
        <v>3</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HYPERLINK("https://creighton-primo.hosted.exlibrisgroup.com/primo-explore/search?tab=default_tab&amp;search_scope=EVERYTHING&amp;vid=01CRU&amp;lang=en_US&amp;offset=0&amp;query=any,contains,991003345259702656","Catalog Record")</f>
        <v/>
      </c>
      <c r="AT1330">
        <f>HYPERLINK("http://www.worldcat.org/oclc/876902","WorldCat Record")</f>
        <v/>
      </c>
      <c r="AU1330" t="inlineStr">
        <is>
          <t>1042374797:eng</t>
        </is>
      </c>
      <c r="AV1330" t="inlineStr">
        <is>
          <t>876902</t>
        </is>
      </c>
      <c r="AW1330" t="inlineStr">
        <is>
          <t>991003345259702656</t>
        </is>
      </c>
      <c r="AX1330" t="inlineStr">
        <is>
          <t>991003345259702656</t>
        </is>
      </c>
      <c r="AY1330" t="inlineStr">
        <is>
          <t>2263868690002656</t>
        </is>
      </c>
      <c r="AZ1330" t="inlineStr">
        <is>
          <t>BOOK</t>
        </is>
      </c>
      <c r="BB1330" t="inlineStr">
        <is>
          <t>9780809118168</t>
        </is>
      </c>
      <c r="BC1330" t="inlineStr">
        <is>
          <t>32285000689546</t>
        </is>
      </c>
      <c r="BD1330" t="inlineStr">
        <is>
          <t>893904344</t>
        </is>
      </c>
    </row>
    <row r="1331">
      <c r="A1331" t="inlineStr">
        <is>
          <t>No</t>
        </is>
      </c>
      <c r="B1331" t="inlineStr">
        <is>
          <t>BT83.6 .P57</t>
        </is>
      </c>
      <c r="C1331" t="inlineStr">
        <is>
          <t>0                      BT 0083600P  57</t>
        </is>
      </c>
      <c r="D1331" t="inlineStr">
        <is>
          <t>The lure of divine love : human experience and Christian faith in a process perspective / Norman Pittenger.</t>
        </is>
      </c>
      <c r="F1331" t="inlineStr">
        <is>
          <t>No</t>
        </is>
      </c>
      <c r="G1331" t="inlineStr">
        <is>
          <t>1</t>
        </is>
      </c>
      <c r="H1331" t="inlineStr">
        <is>
          <t>No</t>
        </is>
      </c>
      <c r="I1331" t="inlineStr">
        <is>
          <t>No</t>
        </is>
      </c>
      <c r="J1331" t="inlineStr">
        <is>
          <t>0</t>
        </is>
      </c>
      <c r="K1331" t="inlineStr">
        <is>
          <t>Pittenger, W. Norman (William Norman), 1905-1997.</t>
        </is>
      </c>
      <c r="L1331" t="inlineStr">
        <is>
          <t>New York : Pilgrim Press, c1979.</t>
        </is>
      </c>
      <c r="M1331" t="inlineStr">
        <is>
          <t>1979</t>
        </is>
      </c>
      <c r="O1331" t="inlineStr">
        <is>
          <t>eng</t>
        </is>
      </c>
      <c r="P1331" t="inlineStr">
        <is>
          <t>nyu</t>
        </is>
      </c>
      <c r="R1331" t="inlineStr">
        <is>
          <t xml:space="preserve">BT </t>
        </is>
      </c>
      <c r="S1331" t="n">
        <v>2</v>
      </c>
      <c r="T1331" t="n">
        <v>2</v>
      </c>
      <c r="U1331" t="inlineStr">
        <is>
          <t>1996-09-16</t>
        </is>
      </c>
      <c r="V1331" t="inlineStr">
        <is>
          <t>1996-09-16</t>
        </is>
      </c>
      <c r="W1331" t="inlineStr">
        <is>
          <t>1991-06-25</t>
        </is>
      </c>
      <c r="X1331" t="inlineStr">
        <is>
          <t>1991-06-25</t>
        </is>
      </c>
      <c r="Y1331" t="n">
        <v>258</v>
      </c>
      <c r="Z1331" t="n">
        <v>194</v>
      </c>
      <c r="AA1331" t="n">
        <v>194</v>
      </c>
      <c r="AB1331" t="n">
        <v>2</v>
      </c>
      <c r="AC1331" t="n">
        <v>2</v>
      </c>
      <c r="AD1331" t="n">
        <v>13</v>
      </c>
      <c r="AE1331" t="n">
        <v>13</v>
      </c>
      <c r="AF1331" t="n">
        <v>4</v>
      </c>
      <c r="AG1331" t="n">
        <v>4</v>
      </c>
      <c r="AH1331" t="n">
        <v>5</v>
      </c>
      <c r="AI1331" t="n">
        <v>5</v>
      </c>
      <c r="AJ1331" t="n">
        <v>8</v>
      </c>
      <c r="AK1331" t="n">
        <v>8</v>
      </c>
      <c r="AL1331" t="n">
        <v>0</v>
      </c>
      <c r="AM1331" t="n">
        <v>0</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HYPERLINK("https://creighton-primo.hosted.exlibrisgroup.com/primo-explore/search?tab=default_tab&amp;search_scope=EVERYTHING&amp;vid=01CRU&amp;lang=en_US&amp;offset=0&amp;query=any,contains,991004854439702656","Catalog Record")</f>
        <v/>
      </c>
      <c r="AT1331">
        <f>HYPERLINK("http://www.worldcat.org/oclc/5662955","WorldCat Record")</f>
        <v/>
      </c>
      <c r="AU1331" t="inlineStr">
        <is>
          <t>1102825360:eng</t>
        </is>
      </c>
      <c r="AV1331" t="inlineStr">
        <is>
          <t>5662955</t>
        </is>
      </c>
      <c r="AW1331" t="inlineStr">
        <is>
          <t>991004854439702656</t>
        </is>
      </c>
      <c r="AX1331" t="inlineStr">
        <is>
          <t>991004854439702656</t>
        </is>
      </c>
      <c r="AY1331" t="inlineStr">
        <is>
          <t>2260324510002656</t>
        </is>
      </c>
      <c r="AZ1331" t="inlineStr">
        <is>
          <t>BOOK</t>
        </is>
      </c>
      <c r="BB1331" t="inlineStr">
        <is>
          <t>9780829803709</t>
        </is>
      </c>
      <c r="BC1331" t="inlineStr">
        <is>
          <t>32285000689561</t>
        </is>
      </c>
      <c r="BD1331" t="inlineStr">
        <is>
          <t>893619157</t>
        </is>
      </c>
    </row>
    <row r="1332">
      <c r="A1332" t="inlineStr">
        <is>
          <t>No</t>
        </is>
      </c>
      <c r="B1332" t="inlineStr">
        <is>
          <t>BT83.6 .R4</t>
        </is>
      </c>
      <c r="C1332" t="inlineStr">
        <is>
          <t>0                      BT 0083600R  4</t>
        </is>
      </c>
      <c r="D1332" t="inlineStr">
        <is>
          <t>Religious experience and process theology : the pastoral implications of a major modern movement / edited by Harry James Cargas and Bernard Lee.</t>
        </is>
      </c>
      <c r="F1332" t="inlineStr">
        <is>
          <t>No</t>
        </is>
      </c>
      <c r="G1332" t="inlineStr">
        <is>
          <t>1</t>
        </is>
      </c>
      <c r="H1332" t="inlineStr">
        <is>
          <t>No</t>
        </is>
      </c>
      <c r="I1332" t="inlineStr">
        <is>
          <t>No</t>
        </is>
      </c>
      <c r="J1332" t="inlineStr">
        <is>
          <t>0</t>
        </is>
      </c>
      <c r="L1332" t="inlineStr">
        <is>
          <t>New York : Paulist Press, c1976.</t>
        </is>
      </c>
      <c r="M1332" t="inlineStr">
        <is>
          <t>1976</t>
        </is>
      </c>
      <c r="O1332" t="inlineStr">
        <is>
          <t>eng</t>
        </is>
      </c>
      <c r="P1332" t="inlineStr">
        <is>
          <t>nyu</t>
        </is>
      </c>
      <c r="R1332" t="inlineStr">
        <is>
          <t xml:space="preserve">BT </t>
        </is>
      </c>
      <c r="S1332" t="n">
        <v>1</v>
      </c>
      <c r="T1332" t="n">
        <v>1</v>
      </c>
      <c r="U1332" t="inlineStr">
        <is>
          <t>1993-05-25</t>
        </is>
      </c>
      <c r="V1332" t="inlineStr">
        <is>
          <t>1993-05-25</t>
        </is>
      </c>
      <c r="W1332" t="inlineStr">
        <is>
          <t>1991-06-25</t>
        </is>
      </c>
      <c r="X1332" t="inlineStr">
        <is>
          <t>1991-06-25</t>
        </is>
      </c>
      <c r="Y1332" t="n">
        <v>431</v>
      </c>
      <c r="Z1332" t="n">
        <v>378</v>
      </c>
      <c r="AA1332" t="n">
        <v>380</v>
      </c>
      <c r="AB1332" t="n">
        <v>2</v>
      </c>
      <c r="AC1332" t="n">
        <v>2</v>
      </c>
      <c r="AD1332" t="n">
        <v>29</v>
      </c>
      <c r="AE1332" t="n">
        <v>29</v>
      </c>
      <c r="AF1332" t="n">
        <v>13</v>
      </c>
      <c r="AG1332" t="n">
        <v>13</v>
      </c>
      <c r="AH1332" t="n">
        <v>7</v>
      </c>
      <c r="AI1332" t="n">
        <v>7</v>
      </c>
      <c r="AJ1332" t="n">
        <v>21</v>
      </c>
      <c r="AK1332" t="n">
        <v>21</v>
      </c>
      <c r="AL1332" t="n">
        <v>1</v>
      </c>
      <c r="AM1332" t="n">
        <v>1</v>
      </c>
      <c r="AN1332" t="n">
        <v>0</v>
      </c>
      <c r="AO1332" t="n">
        <v>0</v>
      </c>
      <c r="AP1332" t="inlineStr">
        <is>
          <t>No</t>
        </is>
      </c>
      <c r="AQ1332" t="inlineStr">
        <is>
          <t>Yes</t>
        </is>
      </c>
      <c r="AR1332">
        <f>HYPERLINK("http://catalog.hathitrust.org/Record/009801610","HathiTrust Record")</f>
        <v/>
      </c>
      <c r="AS1332">
        <f>HYPERLINK("https://creighton-primo.hosted.exlibrisgroup.com/primo-explore/search?tab=default_tab&amp;search_scope=EVERYTHING&amp;vid=01CRU&amp;lang=en_US&amp;offset=0&amp;query=any,contains,991004051149702656","Catalog Record")</f>
        <v/>
      </c>
      <c r="AT1332">
        <f>HYPERLINK("http://www.worldcat.org/oclc/2212913","WorldCat Record")</f>
        <v/>
      </c>
      <c r="AU1332" t="inlineStr">
        <is>
          <t>891864087:eng</t>
        </is>
      </c>
      <c r="AV1332" t="inlineStr">
        <is>
          <t>2212913</t>
        </is>
      </c>
      <c r="AW1332" t="inlineStr">
        <is>
          <t>991004051149702656</t>
        </is>
      </c>
      <c r="AX1332" t="inlineStr">
        <is>
          <t>991004051149702656</t>
        </is>
      </c>
      <c r="AY1332" t="inlineStr">
        <is>
          <t>2255642850002656</t>
        </is>
      </c>
      <c r="AZ1332" t="inlineStr">
        <is>
          <t>BOOK</t>
        </is>
      </c>
      <c r="BB1332" t="inlineStr">
        <is>
          <t>9780809119349</t>
        </is>
      </c>
      <c r="BC1332" t="inlineStr">
        <is>
          <t>32285000689579</t>
        </is>
      </c>
      <c r="BD1332" t="inlineStr">
        <is>
          <t>893500046</t>
        </is>
      </c>
    </row>
    <row r="1333">
      <c r="A1333" t="inlineStr">
        <is>
          <t>No</t>
        </is>
      </c>
      <c r="B1333" t="inlineStr">
        <is>
          <t>BT83.6 .S93 1982</t>
        </is>
      </c>
      <c r="C1333" t="inlineStr">
        <is>
          <t>0                      BT 0083600S  93          1982</t>
        </is>
      </c>
      <c r="D1333" t="inlineStr">
        <is>
          <t>God, Christ, Church : a practical guide to process theology / Marjorie Hewitt Suchocki.</t>
        </is>
      </c>
      <c r="F1333" t="inlineStr">
        <is>
          <t>No</t>
        </is>
      </c>
      <c r="G1333" t="inlineStr">
        <is>
          <t>1</t>
        </is>
      </c>
      <c r="H1333" t="inlineStr">
        <is>
          <t>No</t>
        </is>
      </c>
      <c r="I1333" t="inlineStr">
        <is>
          <t>No</t>
        </is>
      </c>
      <c r="J1333" t="inlineStr">
        <is>
          <t>0</t>
        </is>
      </c>
      <c r="K1333" t="inlineStr">
        <is>
          <t>Suchocki, Marjorie.</t>
        </is>
      </c>
      <c r="L1333" t="inlineStr">
        <is>
          <t>New York : Crossroad, 1982.</t>
        </is>
      </c>
      <c r="M1333" t="inlineStr">
        <is>
          <t>1982</t>
        </is>
      </c>
      <c r="O1333" t="inlineStr">
        <is>
          <t>eng</t>
        </is>
      </c>
      <c r="P1333" t="inlineStr">
        <is>
          <t>nyu</t>
        </is>
      </c>
      <c r="R1333" t="inlineStr">
        <is>
          <t xml:space="preserve">BT </t>
        </is>
      </c>
      <c r="S1333" t="n">
        <v>7</v>
      </c>
      <c r="T1333" t="n">
        <v>7</v>
      </c>
      <c r="U1333" t="inlineStr">
        <is>
          <t>2008-11-29</t>
        </is>
      </c>
      <c r="V1333" t="inlineStr">
        <is>
          <t>2008-11-29</t>
        </is>
      </c>
      <c r="W1333" t="inlineStr">
        <is>
          <t>1991-07-16</t>
        </is>
      </c>
      <c r="X1333" t="inlineStr">
        <is>
          <t>1991-07-16</t>
        </is>
      </c>
      <c r="Y1333" t="n">
        <v>358</v>
      </c>
      <c r="Z1333" t="n">
        <v>321</v>
      </c>
      <c r="AA1333" t="n">
        <v>449</v>
      </c>
      <c r="AB1333" t="n">
        <v>6</v>
      </c>
      <c r="AC1333" t="n">
        <v>8</v>
      </c>
      <c r="AD1333" t="n">
        <v>25</v>
      </c>
      <c r="AE1333" t="n">
        <v>33</v>
      </c>
      <c r="AF1333" t="n">
        <v>8</v>
      </c>
      <c r="AG1333" t="n">
        <v>11</v>
      </c>
      <c r="AH1333" t="n">
        <v>3</v>
      </c>
      <c r="AI1333" t="n">
        <v>5</v>
      </c>
      <c r="AJ1333" t="n">
        <v>18</v>
      </c>
      <c r="AK1333" t="n">
        <v>20</v>
      </c>
      <c r="AL1333" t="n">
        <v>4</v>
      </c>
      <c r="AM1333" t="n">
        <v>6</v>
      </c>
      <c r="AN1333" t="n">
        <v>0</v>
      </c>
      <c r="AO1333" t="n">
        <v>0</v>
      </c>
      <c r="AP1333" t="inlineStr">
        <is>
          <t>No</t>
        </is>
      </c>
      <c r="AQ1333" t="inlineStr">
        <is>
          <t>Yes</t>
        </is>
      </c>
      <c r="AR1333">
        <f>HYPERLINK("http://catalog.hathitrust.org/Record/000111062","HathiTrust Record")</f>
        <v/>
      </c>
      <c r="AS1333">
        <f>HYPERLINK("https://creighton-primo.hosted.exlibrisgroup.com/primo-explore/search?tab=default_tab&amp;search_scope=EVERYTHING&amp;vid=01CRU&amp;lang=en_US&amp;offset=0&amp;query=any,contains,991005208289702656","Catalog Record")</f>
        <v/>
      </c>
      <c r="AT1333">
        <f>HYPERLINK("http://www.worldcat.org/oclc/8133261","WorldCat Record")</f>
        <v/>
      </c>
      <c r="AU1333" t="inlineStr">
        <is>
          <t>21279625:eng</t>
        </is>
      </c>
      <c r="AV1333" t="inlineStr">
        <is>
          <t>8133261</t>
        </is>
      </c>
      <c r="AW1333" t="inlineStr">
        <is>
          <t>991005208289702656</t>
        </is>
      </c>
      <c r="AX1333" t="inlineStr">
        <is>
          <t>991005208289702656</t>
        </is>
      </c>
      <c r="AY1333" t="inlineStr">
        <is>
          <t>2265425840002656</t>
        </is>
      </c>
      <c r="AZ1333" t="inlineStr">
        <is>
          <t>BOOK</t>
        </is>
      </c>
      <c r="BB1333" t="inlineStr">
        <is>
          <t>9780824504649</t>
        </is>
      </c>
      <c r="BC1333" t="inlineStr">
        <is>
          <t>32285000691807</t>
        </is>
      </c>
      <c r="BD1333" t="inlineStr">
        <is>
          <t>893694915</t>
        </is>
      </c>
    </row>
    <row r="1334">
      <c r="A1334" t="inlineStr">
        <is>
          <t>No</t>
        </is>
      </c>
      <c r="B1334" t="inlineStr">
        <is>
          <t>BT83.6 .T74 1985</t>
        </is>
      </c>
      <c r="C1334" t="inlineStr">
        <is>
          <t>0                      BT 0083600T  74          1985</t>
        </is>
      </c>
      <c r="D1334" t="inlineStr">
        <is>
          <t>Process theology and the Christian tradition : an essay in post Vatican II thinking / Illtyd Trethowan.</t>
        </is>
      </c>
      <c r="F1334" t="inlineStr">
        <is>
          <t>No</t>
        </is>
      </c>
      <c r="G1334" t="inlineStr">
        <is>
          <t>1</t>
        </is>
      </c>
      <c r="H1334" t="inlineStr">
        <is>
          <t>No</t>
        </is>
      </c>
      <c r="I1334" t="inlineStr">
        <is>
          <t>No</t>
        </is>
      </c>
      <c r="J1334" t="inlineStr">
        <is>
          <t>0</t>
        </is>
      </c>
      <c r="K1334" t="inlineStr">
        <is>
          <t>Trethowan, Illtyd, 1907-1993.</t>
        </is>
      </c>
      <c r="L1334" t="inlineStr">
        <is>
          <t>Still River, Mass. : St. Bede's Publications, c1985.</t>
        </is>
      </c>
      <c r="M1334" t="inlineStr">
        <is>
          <t>1985</t>
        </is>
      </c>
      <c r="O1334" t="inlineStr">
        <is>
          <t>eng</t>
        </is>
      </c>
      <c r="P1334" t="inlineStr">
        <is>
          <t>mau</t>
        </is>
      </c>
      <c r="Q1334" t="inlineStr">
        <is>
          <t>Studies in historical theology ; v. 5</t>
        </is>
      </c>
      <c r="R1334" t="inlineStr">
        <is>
          <t xml:space="preserve">BT </t>
        </is>
      </c>
      <c r="S1334" t="n">
        <v>3</v>
      </c>
      <c r="T1334" t="n">
        <v>3</v>
      </c>
      <c r="U1334" t="inlineStr">
        <is>
          <t>2010-04-07</t>
        </is>
      </c>
      <c r="V1334" t="inlineStr">
        <is>
          <t>2010-04-07</t>
        </is>
      </c>
      <c r="W1334" t="inlineStr">
        <is>
          <t>1990-01-15</t>
        </is>
      </c>
      <c r="X1334" t="inlineStr">
        <is>
          <t>1990-01-15</t>
        </is>
      </c>
      <c r="Y1334" t="n">
        <v>216</v>
      </c>
      <c r="Z1334" t="n">
        <v>185</v>
      </c>
      <c r="AA1334" t="n">
        <v>185</v>
      </c>
      <c r="AB1334" t="n">
        <v>2</v>
      </c>
      <c r="AC1334" t="n">
        <v>2</v>
      </c>
      <c r="AD1334" t="n">
        <v>17</v>
      </c>
      <c r="AE1334" t="n">
        <v>17</v>
      </c>
      <c r="AF1334" t="n">
        <v>4</v>
      </c>
      <c r="AG1334" t="n">
        <v>4</v>
      </c>
      <c r="AH1334" t="n">
        <v>5</v>
      </c>
      <c r="AI1334" t="n">
        <v>5</v>
      </c>
      <c r="AJ1334" t="n">
        <v>14</v>
      </c>
      <c r="AK1334" t="n">
        <v>14</v>
      </c>
      <c r="AL1334" t="n">
        <v>0</v>
      </c>
      <c r="AM1334" t="n">
        <v>0</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HYPERLINK("https://creighton-primo.hosted.exlibrisgroup.com/primo-explore/search?tab=default_tab&amp;search_scope=EVERYTHING&amp;vid=01CRU&amp;lang=en_US&amp;offset=0&amp;query=any,contains,991000542809702656","Catalog Record")</f>
        <v/>
      </c>
      <c r="AT1334">
        <f>HYPERLINK("http://www.worldcat.org/oclc/11497320","WorldCat Record")</f>
        <v/>
      </c>
      <c r="AU1334" t="inlineStr">
        <is>
          <t>4247268:eng</t>
        </is>
      </c>
      <c r="AV1334" t="inlineStr">
        <is>
          <t>11497320</t>
        </is>
      </c>
      <c r="AW1334" t="inlineStr">
        <is>
          <t>991000542809702656</t>
        </is>
      </c>
      <c r="AX1334" t="inlineStr">
        <is>
          <t>991000542809702656</t>
        </is>
      </c>
      <c r="AY1334" t="inlineStr">
        <is>
          <t>2265539920002656</t>
        </is>
      </c>
      <c r="AZ1334" t="inlineStr">
        <is>
          <t>BOOK</t>
        </is>
      </c>
      <c r="BB1334" t="inlineStr">
        <is>
          <t>9780932506368</t>
        </is>
      </c>
      <c r="BC1334" t="inlineStr">
        <is>
          <t>32285000028182</t>
        </is>
      </c>
      <c r="BD1334" t="inlineStr">
        <is>
          <t>893626357</t>
        </is>
      </c>
    </row>
    <row r="1335">
      <c r="A1335" t="inlineStr">
        <is>
          <t>No</t>
        </is>
      </c>
      <c r="B1335" t="inlineStr">
        <is>
          <t>BT83.7 .A95 1982</t>
        </is>
      </c>
      <c r="C1335" t="inlineStr">
        <is>
          <t>0                      BT 0083700A  95          1982</t>
        </is>
      </c>
      <c r="D1335" t="inlineStr">
        <is>
          <t>The polite escape : on the myth of secularization / Harry J. Ausmus.</t>
        </is>
      </c>
      <c r="F1335" t="inlineStr">
        <is>
          <t>No</t>
        </is>
      </c>
      <c r="G1335" t="inlineStr">
        <is>
          <t>1</t>
        </is>
      </c>
      <c r="H1335" t="inlineStr">
        <is>
          <t>No</t>
        </is>
      </c>
      <c r="I1335" t="inlineStr">
        <is>
          <t>No</t>
        </is>
      </c>
      <c r="J1335" t="inlineStr">
        <is>
          <t>0</t>
        </is>
      </c>
      <c r="K1335" t="inlineStr">
        <is>
          <t>Ausmus, Harry J., 1937-</t>
        </is>
      </c>
      <c r="L1335" t="inlineStr">
        <is>
          <t>Athens : Ohio University Press, c1982.</t>
        </is>
      </c>
      <c r="M1335" t="inlineStr">
        <is>
          <t>1982</t>
        </is>
      </c>
      <c r="O1335" t="inlineStr">
        <is>
          <t>eng</t>
        </is>
      </c>
      <c r="P1335" t="inlineStr">
        <is>
          <t>ohu</t>
        </is>
      </c>
      <c r="R1335" t="inlineStr">
        <is>
          <t xml:space="preserve">BT </t>
        </is>
      </c>
      <c r="S1335" t="n">
        <v>2</v>
      </c>
      <c r="T1335" t="n">
        <v>2</v>
      </c>
      <c r="U1335" t="inlineStr">
        <is>
          <t>1996-11-06</t>
        </is>
      </c>
      <c r="V1335" t="inlineStr">
        <is>
          <t>1996-11-06</t>
        </is>
      </c>
      <c r="W1335" t="inlineStr">
        <is>
          <t>1991-06-25</t>
        </is>
      </c>
      <c r="X1335" t="inlineStr">
        <is>
          <t>1991-06-25</t>
        </is>
      </c>
      <c r="Y1335" t="n">
        <v>306</v>
      </c>
      <c r="Z1335" t="n">
        <v>271</v>
      </c>
      <c r="AA1335" t="n">
        <v>273</v>
      </c>
      <c r="AB1335" t="n">
        <v>5</v>
      </c>
      <c r="AC1335" t="n">
        <v>5</v>
      </c>
      <c r="AD1335" t="n">
        <v>19</v>
      </c>
      <c r="AE1335" t="n">
        <v>19</v>
      </c>
      <c r="AF1335" t="n">
        <v>5</v>
      </c>
      <c r="AG1335" t="n">
        <v>5</v>
      </c>
      <c r="AH1335" t="n">
        <v>4</v>
      </c>
      <c r="AI1335" t="n">
        <v>4</v>
      </c>
      <c r="AJ1335" t="n">
        <v>11</v>
      </c>
      <c r="AK1335" t="n">
        <v>11</v>
      </c>
      <c r="AL1335" t="n">
        <v>4</v>
      </c>
      <c r="AM1335" t="n">
        <v>4</v>
      </c>
      <c r="AN1335" t="n">
        <v>0</v>
      </c>
      <c r="AO1335" t="n">
        <v>0</v>
      </c>
      <c r="AP1335" t="inlineStr">
        <is>
          <t>No</t>
        </is>
      </c>
      <c r="AQ1335" t="inlineStr">
        <is>
          <t>Yes</t>
        </is>
      </c>
      <c r="AR1335">
        <f>HYPERLINK("http://catalog.hathitrust.org/Record/000763128","HathiTrust Record")</f>
        <v/>
      </c>
      <c r="AS1335">
        <f>HYPERLINK("https://creighton-primo.hosted.exlibrisgroup.com/primo-explore/search?tab=default_tab&amp;search_scope=EVERYTHING&amp;vid=01CRU&amp;lang=en_US&amp;offset=0&amp;query=any,contains,991005186229702656","Catalog Record")</f>
        <v/>
      </c>
      <c r="AT1335">
        <f>HYPERLINK("http://www.worldcat.org/oclc/7976206","WorldCat Record")</f>
        <v/>
      </c>
      <c r="AU1335" t="inlineStr">
        <is>
          <t>152207658:eng</t>
        </is>
      </c>
      <c r="AV1335" t="inlineStr">
        <is>
          <t>7976206</t>
        </is>
      </c>
      <c r="AW1335" t="inlineStr">
        <is>
          <t>991005186229702656</t>
        </is>
      </c>
      <c r="AX1335" t="inlineStr">
        <is>
          <t>991005186229702656</t>
        </is>
      </c>
      <c r="AY1335" t="inlineStr">
        <is>
          <t>2262101860002656</t>
        </is>
      </c>
      <c r="AZ1335" t="inlineStr">
        <is>
          <t>BOOK</t>
        </is>
      </c>
      <c r="BB1335" t="inlineStr">
        <is>
          <t>9780821406502</t>
        </is>
      </c>
      <c r="BC1335" t="inlineStr">
        <is>
          <t>32285000689603</t>
        </is>
      </c>
      <c r="BD1335" t="inlineStr">
        <is>
          <t>893424700</t>
        </is>
      </c>
    </row>
    <row r="1336">
      <c r="A1336" t="inlineStr">
        <is>
          <t>No</t>
        </is>
      </c>
      <c r="B1336" t="inlineStr">
        <is>
          <t>BT83.7 .L58 1995</t>
        </is>
      </c>
      <c r="C1336" t="inlineStr">
        <is>
          <t>0                      BT 0083700L  58          1995</t>
        </is>
      </c>
      <c r="D1336" t="inlineStr">
        <is>
          <t>The church and the culture war : secular anarchy or sacred order / Joyce A. Little.</t>
        </is>
      </c>
      <c r="F1336" t="inlineStr">
        <is>
          <t>No</t>
        </is>
      </c>
      <c r="G1336" t="inlineStr">
        <is>
          <t>1</t>
        </is>
      </c>
      <c r="H1336" t="inlineStr">
        <is>
          <t>No</t>
        </is>
      </c>
      <c r="I1336" t="inlineStr">
        <is>
          <t>No</t>
        </is>
      </c>
      <c r="J1336" t="inlineStr">
        <is>
          <t>0</t>
        </is>
      </c>
      <c r="K1336" t="inlineStr">
        <is>
          <t>Little, Joyce A.</t>
        </is>
      </c>
      <c r="L1336" t="inlineStr">
        <is>
          <t>San Francisco : Ignatius Press, c1995.</t>
        </is>
      </c>
      <c r="M1336" t="inlineStr">
        <is>
          <t>1995</t>
        </is>
      </c>
      <c r="O1336" t="inlineStr">
        <is>
          <t>eng</t>
        </is>
      </c>
      <c r="P1336" t="inlineStr">
        <is>
          <t>cau</t>
        </is>
      </c>
      <c r="R1336" t="inlineStr">
        <is>
          <t xml:space="preserve">BT </t>
        </is>
      </c>
      <c r="S1336" t="n">
        <v>8</v>
      </c>
      <c r="T1336" t="n">
        <v>8</v>
      </c>
      <c r="U1336" t="inlineStr">
        <is>
          <t>2010-05-17</t>
        </is>
      </c>
      <c r="V1336" t="inlineStr">
        <is>
          <t>2010-05-17</t>
        </is>
      </c>
      <c r="W1336" t="inlineStr">
        <is>
          <t>1996-04-03</t>
        </is>
      </c>
      <c r="X1336" t="inlineStr">
        <is>
          <t>1996-04-03</t>
        </is>
      </c>
      <c r="Y1336" t="n">
        <v>162</v>
      </c>
      <c r="Z1336" t="n">
        <v>144</v>
      </c>
      <c r="AA1336" t="n">
        <v>145</v>
      </c>
      <c r="AB1336" t="n">
        <v>3</v>
      </c>
      <c r="AC1336" t="n">
        <v>3</v>
      </c>
      <c r="AD1336" t="n">
        <v>14</v>
      </c>
      <c r="AE1336" t="n">
        <v>14</v>
      </c>
      <c r="AF1336" t="n">
        <v>2</v>
      </c>
      <c r="AG1336" t="n">
        <v>2</v>
      </c>
      <c r="AH1336" t="n">
        <v>4</v>
      </c>
      <c r="AI1336" t="n">
        <v>4</v>
      </c>
      <c r="AJ1336" t="n">
        <v>11</v>
      </c>
      <c r="AK1336" t="n">
        <v>11</v>
      </c>
      <c r="AL1336" t="n">
        <v>0</v>
      </c>
      <c r="AM1336" t="n">
        <v>0</v>
      </c>
      <c r="AN1336" t="n">
        <v>0</v>
      </c>
      <c r="AO1336" t="n">
        <v>0</v>
      </c>
      <c r="AP1336" t="inlineStr">
        <is>
          <t>No</t>
        </is>
      </c>
      <c r="AQ1336" t="inlineStr">
        <is>
          <t>Yes</t>
        </is>
      </c>
      <c r="AR1336">
        <f>HYPERLINK("http://catalog.hathitrust.org/Record/007131485","HathiTrust Record")</f>
        <v/>
      </c>
      <c r="AS1336">
        <f>HYPERLINK("https://creighton-primo.hosted.exlibrisgroup.com/primo-explore/search?tab=default_tab&amp;search_scope=EVERYTHING&amp;vid=01CRU&amp;lang=en_US&amp;offset=0&amp;query=any,contains,991002596539702656","Catalog Record")</f>
        <v/>
      </c>
      <c r="AT1336">
        <f>HYPERLINK("http://www.worldcat.org/oclc/34017818","WorldCat Record")</f>
        <v/>
      </c>
      <c r="AU1336" t="inlineStr">
        <is>
          <t>39007647:eng</t>
        </is>
      </c>
      <c r="AV1336" t="inlineStr">
        <is>
          <t>34017818</t>
        </is>
      </c>
      <c r="AW1336" t="inlineStr">
        <is>
          <t>991002596539702656</t>
        </is>
      </c>
      <c r="AX1336" t="inlineStr">
        <is>
          <t>991002596539702656</t>
        </is>
      </c>
      <c r="AY1336" t="inlineStr">
        <is>
          <t>2271591090002656</t>
        </is>
      </c>
      <c r="AZ1336" t="inlineStr">
        <is>
          <t>BOOK</t>
        </is>
      </c>
      <c r="BC1336" t="inlineStr">
        <is>
          <t>32285002149952</t>
        </is>
      </c>
      <c r="BD1336" t="inlineStr">
        <is>
          <t>893685536</t>
        </is>
      </c>
    </row>
    <row r="1337">
      <c r="A1337" t="inlineStr">
        <is>
          <t>No</t>
        </is>
      </c>
      <c r="B1337" t="inlineStr">
        <is>
          <t>BT83.7 .L9</t>
        </is>
      </c>
      <c r="C1337" t="inlineStr">
        <is>
          <t>0                      BT 0083700L  9</t>
        </is>
      </c>
      <c r="D1337" t="inlineStr">
        <is>
          <t>Christ and Prometheus: a new image of the secular / [by] William F. Lynch.</t>
        </is>
      </c>
      <c r="F1337" t="inlineStr">
        <is>
          <t>No</t>
        </is>
      </c>
      <c r="G1337" t="inlineStr">
        <is>
          <t>1</t>
        </is>
      </c>
      <c r="H1337" t="inlineStr">
        <is>
          <t>No</t>
        </is>
      </c>
      <c r="I1337" t="inlineStr">
        <is>
          <t>No</t>
        </is>
      </c>
      <c r="J1337" t="inlineStr">
        <is>
          <t>0</t>
        </is>
      </c>
      <c r="K1337" t="inlineStr">
        <is>
          <t>Lynch, William F., 1908-1987.</t>
        </is>
      </c>
      <c r="L1337" t="inlineStr">
        <is>
          <t>Notre Dame, Ind. : University of Notre Dame Press, 1970.</t>
        </is>
      </c>
      <c r="M1337" t="inlineStr">
        <is>
          <t>1970</t>
        </is>
      </c>
      <c r="O1337" t="inlineStr">
        <is>
          <t>eng</t>
        </is>
      </c>
      <c r="P1337" t="inlineStr">
        <is>
          <t>inu</t>
        </is>
      </c>
      <c r="R1337" t="inlineStr">
        <is>
          <t xml:space="preserve">BT </t>
        </is>
      </c>
      <c r="S1337" t="n">
        <v>3</v>
      </c>
      <c r="T1337" t="n">
        <v>3</v>
      </c>
      <c r="U1337" t="inlineStr">
        <is>
          <t>2004-10-11</t>
        </is>
      </c>
      <c r="V1337" t="inlineStr">
        <is>
          <t>2004-10-11</t>
        </is>
      </c>
      <c r="W1337" t="inlineStr">
        <is>
          <t>1991-06-25</t>
        </is>
      </c>
      <c r="X1337" t="inlineStr">
        <is>
          <t>1991-06-25</t>
        </is>
      </c>
      <c r="Y1337" t="n">
        <v>741</v>
      </c>
      <c r="Z1337" t="n">
        <v>653</v>
      </c>
      <c r="AA1337" t="n">
        <v>664</v>
      </c>
      <c r="AB1337" t="n">
        <v>8</v>
      </c>
      <c r="AC1337" t="n">
        <v>8</v>
      </c>
      <c r="AD1337" t="n">
        <v>41</v>
      </c>
      <c r="AE1337" t="n">
        <v>41</v>
      </c>
      <c r="AF1337" t="n">
        <v>13</v>
      </c>
      <c r="AG1337" t="n">
        <v>13</v>
      </c>
      <c r="AH1337" t="n">
        <v>10</v>
      </c>
      <c r="AI1337" t="n">
        <v>10</v>
      </c>
      <c r="AJ1337" t="n">
        <v>26</v>
      </c>
      <c r="AK1337" t="n">
        <v>26</v>
      </c>
      <c r="AL1337" t="n">
        <v>5</v>
      </c>
      <c r="AM1337" t="n">
        <v>5</v>
      </c>
      <c r="AN1337" t="n">
        <v>0</v>
      </c>
      <c r="AO1337" t="n">
        <v>0</v>
      </c>
      <c r="AP1337" t="inlineStr">
        <is>
          <t>No</t>
        </is>
      </c>
      <c r="AQ1337" t="inlineStr">
        <is>
          <t>Yes</t>
        </is>
      </c>
      <c r="AR1337">
        <f>HYPERLINK("http://catalog.hathitrust.org/Record/001411765","HathiTrust Record")</f>
        <v/>
      </c>
      <c r="AS1337">
        <f>HYPERLINK("https://creighton-primo.hosted.exlibrisgroup.com/primo-explore/search?tab=default_tab&amp;search_scope=EVERYTHING&amp;vid=01CRU&amp;lang=en_US&amp;offset=0&amp;query=any,contains,991000643709702656","Catalog Record")</f>
        <v/>
      </c>
      <c r="AT1337">
        <f>HYPERLINK("http://www.worldcat.org/oclc/110214","WorldCat Record")</f>
        <v/>
      </c>
      <c r="AU1337" t="inlineStr">
        <is>
          <t>430446:eng</t>
        </is>
      </c>
      <c r="AV1337" t="inlineStr">
        <is>
          <t>110214</t>
        </is>
      </c>
      <c r="AW1337" t="inlineStr">
        <is>
          <t>991000643709702656</t>
        </is>
      </c>
      <c r="AX1337" t="inlineStr">
        <is>
          <t>991000643709702656</t>
        </is>
      </c>
      <c r="AY1337" t="inlineStr">
        <is>
          <t>2266804450002656</t>
        </is>
      </c>
      <c r="AZ1337" t="inlineStr">
        <is>
          <t>BOOK</t>
        </is>
      </c>
      <c r="BC1337" t="inlineStr">
        <is>
          <t>32285000689611</t>
        </is>
      </c>
      <c r="BD1337" t="inlineStr">
        <is>
          <t>893521864</t>
        </is>
      </c>
    </row>
    <row r="1338">
      <c r="A1338" t="inlineStr">
        <is>
          <t>No</t>
        </is>
      </c>
      <c r="B1338" t="inlineStr">
        <is>
          <t>BT83.7 .S3</t>
        </is>
      </c>
      <c r="C1338" t="inlineStr">
        <is>
          <t>0                      BT 0083700S  3</t>
        </is>
      </c>
      <c r="D1338" t="inlineStr">
        <is>
          <t>God, the future of man / by E. Schillebeeckx ; translated by N. D. Smith.</t>
        </is>
      </c>
      <c r="F1338" t="inlineStr">
        <is>
          <t>No</t>
        </is>
      </c>
      <c r="G1338" t="inlineStr">
        <is>
          <t>1</t>
        </is>
      </c>
      <c r="H1338" t="inlineStr">
        <is>
          <t>No</t>
        </is>
      </c>
      <c r="I1338" t="inlineStr">
        <is>
          <t>No</t>
        </is>
      </c>
      <c r="J1338" t="inlineStr">
        <is>
          <t>0</t>
        </is>
      </c>
      <c r="K1338" t="inlineStr">
        <is>
          <t>Schillebeeckx, Edward, 1914-2009.</t>
        </is>
      </c>
      <c r="L1338" t="inlineStr">
        <is>
          <t>New York : Sheed and Ward, 1968.</t>
        </is>
      </c>
      <c r="M1338" t="inlineStr">
        <is>
          <t>1968</t>
        </is>
      </c>
      <c r="O1338" t="inlineStr">
        <is>
          <t>eng</t>
        </is>
      </c>
      <c r="P1338" t="inlineStr">
        <is>
          <t>nyu</t>
        </is>
      </c>
      <c r="R1338" t="inlineStr">
        <is>
          <t xml:space="preserve">BT </t>
        </is>
      </c>
      <c r="S1338" t="n">
        <v>1</v>
      </c>
      <c r="T1338" t="n">
        <v>1</v>
      </c>
      <c r="U1338" t="inlineStr">
        <is>
          <t>1994-08-31</t>
        </is>
      </c>
      <c r="V1338" t="inlineStr">
        <is>
          <t>1994-08-31</t>
        </is>
      </c>
      <c r="W1338" t="inlineStr">
        <is>
          <t>1991-06-25</t>
        </is>
      </c>
      <c r="X1338" t="inlineStr">
        <is>
          <t>1991-06-25</t>
        </is>
      </c>
      <c r="Y1338" t="n">
        <v>603</v>
      </c>
      <c r="Z1338" t="n">
        <v>543</v>
      </c>
      <c r="AA1338" t="n">
        <v>579</v>
      </c>
      <c r="AB1338" t="n">
        <v>8</v>
      </c>
      <c r="AC1338" t="n">
        <v>8</v>
      </c>
      <c r="AD1338" t="n">
        <v>46</v>
      </c>
      <c r="AE1338" t="n">
        <v>47</v>
      </c>
      <c r="AF1338" t="n">
        <v>17</v>
      </c>
      <c r="AG1338" t="n">
        <v>18</v>
      </c>
      <c r="AH1338" t="n">
        <v>9</v>
      </c>
      <c r="AI1338" t="n">
        <v>10</v>
      </c>
      <c r="AJ1338" t="n">
        <v>27</v>
      </c>
      <c r="AK1338" t="n">
        <v>27</v>
      </c>
      <c r="AL1338" t="n">
        <v>6</v>
      </c>
      <c r="AM1338" t="n">
        <v>6</v>
      </c>
      <c r="AN1338" t="n">
        <v>0</v>
      </c>
      <c r="AO1338" t="n">
        <v>0</v>
      </c>
      <c r="AP1338" t="inlineStr">
        <is>
          <t>No</t>
        </is>
      </c>
      <c r="AQ1338" t="inlineStr">
        <is>
          <t>Yes</t>
        </is>
      </c>
      <c r="AR1338">
        <f>HYPERLINK("http://catalog.hathitrust.org/Record/001411766","HathiTrust Record")</f>
        <v/>
      </c>
      <c r="AS1338">
        <f>HYPERLINK("https://creighton-primo.hosted.exlibrisgroup.com/primo-explore/search?tab=default_tab&amp;search_scope=EVERYTHING&amp;vid=01CRU&amp;lang=en_US&amp;offset=0&amp;query=any,contains,991000105489702656","Catalog Record")</f>
        <v/>
      </c>
      <c r="AT1338">
        <f>HYPERLINK("http://www.worldcat.org/oclc/46305","WorldCat Record")</f>
        <v/>
      </c>
      <c r="AU1338" t="inlineStr">
        <is>
          <t>369181771:eng</t>
        </is>
      </c>
      <c r="AV1338" t="inlineStr">
        <is>
          <t>46305</t>
        </is>
      </c>
      <c r="AW1338" t="inlineStr">
        <is>
          <t>991000105489702656</t>
        </is>
      </c>
      <c r="AX1338" t="inlineStr">
        <is>
          <t>991000105489702656</t>
        </is>
      </c>
      <c r="AY1338" t="inlineStr">
        <is>
          <t>2264246290002656</t>
        </is>
      </c>
      <c r="AZ1338" t="inlineStr">
        <is>
          <t>BOOK</t>
        </is>
      </c>
      <c r="BC1338" t="inlineStr">
        <is>
          <t>32285000689629</t>
        </is>
      </c>
      <c r="BD1338" t="inlineStr">
        <is>
          <t>893339286</t>
        </is>
      </c>
    </row>
    <row r="1339">
      <c r="A1339" t="inlineStr">
        <is>
          <t>No</t>
        </is>
      </c>
      <c r="B1339" t="inlineStr">
        <is>
          <t>BT83.78 .B73 1997</t>
        </is>
      </c>
      <c r="C1339" t="inlineStr">
        <is>
          <t>0                      BT 0083780B  73          1997</t>
        </is>
      </c>
      <c r="D1339" t="inlineStr">
        <is>
          <t>Story as a way of knowing / Kevin M. Bradt.</t>
        </is>
      </c>
      <c r="F1339" t="inlineStr">
        <is>
          <t>No</t>
        </is>
      </c>
      <c r="G1339" t="inlineStr">
        <is>
          <t>1</t>
        </is>
      </c>
      <c r="H1339" t="inlineStr">
        <is>
          <t>No</t>
        </is>
      </c>
      <c r="I1339" t="inlineStr">
        <is>
          <t>No</t>
        </is>
      </c>
      <c r="J1339" t="inlineStr">
        <is>
          <t>0</t>
        </is>
      </c>
      <c r="K1339" t="inlineStr">
        <is>
          <t>Bradt, Kevin M.</t>
        </is>
      </c>
      <c r="L1339" t="inlineStr">
        <is>
          <t>Kansas City, MO : Sheed &amp; Ward, c1997.</t>
        </is>
      </c>
      <c r="M1339" t="inlineStr">
        <is>
          <t>1997</t>
        </is>
      </c>
      <c r="O1339" t="inlineStr">
        <is>
          <t>eng</t>
        </is>
      </c>
      <c r="P1339" t="inlineStr">
        <is>
          <t>mou</t>
        </is>
      </c>
      <c r="R1339" t="inlineStr">
        <is>
          <t xml:space="preserve">BT </t>
        </is>
      </c>
      <c r="S1339" t="n">
        <v>8</v>
      </c>
      <c r="T1339" t="n">
        <v>8</v>
      </c>
      <c r="U1339" t="inlineStr">
        <is>
          <t>2009-09-22</t>
        </is>
      </c>
      <c r="V1339" t="inlineStr">
        <is>
          <t>2009-09-22</t>
        </is>
      </c>
      <c r="W1339" t="inlineStr">
        <is>
          <t>1999-03-30</t>
        </is>
      </c>
      <c r="X1339" t="inlineStr">
        <is>
          <t>1999-03-30</t>
        </is>
      </c>
      <c r="Y1339" t="n">
        <v>144</v>
      </c>
      <c r="Z1339" t="n">
        <v>124</v>
      </c>
      <c r="AA1339" t="n">
        <v>124</v>
      </c>
      <c r="AB1339" t="n">
        <v>3</v>
      </c>
      <c r="AC1339" t="n">
        <v>3</v>
      </c>
      <c r="AD1339" t="n">
        <v>13</v>
      </c>
      <c r="AE1339" t="n">
        <v>13</v>
      </c>
      <c r="AF1339" t="n">
        <v>4</v>
      </c>
      <c r="AG1339" t="n">
        <v>4</v>
      </c>
      <c r="AH1339" t="n">
        <v>2</v>
      </c>
      <c r="AI1339" t="n">
        <v>2</v>
      </c>
      <c r="AJ1339" t="n">
        <v>7</v>
      </c>
      <c r="AK1339" t="n">
        <v>7</v>
      </c>
      <c r="AL1339" t="n">
        <v>2</v>
      </c>
      <c r="AM1339" t="n">
        <v>2</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HYPERLINK("https://creighton-primo.hosted.exlibrisgroup.com/primo-explore/search?tab=default_tab&amp;search_scope=EVERYTHING&amp;vid=01CRU&amp;lang=en_US&amp;offset=0&amp;query=any,contains,991002754579702656","Catalog Record")</f>
        <v/>
      </c>
      <c r="AT1339">
        <f>HYPERLINK("http://www.worldcat.org/oclc/36133329","WorldCat Record")</f>
        <v/>
      </c>
      <c r="AU1339" t="inlineStr">
        <is>
          <t>45786940:eng</t>
        </is>
      </c>
      <c r="AV1339" t="inlineStr">
        <is>
          <t>36133329</t>
        </is>
      </c>
      <c r="AW1339" t="inlineStr">
        <is>
          <t>991002754579702656</t>
        </is>
      </c>
      <c r="AX1339" t="inlineStr">
        <is>
          <t>991002754579702656</t>
        </is>
      </c>
      <c r="AY1339" t="inlineStr">
        <is>
          <t>2261924710002656</t>
        </is>
      </c>
      <c r="AZ1339" t="inlineStr">
        <is>
          <t>BOOK</t>
        </is>
      </c>
      <c r="BB1339" t="inlineStr">
        <is>
          <t>9781556129063</t>
        </is>
      </c>
      <c r="BC1339" t="inlineStr">
        <is>
          <t>32285003547535</t>
        </is>
      </c>
      <c r="BD1339" t="inlineStr">
        <is>
          <t>893698220</t>
        </is>
      </c>
    </row>
    <row r="1340">
      <c r="A1340" t="inlineStr">
        <is>
          <t>No</t>
        </is>
      </c>
      <c r="B1340" t="inlineStr">
        <is>
          <t>BT83.78 .L68 1996</t>
        </is>
      </c>
      <c r="C1340" t="inlineStr">
        <is>
          <t>0                      BT 0083780L  68          1996</t>
        </is>
      </c>
      <c r="D1340" t="inlineStr">
        <is>
          <t>Telling God's story : Bible, church, and narrative theology / Gerard Loughlin.</t>
        </is>
      </c>
      <c r="F1340" t="inlineStr">
        <is>
          <t>No</t>
        </is>
      </c>
      <c r="G1340" t="inlineStr">
        <is>
          <t>1</t>
        </is>
      </c>
      <c r="H1340" t="inlineStr">
        <is>
          <t>No</t>
        </is>
      </c>
      <c r="I1340" t="inlineStr">
        <is>
          <t>No</t>
        </is>
      </c>
      <c r="J1340" t="inlineStr">
        <is>
          <t>0</t>
        </is>
      </c>
      <c r="K1340" t="inlineStr">
        <is>
          <t>Loughlin, Gerard.</t>
        </is>
      </c>
      <c r="L1340" t="inlineStr">
        <is>
          <t>Cambridge [England] ; New York : Cambridge University Press, 1996.</t>
        </is>
      </c>
      <c r="M1340" t="inlineStr">
        <is>
          <t>1996</t>
        </is>
      </c>
      <c r="O1340" t="inlineStr">
        <is>
          <t>eng</t>
        </is>
      </c>
      <c r="P1340" t="inlineStr">
        <is>
          <t>enk</t>
        </is>
      </c>
      <c r="R1340" t="inlineStr">
        <is>
          <t xml:space="preserve">BT </t>
        </is>
      </c>
      <c r="S1340" t="n">
        <v>6</v>
      </c>
      <c r="T1340" t="n">
        <v>6</v>
      </c>
      <c r="U1340" t="inlineStr">
        <is>
          <t>2005-09-15</t>
        </is>
      </c>
      <c r="V1340" t="inlineStr">
        <is>
          <t>2005-09-15</t>
        </is>
      </c>
      <c r="W1340" t="inlineStr">
        <is>
          <t>1998-03-30</t>
        </is>
      </c>
      <c r="X1340" t="inlineStr">
        <is>
          <t>1998-03-30</t>
        </is>
      </c>
      <c r="Y1340" t="n">
        <v>323</v>
      </c>
      <c r="Z1340" t="n">
        <v>225</v>
      </c>
      <c r="AA1340" t="n">
        <v>267</v>
      </c>
      <c r="AB1340" t="n">
        <v>4</v>
      </c>
      <c r="AC1340" t="n">
        <v>4</v>
      </c>
      <c r="AD1340" t="n">
        <v>14</v>
      </c>
      <c r="AE1340" t="n">
        <v>17</v>
      </c>
      <c r="AF1340" t="n">
        <v>3</v>
      </c>
      <c r="AG1340" t="n">
        <v>6</v>
      </c>
      <c r="AH1340" t="n">
        <v>2</v>
      </c>
      <c r="AI1340" t="n">
        <v>3</v>
      </c>
      <c r="AJ1340" t="n">
        <v>9</v>
      </c>
      <c r="AK1340" t="n">
        <v>9</v>
      </c>
      <c r="AL1340" t="n">
        <v>3</v>
      </c>
      <c r="AM1340" t="n">
        <v>3</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HYPERLINK("https://creighton-primo.hosted.exlibrisgroup.com/primo-explore/search?tab=default_tab&amp;search_scope=EVERYTHING&amp;vid=01CRU&amp;lang=en_US&amp;offset=0&amp;query=any,contains,991005420989702656","Catalog Record")</f>
        <v/>
      </c>
      <c r="AT1340">
        <f>HYPERLINK("http://www.worldcat.org/oclc/32350022","WorldCat Record")</f>
        <v/>
      </c>
      <c r="AU1340" t="inlineStr">
        <is>
          <t>836907100:eng</t>
        </is>
      </c>
      <c r="AV1340" t="inlineStr">
        <is>
          <t>32350022</t>
        </is>
      </c>
      <c r="AW1340" t="inlineStr">
        <is>
          <t>991005420989702656</t>
        </is>
      </c>
      <c r="AX1340" t="inlineStr">
        <is>
          <t>991005420989702656</t>
        </is>
      </c>
      <c r="AY1340" t="inlineStr">
        <is>
          <t>2271313130002656</t>
        </is>
      </c>
      <c r="AZ1340" t="inlineStr">
        <is>
          <t>BOOK</t>
        </is>
      </c>
      <c r="BB1340" t="inlineStr">
        <is>
          <t>9780521432856</t>
        </is>
      </c>
      <c r="BC1340" t="inlineStr">
        <is>
          <t>32285003381372</t>
        </is>
      </c>
      <c r="BD1340" t="inlineStr">
        <is>
          <t>893527597</t>
        </is>
      </c>
    </row>
    <row r="1341">
      <c r="A1341" t="inlineStr">
        <is>
          <t>No</t>
        </is>
      </c>
      <c r="B1341" t="inlineStr">
        <is>
          <t>BT83.78 .S66 1999</t>
        </is>
      </c>
      <c r="C1341" t="inlineStr">
        <is>
          <t>0                      BT 0083780S  66          1999</t>
        </is>
      </c>
      <c r="D1341" t="inlineStr">
        <is>
          <t>The believing heart : an invitation to story theology / C.S. Song.</t>
        </is>
      </c>
      <c r="F1341" t="inlineStr">
        <is>
          <t>No</t>
        </is>
      </c>
      <c r="G1341" t="inlineStr">
        <is>
          <t>1</t>
        </is>
      </c>
      <c r="H1341" t="inlineStr">
        <is>
          <t>No</t>
        </is>
      </c>
      <c r="I1341" t="inlineStr">
        <is>
          <t>No</t>
        </is>
      </c>
      <c r="J1341" t="inlineStr">
        <is>
          <t>0</t>
        </is>
      </c>
      <c r="K1341" t="inlineStr">
        <is>
          <t>Song, Choan-Seng, 1929-</t>
        </is>
      </c>
      <c r="L1341" t="inlineStr">
        <is>
          <t>Minneapolis, MN : Fortress Press, c1999.</t>
        </is>
      </c>
      <c r="M1341" t="inlineStr">
        <is>
          <t>1999</t>
        </is>
      </c>
      <c r="O1341" t="inlineStr">
        <is>
          <t>eng</t>
        </is>
      </c>
      <c r="P1341" t="inlineStr">
        <is>
          <t>mnu</t>
        </is>
      </c>
      <c r="R1341" t="inlineStr">
        <is>
          <t xml:space="preserve">BT </t>
        </is>
      </c>
      <c r="S1341" t="n">
        <v>5</v>
      </c>
      <c r="T1341" t="n">
        <v>5</v>
      </c>
      <c r="U1341" t="inlineStr">
        <is>
          <t>2005-09-15</t>
        </is>
      </c>
      <c r="V1341" t="inlineStr">
        <is>
          <t>2005-09-15</t>
        </is>
      </c>
      <c r="W1341" t="inlineStr">
        <is>
          <t>2000-09-25</t>
        </is>
      </c>
      <c r="X1341" t="inlineStr">
        <is>
          <t>2000-09-25</t>
        </is>
      </c>
      <c r="Y1341" t="n">
        <v>193</v>
      </c>
      <c r="Z1341" t="n">
        <v>170</v>
      </c>
      <c r="AA1341" t="n">
        <v>171</v>
      </c>
      <c r="AB1341" t="n">
        <v>1</v>
      </c>
      <c r="AC1341" t="n">
        <v>1</v>
      </c>
      <c r="AD1341" t="n">
        <v>14</v>
      </c>
      <c r="AE1341" t="n">
        <v>14</v>
      </c>
      <c r="AF1341" t="n">
        <v>5</v>
      </c>
      <c r="AG1341" t="n">
        <v>5</v>
      </c>
      <c r="AH1341" t="n">
        <v>3</v>
      </c>
      <c r="AI1341" t="n">
        <v>3</v>
      </c>
      <c r="AJ1341" t="n">
        <v>10</v>
      </c>
      <c r="AK1341" t="n">
        <v>10</v>
      </c>
      <c r="AL1341" t="n">
        <v>0</v>
      </c>
      <c r="AM1341" t="n">
        <v>0</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HYPERLINK("https://creighton-primo.hosted.exlibrisgroup.com/primo-explore/search?tab=default_tab&amp;search_scope=EVERYTHING&amp;vid=01CRU&amp;lang=en_US&amp;offset=0&amp;query=any,contains,991003297169702656","Catalog Record")</f>
        <v/>
      </c>
      <c r="AT1341">
        <f>HYPERLINK("http://www.worldcat.org/oclc/40298289","WorldCat Record")</f>
        <v/>
      </c>
      <c r="AU1341" t="inlineStr">
        <is>
          <t>865443036:eng</t>
        </is>
      </c>
      <c r="AV1341" t="inlineStr">
        <is>
          <t>40298289</t>
        </is>
      </c>
      <c r="AW1341" t="inlineStr">
        <is>
          <t>991003297169702656</t>
        </is>
      </c>
      <c r="AX1341" t="inlineStr">
        <is>
          <t>991003297169702656</t>
        </is>
      </c>
      <c r="AY1341" t="inlineStr">
        <is>
          <t>2259315890002656</t>
        </is>
      </c>
      <c r="AZ1341" t="inlineStr">
        <is>
          <t>BOOK</t>
        </is>
      </c>
      <c r="BB1341" t="inlineStr">
        <is>
          <t>9780800631420</t>
        </is>
      </c>
      <c r="BC1341" t="inlineStr">
        <is>
          <t>32285003764569</t>
        </is>
      </c>
      <c r="BD1341" t="inlineStr">
        <is>
          <t>893623350</t>
        </is>
      </c>
    </row>
    <row r="1342">
      <c r="A1342" t="inlineStr">
        <is>
          <t>No</t>
        </is>
      </c>
      <c r="B1342" t="inlineStr">
        <is>
          <t>BT83.8 .H37 1989</t>
        </is>
      </c>
      <c r="C1342" t="inlineStr">
        <is>
          <t>0                      BT 0083800H  37          1989</t>
        </is>
      </c>
      <c r="D1342" t="inlineStr">
        <is>
          <t>The trespass of the sign : deconstruction, theology, and philosophy / Kevin Hart.</t>
        </is>
      </c>
      <c r="F1342" t="inlineStr">
        <is>
          <t>No</t>
        </is>
      </c>
      <c r="G1342" t="inlineStr">
        <is>
          <t>1</t>
        </is>
      </c>
      <c r="H1342" t="inlineStr">
        <is>
          <t>No</t>
        </is>
      </c>
      <c r="I1342" t="inlineStr">
        <is>
          <t>No</t>
        </is>
      </c>
      <c r="J1342" t="inlineStr">
        <is>
          <t>0</t>
        </is>
      </c>
      <c r="K1342" t="inlineStr">
        <is>
          <t>Hart, Kevin, 1948-</t>
        </is>
      </c>
      <c r="L1342" t="inlineStr">
        <is>
          <t>Cambridge ; New York : Cambridge University Press, 1989.</t>
        </is>
      </c>
      <c r="M1342" t="inlineStr">
        <is>
          <t>1989</t>
        </is>
      </c>
      <c r="O1342" t="inlineStr">
        <is>
          <t>eng</t>
        </is>
      </c>
      <c r="P1342" t="inlineStr">
        <is>
          <t>enk</t>
        </is>
      </c>
      <c r="R1342" t="inlineStr">
        <is>
          <t xml:space="preserve">BT </t>
        </is>
      </c>
      <c r="S1342" t="n">
        <v>3</v>
      </c>
      <c r="T1342" t="n">
        <v>3</v>
      </c>
      <c r="U1342" t="inlineStr">
        <is>
          <t>1997-11-01</t>
        </is>
      </c>
      <c r="V1342" t="inlineStr">
        <is>
          <t>1997-11-01</t>
        </is>
      </c>
      <c r="W1342" t="inlineStr">
        <is>
          <t>1991-10-31</t>
        </is>
      </c>
      <c r="X1342" t="inlineStr">
        <is>
          <t>1991-10-31</t>
        </is>
      </c>
      <c r="Y1342" t="n">
        <v>541</v>
      </c>
      <c r="Z1342" t="n">
        <v>389</v>
      </c>
      <c r="AA1342" t="n">
        <v>898</v>
      </c>
      <c r="AB1342" t="n">
        <v>3</v>
      </c>
      <c r="AC1342" t="n">
        <v>29</v>
      </c>
      <c r="AD1342" t="n">
        <v>28</v>
      </c>
      <c r="AE1342" t="n">
        <v>55</v>
      </c>
      <c r="AF1342" t="n">
        <v>8</v>
      </c>
      <c r="AG1342" t="n">
        <v>18</v>
      </c>
      <c r="AH1342" t="n">
        <v>7</v>
      </c>
      <c r="AI1342" t="n">
        <v>11</v>
      </c>
      <c r="AJ1342" t="n">
        <v>18</v>
      </c>
      <c r="AK1342" t="n">
        <v>23</v>
      </c>
      <c r="AL1342" t="n">
        <v>2</v>
      </c>
      <c r="AM1342" t="n">
        <v>14</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HYPERLINK("https://creighton-primo.hosted.exlibrisgroup.com/primo-explore/search?tab=default_tab&amp;search_scope=EVERYTHING&amp;vid=01CRU&amp;lang=en_US&amp;offset=0&amp;query=any,contains,991001368159702656","Catalog Record")</f>
        <v/>
      </c>
      <c r="AT1342">
        <f>HYPERLINK("http://www.worldcat.org/oclc/18559920","WorldCat Record")</f>
        <v/>
      </c>
      <c r="AU1342" t="inlineStr">
        <is>
          <t>222168521:eng</t>
        </is>
      </c>
      <c r="AV1342" t="inlineStr">
        <is>
          <t>18559920</t>
        </is>
      </c>
      <c r="AW1342" t="inlineStr">
        <is>
          <t>991001368159702656</t>
        </is>
      </c>
      <c r="AX1342" t="inlineStr">
        <is>
          <t>991001368159702656</t>
        </is>
      </c>
      <c r="AY1342" t="inlineStr">
        <is>
          <t>2263019310002656</t>
        </is>
      </c>
      <c r="AZ1342" t="inlineStr">
        <is>
          <t>BOOK</t>
        </is>
      </c>
      <c r="BB1342" t="inlineStr">
        <is>
          <t>9780521354813</t>
        </is>
      </c>
      <c r="BC1342" t="inlineStr">
        <is>
          <t>32285000728690</t>
        </is>
      </c>
      <c r="BD1342" t="inlineStr">
        <is>
          <t>893885249</t>
        </is>
      </c>
    </row>
    <row r="1343">
      <c r="A1343" t="inlineStr">
        <is>
          <t>No</t>
        </is>
      </c>
      <c r="B1343" t="inlineStr">
        <is>
          <t>BT83.85 .I5 2003</t>
        </is>
      </c>
      <c r="C1343" t="inlineStr">
        <is>
          <t>0                      BT 0083850I  5           2003</t>
        </is>
      </c>
      <c r="D1343" t="inlineStr">
        <is>
          <t>In many and diverse ways : in honor of Jacques Dupuis / Daniel Kendall, Gerald O'Collins, editors.</t>
        </is>
      </c>
      <c r="F1343" t="inlineStr">
        <is>
          <t>No</t>
        </is>
      </c>
      <c r="G1343" t="inlineStr">
        <is>
          <t>1</t>
        </is>
      </c>
      <c r="H1343" t="inlineStr">
        <is>
          <t>No</t>
        </is>
      </c>
      <c r="I1343" t="inlineStr">
        <is>
          <t>No</t>
        </is>
      </c>
      <c r="J1343" t="inlineStr">
        <is>
          <t>0</t>
        </is>
      </c>
      <c r="L1343" t="inlineStr">
        <is>
          <t>Maryknoll, N.Y. : Orbis Books, c2003.</t>
        </is>
      </c>
      <c r="M1343" t="inlineStr">
        <is>
          <t>2003</t>
        </is>
      </c>
      <c r="O1343" t="inlineStr">
        <is>
          <t>eng</t>
        </is>
      </c>
      <c r="P1343" t="inlineStr">
        <is>
          <t>nyu</t>
        </is>
      </c>
      <c r="R1343" t="inlineStr">
        <is>
          <t xml:space="preserve">BT </t>
        </is>
      </c>
      <c r="S1343" t="n">
        <v>1</v>
      </c>
      <c r="T1343" t="n">
        <v>1</v>
      </c>
      <c r="U1343" t="inlineStr">
        <is>
          <t>2005-10-25</t>
        </is>
      </c>
      <c r="V1343" t="inlineStr">
        <is>
          <t>2005-10-25</t>
        </is>
      </c>
      <c r="W1343" t="inlineStr">
        <is>
          <t>2005-10-25</t>
        </is>
      </c>
      <c r="X1343" t="inlineStr">
        <is>
          <t>2005-10-25</t>
        </is>
      </c>
      <c r="Y1343" t="n">
        <v>163</v>
      </c>
      <c r="Z1343" t="n">
        <v>124</v>
      </c>
      <c r="AA1343" t="n">
        <v>124</v>
      </c>
      <c r="AB1343" t="n">
        <v>1</v>
      </c>
      <c r="AC1343" t="n">
        <v>1</v>
      </c>
      <c r="AD1343" t="n">
        <v>20</v>
      </c>
      <c r="AE1343" t="n">
        <v>20</v>
      </c>
      <c r="AF1343" t="n">
        <v>6</v>
      </c>
      <c r="AG1343" t="n">
        <v>6</v>
      </c>
      <c r="AH1343" t="n">
        <v>5</v>
      </c>
      <c r="AI1343" t="n">
        <v>5</v>
      </c>
      <c r="AJ1343" t="n">
        <v>15</v>
      </c>
      <c r="AK1343" t="n">
        <v>15</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HYPERLINK("https://creighton-primo.hosted.exlibrisgroup.com/primo-explore/search?tab=default_tab&amp;search_scope=EVERYTHING&amp;vid=01CRU&amp;lang=en_US&amp;offset=0&amp;query=any,contains,991004665869702656","Catalog Record")</f>
        <v/>
      </c>
      <c r="AT1343">
        <f>HYPERLINK("http://www.worldcat.org/oclc/52271736","WorldCat Record")</f>
        <v/>
      </c>
      <c r="AU1343" t="inlineStr">
        <is>
          <t>839106258:eng</t>
        </is>
      </c>
      <c r="AV1343" t="inlineStr">
        <is>
          <t>52271736</t>
        </is>
      </c>
      <c r="AW1343" t="inlineStr">
        <is>
          <t>991004665869702656</t>
        </is>
      </c>
      <c r="AX1343" t="inlineStr">
        <is>
          <t>991004665869702656</t>
        </is>
      </c>
      <c r="AY1343" t="inlineStr">
        <is>
          <t>2271477520002656</t>
        </is>
      </c>
      <c r="AZ1343" t="inlineStr">
        <is>
          <t>BOOK</t>
        </is>
      </c>
      <c r="BB1343" t="inlineStr">
        <is>
          <t>9781570755101</t>
        </is>
      </c>
      <c r="BC1343" t="inlineStr">
        <is>
          <t>32285005142004</t>
        </is>
      </c>
      <c r="BD1343" t="inlineStr">
        <is>
          <t>893507101</t>
        </is>
      </c>
    </row>
    <row r="1344">
      <c r="A1344" t="inlineStr">
        <is>
          <t>No</t>
        </is>
      </c>
      <c r="B1344" t="inlineStr">
        <is>
          <t>BT832 .P313 1965</t>
        </is>
      </c>
      <c r="C1344" t="inlineStr">
        <is>
          <t>0                      BT 0832000P  313         1965</t>
        </is>
      </c>
      <c r="D1344" t="inlineStr">
        <is>
          <t>Heaven or hell / by Georges Panneton. Translated by Ann M.C. Forster.</t>
        </is>
      </c>
      <c r="F1344" t="inlineStr">
        <is>
          <t>No</t>
        </is>
      </c>
      <c r="G1344" t="inlineStr">
        <is>
          <t>1</t>
        </is>
      </c>
      <c r="H1344" t="inlineStr">
        <is>
          <t>No</t>
        </is>
      </c>
      <c r="I1344" t="inlineStr">
        <is>
          <t>No</t>
        </is>
      </c>
      <c r="J1344" t="inlineStr">
        <is>
          <t>0</t>
        </is>
      </c>
      <c r="K1344" t="inlineStr">
        <is>
          <t>Panneton, Georges.</t>
        </is>
      </c>
      <c r="L1344" t="inlineStr">
        <is>
          <t>Westminster, Md. : Newman Press, 1965.</t>
        </is>
      </c>
      <c r="M1344" t="inlineStr">
        <is>
          <t>1965</t>
        </is>
      </c>
      <c r="O1344" t="inlineStr">
        <is>
          <t>eng</t>
        </is>
      </c>
      <c r="P1344" t="inlineStr">
        <is>
          <t>___</t>
        </is>
      </c>
      <c r="R1344" t="inlineStr">
        <is>
          <t xml:space="preserve">BT </t>
        </is>
      </c>
      <c r="S1344" t="n">
        <v>5</v>
      </c>
      <c r="T1344" t="n">
        <v>5</v>
      </c>
      <c r="U1344" t="inlineStr">
        <is>
          <t>1999-11-30</t>
        </is>
      </c>
      <c r="V1344" t="inlineStr">
        <is>
          <t>1999-11-30</t>
        </is>
      </c>
      <c r="W1344" t="inlineStr">
        <is>
          <t>1990-04-25</t>
        </is>
      </c>
      <c r="X1344" t="inlineStr">
        <is>
          <t>1990-04-25</t>
        </is>
      </c>
      <c r="Y1344" t="n">
        <v>136</v>
      </c>
      <c r="Z1344" t="n">
        <v>124</v>
      </c>
      <c r="AA1344" t="n">
        <v>124</v>
      </c>
      <c r="AB1344" t="n">
        <v>1</v>
      </c>
      <c r="AC1344" t="n">
        <v>1</v>
      </c>
      <c r="AD1344" t="n">
        <v>16</v>
      </c>
      <c r="AE1344" t="n">
        <v>16</v>
      </c>
      <c r="AF1344" t="n">
        <v>5</v>
      </c>
      <c r="AG1344" t="n">
        <v>5</v>
      </c>
      <c r="AH1344" t="n">
        <v>3</v>
      </c>
      <c r="AI1344" t="n">
        <v>3</v>
      </c>
      <c r="AJ1344" t="n">
        <v>13</v>
      </c>
      <c r="AK1344" t="n">
        <v>13</v>
      </c>
      <c r="AL1344" t="n">
        <v>0</v>
      </c>
      <c r="AM1344" t="n">
        <v>0</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HYPERLINK("https://creighton-primo.hosted.exlibrisgroup.com/primo-explore/search?tab=default_tab&amp;search_scope=EVERYTHING&amp;vid=01CRU&amp;lang=en_US&amp;offset=0&amp;query=any,contains,991003411399702656","Catalog Record")</f>
        <v/>
      </c>
      <c r="AT1344">
        <f>HYPERLINK("http://www.worldcat.org/oclc/949693","WorldCat Record")</f>
        <v/>
      </c>
      <c r="AU1344" t="inlineStr">
        <is>
          <t>2945992757:eng</t>
        </is>
      </c>
      <c r="AV1344" t="inlineStr">
        <is>
          <t>949693</t>
        </is>
      </c>
      <c r="AW1344" t="inlineStr">
        <is>
          <t>991003411399702656</t>
        </is>
      </c>
      <c r="AX1344" t="inlineStr">
        <is>
          <t>991003411399702656</t>
        </is>
      </c>
      <c r="AY1344" t="inlineStr">
        <is>
          <t>2263002310002656</t>
        </is>
      </c>
      <c r="AZ1344" t="inlineStr">
        <is>
          <t>BOOK</t>
        </is>
      </c>
      <c r="BC1344" t="inlineStr">
        <is>
          <t>32285000132695</t>
        </is>
      </c>
      <c r="BD1344" t="inlineStr">
        <is>
          <t>893692701</t>
        </is>
      </c>
    </row>
    <row r="1345">
      <c r="A1345" t="inlineStr">
        <is>
          <t>No</t>
        </is>
      </c>
      <c r="B1345" t="inlineStr">
        <is>
          <t>BT836 .A7 1928a</t>
        </is>
      </c>
      <c r="C1345" t="inlineStr">
        <is>
          <t>0                      BT 0836000A  7           1928a</t>
        </is>
      </c>
      <c r="D1345" t="inlineStr">
        <is>
          <t>Eternal punishment / by the Rev. J. P. Arendzen ; introduction by Rev. Charles J. Mullaly.</t>
        </is>
      </c>
      <c r="F1345" t="inlineStr">
        <is>
          <t>No</t>
        </is>
      </c>
      <c r="G1345" t="inlineStr">
        <is>
          <t>1</t>
        </is>
      </c>
      <c r="H1345" t="inlineStr">
        <is>
          <t>No</t>
        </is>
      </c>
      <c r="I1345" t="inlineStr">
        <is>
          <t>No</t>
        </is>
      </c>
      <c r="J1345" t="inlineStr">
        <is>
          <t>0</t>
        </is>
      </c>
      <c r="K1345" t="inlineStr">
        <is>
          <t>Arendzen, J. P. (John Peter), 1873-1954.</t>
        </is>
      </c>
      <c r="L1345" t="inlineStr">
        <is>
          <t>New York : The Macmillan company, 1928.</t>
        </is>
      </c>
      <c r="M1345" t="inlineStr">
        <is>
          <t>1928</t>
        </is>
      </c>
      <c r="O1345" t="inlineStr">
        <is>
          <t>eng</t>
        </is>
      </c>
      <c r="P1345" t="inlineStr">
        <is>
          <t>nyu</t>
        </is>
      </c>
      <c r="Q1345" t="inlineStr">
        <is>
          <t>Half-title: The treasury of the faith series: 33</t>
        </is>
      </c>
      <c r="R1345" t="inlineStr">
        <is>
          <t xml:space="preserve">BT </t>
        </is>
      </c>
      <c r="S1345" t="n">
        <v>5</v>
      </c>
      <c r="T1345" t="n">
        <v>5</v>
      </c>
      <c r="U1345" t="inlineStr">
        <is>
          <t>1992-06-21</t>
        </is>
      </c>
      <c r="V1345" t="inlineStr">
        <is>
          <t>1992-06-21</t>
        </is>
      </c>
      <c r="W1345" t="inlineStr">
        <is>
          <t>1991-10-22</t>
        </is>
      </c>
      <c r="X1345" t="inlineStr">
        <is>
          <t>1991-10-22</t>
        </is>
      </c>
      <c r="Y1345" t="n">
        <v>66</v>
      </c>
      <c r="Z1345" t="n">
        <v>64</v>
      </c>
      <c r="AA1345" t="n">
        <v>69</v>
      </c>
      <c r="AB1345" t="n">
        <v>2</v>
      </c>
      <c r="AC1345" t="n">
        <v>2</v>
      </c>
      <c r="AD1345" t="n">
        <v>13</v>
      </c>
      <c r="AE1345" t="n">
        <v>15</v>
      </c>
      <c r="AF1345" t="n">
        <v>2</v>
      </c>
      <c r="AG1345" t="n">
        <v>3</v>
      </c>
      <c r="AH1345" t="n">
        <v>4</v>
      </c>
      <c r="AI1345" t="n">
        <v>4</v>
      </c>
      <c r="AJ1345" t="n">
        <v>11</v>
      </c>
      <c r="AK1345" t="n">
        <v>13</v>
      </c>
      <c r="AL1345" t="n">
        <v>0</v>
      </c>
      <c r="AM1345" t="n">
        <v>0</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HYPERLINK("https://creighton-primo.hosted.exlibrisgroup.com/primo-explore/search?tab=default_tab&amp;search_scope=EVERYTHING&amp;vid=01CRU&amp;lang=en_US&amp;offset=0&amp;query=any,contains,991004583139702656","Catalog Record")</f>
        <v/>
      </c>
      <c r="AT1345">
        <f>HYPERLINK("http://www.worldcat.org/oclc/4074549","WorldCat Record")</f>
        <v/>
      </c>
      <c r="AU1345" t="inlineStr">
        <is>
          <t>14119076:eng</t>
        </is>
      </c>
      <c r="AV1345" t="inlineStr">
        <is>
          <t>4074549</t>
        </is>
      </c>
      <c r="AW1345" t="inlineStr">
        <is>
          <t>991004583139702656</t>
        </is>
      </c>
      <c r="AX1345" t="inlineStr">
        <is>
          <t>991004583139702656</t>
        </is>
      </c>
      <c r="AY1345" t="inlineStr">
        <is>
          <t>2264482820002656</t>
        </is>
      </c>
      <c r="AZ1345" t="inlineStr">
        <is>
          <t>BOOK</t>
        </is>
      </c>
      <c r="BC1345" t="inlineStr">
        <is>
          <t>32285000807296</t>
        </is>
      </c>
      <c r="BD1345" t="inlineStr">
        <is>
          <t>893259900</t>
        </is>
      </c>
    </row>
    <row r="1346">
      <c r="A1346" t="inlineStr">
        <is>
          <t>No</t>
        </is>
      </c>
      <c r="B1346" t="inlineStr">
        <is>
          <t>BT836.2 .W3</t>
        </is>
      </c>
      <c r="C1346" t="inlineStr">
        <is>
          <t>0                      BT 0836200W  3</t>
        </is>
      </c>
      <c r="D1346" t="inlineStr">
        <is>
          <t>The decline of hell : seventeenth-century discussions of eternal torment / by D. P. Walker.</t>
        </is>
      </c>
      <c r="F1346" t="inlineStr">
        <is>
          <t>No</t>
        </is>
      </c>
      <c r="G1346" t="inlineStr">
        <is>
          <t>1</t>
        </is>
      </c>
      <c r="H1346" t="inlineStr">
        <is>
          <t>No</t>
        </is>
      </c>
      <c r="I1346" t="inlineStr">
        <is>
          <t>No</t>
        </is>
      </c>
      <c r="J1346" t="inlineStr">
        <is>
          <t>0</t>
        </is>
      </c>
      <c r="K1346" t="inlineStr">
        <is>
          <t>Walker, D. P. (Daniel Pickering)</t>
        </is>
      </c>
      <c r="L1346" t="inlineStr">
        <is>
          <t>[Chicago] University of Chicago Press [1964]</t>
        </is>
      </c>
      <c r="M1346" t="inlineStr">
        <is>
          <t>1964</t>
        </is>
      </c>
      <c r="O1346" t="inlineStr">
        <is>
          <t>eng</t>
        </is>
      </c>
      <c r="P1346" t="inlineStr">
        <is>
          <t>ilu</t>
        </is>
      </c>
      <c r="R1346" t="inlineStr">
        <is>
          <t xml:space="preserve">BT </t>
        </is>
      </c>
      <c r="S1346" t="n">
        <v>2</v>
      </c>
      <c r="T1346" t="n">
        <v>2</v>
      </c>
      <c r="U1346" t="inlineStr">
        <is>
          <t>2009-06-08</t>
        </is>
      </c>
      <c r="V1346" t="inlineStr">
        <is>
          <t>2009-06-08</t>
        </is>
      </c>
      <c r="W1346" t="inlineStr">
        <is>
          <t>1991-10-22</t>
        </is>
      </c>
      <c r="X1346" t="inlineStr">
        <is>
          <t>1991-10-22</t>
        </is>
      </c>
      <c r="Y1346" t="n">
        <v>763</v>
      </c>
      <c r="Z1346" t="n">
        <v>698</v>
      </c>
      <c r="AA1346" t="n">
        <v>742</v>
      </c>
      <c r="AB1346" t="n">
        <v>5</v>
      </c>
      <c r="AC1346" t="n">
        <v>5</v>
      </c>
      <c r="AD1346" t="n">
        <v>33</v>
      </c>
      <c r="AE1346" t="n">
        <v>36</v>
      </c>
      <c r="AF1346" t="n">
        <v>14</v>
      </c>
      <c r="AG1346" t="n">
        <v>14</v>
      </c>
      <c r="AH1346" t="n">
        <v>9</v>
      </c>
      <c r="AI1346" t="n">
        <v>9</v>
      </c>
      <c r="AJ1346" t="n">
        <v>19</v>
      </c>
      <c r="AK1346" t="n">
        <v>22</v>
      </c>
      <c r="AL1346" t="n">
        <v>3</v>
      </c>
      <c r="AM1346" t="n">
        <v>3</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HYPERLINK("https://creighton-primo.hosted.exlibrisgroup.com/primo-explore/search?tab=default_tab&amp;search_scope=EVERYTHING&amp;vid=01CRU&amp;lang=en_US&amp;offset=0&amp;query=any,contains,991005254059702656","Catalog Record")</f>
        <v/>
      </c>
      <c r="AT1346">
        <f>HYPERLINK("http://www.worldcat.org/oclc/263808","WorldCat Record")</f>
        <v/>
      </c>
      <c r="AU1346" t="inlineStr">
        <is>
          <t>815076203:eng</t>
        </is>
      </c>
      <c r="AV1346" t="inlineStr">
        <is>
          <t>263808</t>
        </is>
      </c>
      <c r="AW1346" t="inlineStr">
        <is>
          <t>991005254059702656</t>
        </is>
      </c>
      <c r="AX1346" t="inlineStr">
        <is>
          <t>991005254059702656</t>
        </is>
      </c>
      <c r="AY1346" t="inlineStr">
        <is>
          <t>2268589670002656</t>
        </is>
      </c>
      <c r="AZ1346" t="inlineStr">
        <is>
          <t>BOOK</t>
        </is>
      </c>
      <c r="BC1346" t="inlineStr">
        <is>
          <t>32285000807304</t>
        </is>
      </c>
      <c r="BD1346" t="inlineStr">
        <is>
          <t>893902374</t>
        </is>
      </c>
    </row>
    <row r="1347">
      <c r="A1347" t="inlineStr">
        <is>
          <t>No</t>
        </is>
      </c>
      <c r="B1347" t="inlineStr">
        <is>
          <t>BT836.2 .W33 1992</t>
        </is>
      </c>
      <c r="C1347" t="inlineStr">
        <is>
          <t>0                      BT 0836200W  33          1992</t>
        </is>
      </c>
      <c r="D1347" t="inlineStr">
        <is>
          <t>Hell : the logic of damnation / Jerry L. Walls.</t>
        </is>
      </c>
      <c r="F1347" t="inlineStr">
        <is>
          <t>No</t>
        </is>
      </c>
      <c r="G1347" t="inlineStr">
        <is>
          <t>1</t>
        </is>
      </c>
      <c r="H1347" t="inlineStr">
        <is>
          <t>No</t>
        </is>
      </c>
      <c r="I1347" t="inlineStr">
        <is>
          <t>No</t>
        </is>
      </c>
      <c r="J1347" t="inlineStr">
        <is>
          <t>0</t>
        </is>
      </c>
      <c r="K1347" t="inlineStr">
        <is>
          <t>Walls, Jerry L.</t>
        </is>
      </c>
      <c r="L1347" t="inlineStr">
        <is>
          <t>Notre Dame, Ind. : University of Notre Dame Press, c1992.</t>
        </is>
      </c>
      <c r="M1347" t="inlineStr">
        <is>
          <t>1992</t>
        </is>
      </c>
      <c r="O1347" t="inlineStr">
        <is>
          <t>eng</t>
        </is>
      </c>
      <c r="P1347" t="inlineStr">
        <is>
          <t>inu</t>
        </is>
      </c>
      <c r="Q1347" t="inlineStr">
        <is>
          <t>Library of religious philosophy ; v. 9</t>
        </is>
      </c>
      <c r="R1347" t="inlineStr">
        <is>
          <t xml:space="preserve">BT </t>
        </is>
      </c>
      <c r="S1347" t="n">
        <v>8</v>
      </c>
      <c r="T1347" t="n">
        <v>8</v>
      </c>
      <c r="U1347" t="inlineStr">
        <is>
          <t>2010-04-05</t>
        </is>
      </c>
      <c r="V1347" t="inlineStr">
        <is>
          <t>2010-04-05</t>
        </is>
      </c>
      <c r="W1347" t="inlineStr">
        <is>
          <t>1995-01-09</t>
        </is>
      </c>
      <c r="X1347" t="inlineStr">
        <is>
          <t>1995-01-09</t>
        </is>
      </c>
      <c r="Y1347" t="n">
        <v>453</v>
      </c>
      <c r="Z1347" t="n">
        <v>378</v>
      </c>
      <c r="AA1347" t="n">
        <v>846</v>
      </c>
      <c r="AB1347" t="n">
        <v>4</v>
      </c>
      <c r="AC1347" t="n">
        <v>4</v>
      </c>
      <c r="AD1347" t="n">
        <v>27</v>
      </c>
      <c r="AE1347" t="n">
        <v>37</v>
      </c>
      <c r="AF1347" t="n">
        <v>12</v>
      </c>
      <c r="AG1347" t="n">
        <v>17</v>
      </c>
      <c r="AH1347" t="n">
        <v>4</v>
      </c>
      <c r="AI1347" t="n">
        <v>8</v>
      </c>
      <c r="AJ1347" t="n">
        <v>14</v>
      </c>
      <c r="AK1347" t="n">
        <v>19</v>
      </c>
      <c r="AL1347" t="n">
        <v>3</v>
      </c>
      <c r="AM1347" t="n">
        <v>3</v>
      </c>
      <c r="AN1347" t="n">
        <v>0</v>
      </c>
      <c r="AO1347" t="n">
        <v>0</v>
      </c>
      <c r="AP1347" t="inlineStr">
        <is>
          <t>No</t>
        </is>
      </c>
      <c r="AQ1347" t="inlineStr">
        <is>
          <t>Yes</t>
        </is>
      </c>
      <c r="AR1347">
        <f>HYPERLINK("http://catalog.hathitrust.org/Record/002585948","HathiTrust Record")</f>
        <v/>
      </c>
      <c r="AS1347">
        <f>HYPERLINK("https://creighton-primo.hosted.exlibrisgroup.com/primo-explore/search?tab=default_tab&amp;search_scope=EVERYTHING&amp;vid=01CRU&amp;lang=en_US&amp;offset=0&amp;query=any,contains,991001967389702656","Catalog Record")</f>
        <v/>
      </c>
      <c r="AT1347">
        <f>HYPERLINK("http://www.worldcat.org/oclc/24952406","WorldCat Record")</f>
        <v/>
      </c>
      <c r="AU1347" t="inlineStr">
        <is>
          <t>836841880:eng</t>
        </is>
      </c>
      <c r="AV1347" t="inlineStr">
        <is>
          <t>24952406</t>
        </is>
      </c>
      <c r="AW1347" t="inlineStr">
        <is>
          <t>991001967389702656</t>
        </is>
      </c>
      <c r="AX1347" t="inlineStr">
        <is>
          <t>991001967389702656</t>
        </is>
      </c>
      <c r="AY1347" t="inlineStr">
        <is>
          <t>2267285330002656</t>
        </is>
      </c>
      <c r="AZ1347" t="inlineStr">
        <is>
          <t>BOOK</t>
        </is>
      </c>
      <c r="BB1347" t="inlineStr">
        <is>
          <t>9780268010959</t>
        </is>
      </c>
      <c r="BC1347" t="inlineStr">
        <is>
          <t>32285001991644</t>
        </is>
      </c>
      <c r="BD1347" t="inlineStr">
        <is>
          <t>893444890</t>
        </is>
      </c>
    </row>
    <row r="1348">
      <c r="A1348" t="inlineStr">
        <is>
          <t>No</t>
        </is>
      </c>
      <c r="B1348" t="inlineStr">
        <is>
          <t>BT84 .S57</t>
        </is>
      </c>
      <c r="C1348" t="inlineStr">
        <is>
          <t>0                      BT 0084000S  57</t>
        </is>
      </c>
      <c r="D1348" t="inlineStr">
        <is>
          <t>The paradox of existentialist theology; the dialectics of a faith-subsumed reason-in-existence / [by] Howard A. Slaatte.</t>
        </is>
      </c>
      <c r="F1348" t="inlineStr">
        <is>
          <t>No</t>
        </is>
      </c>
      <c r="G1348" t="inlineStr">
        <is>
          <t>1</t>
        </is>
      </c>
      <c r="H1348" t="inlineStr">
        <is>
          <t>No</t>
        </is>
      </c>
      <c r="I1348" t="inlineStr">
        <is>
          <t>No</t>
        </is>
      </c>
      <c r="J1348" t="inlineStr">
        <is>
          <t>0</t>
        </is>
      </c>
      <c r="K1348" t="inlineStr">
        <is>
          <t>Slaatte, Howard Alexander.</t>
        </is>
      </c>
      <c r="L1348" t="inlineStr">
        <is>
          <t>New York, Humanities Press, 1971 [i.e. 1972]</t>
        </is>
      </c>
      <c r="M1348" t="inlineStr">
        <is>
          <t>1972</t>
        </is>
      </c>
      <c r="O1348" t="inlineStr">
        <is>
          <t>eng</t>
        </is>
      </c>
      <c r="P1348" t="inlineStr">
        <is>
          <t>nyu</t>
        </is>
      </c>
      <c r="R1348" t="inlineStr">
        <is>
          <t xml:space="preserve">BT </t>
        </is>
      </c>
      <c r="S1348" t="n">
        <v>1</v>
      </c>
      <c r="T1348" t="n">
        <v>1</v>
      </c>
      <c r="U1348" t="inlineStr">
        <is>
          <t>2004-03-13</t>
        </is>
      </c>
      <c r="V1348" t="inlineStr">
        <is>
          <t>2004-03-13</t>
        </is>
      </c>
      <c r="W1348" t="inlineStr">
        <is>
          <t>1991-06-25</t>
        </is>
      </c>
      <c r="X1348" t="inlineStr">
        <is>
          <t>1991-06-25</t>
        </is>
      </c>
      <c r="Y1348" t="n">
        <v>247</v>
      </c>
      <c r="Z1348" t="n">
        <v>234</v>
      </c>
      <c r="AA1348" t="n">
        <v>271</v>
      </c>
      <c r="AB1348" t="n">
        <v>3</v>
      </c>
      <c r="AC1348" t="n">
        <v>3</v>
      </c>
      <c r="AD1348" t="n">
        <v>16</v>
      </c>
      <c r="AE1348" t="n">
        <v>17</v>
      </c>
      <c r="AF1348" t="n">
        <v>3</v>
      </c>
      <c r="AG1348" t="n">
        <v>3</v>
      </c>
      <c r="AH1348" t="n">
        <v>3</v>
      </c>
      <c r="AI1348" t="n">
        <v>4</v>
      </c>
      <c r="AJ1348" t="n">
        <v>12</v>
      </c>
      <c r="AK1348" t="n">
        <v>13</v>
      </c>
      <c r="AL1348" t="n">
        <v>2</v>
      </c>
      <c r="AM1348" t="n">
        <v>2</v>
      </c>
      <c r="AN1348" t="n">
        <v>0</v>
      </c>
      <c r="AO1348" t="n">
        <v>0</v>
      </c>
      <c r="AP1348" t="inlineStr">
        <is>
          <t>No</t>
        </is>
      </c>
      <c r="AQ1348" t="inlineStr">
        <is>
          <t>Yes</t>
        </is>
      </c>
      <c r="AR1348">
        <f>HYPERLINK("http://catalog.hathitrust.org/Record/001411768","HathiTrust Record")</f>
        <v/>
      </c>
      <c r="AS1348">
        <f>HYPERLINK("https://creighton-primo.hosted.exlibrisgroup.com/primo-explore/search?tab=default_tab&amp;search_scope=EVERYTHING&amp;vid=01CRU&amp;lang=en_US&amp;offset=0&amp;query=any,contains,991002192969702656","Catalog Record")</f>
        <v/>
      </c>
      <c r="AT1348">
        <f>HYPERLINK("http://www.worldcat.org/oclc/281874","WorldCat Record")</f>
        <v/>
      </c>
      <c r="AU1348" t="inlineStr">
        <is>
          <t>1434095:eng</t>
        </is>
      </c>
      <c r="AV1348" t="inlineStr">
        <is>
          <t>281874</t>
        </is>
      </c>
      <c r="AW1348" t="inlineStr">
        <is>
          <t>991002192969702656</t>
        </is>
      </c>
      <c r="AX1348" t="inlineStr">
        <is>
          <t>991002192969702656</t>
        </is>
      </c>
      <c r="AY1348" t="inlineStr">
        <is>
          <t>2264814260002656</t>
        </is>
      </c>
      <c r="AZ1348" t="inlineStr">
        <is>
          <t>BOOK</t>
        </is>
      </c>
      <c r="BB1348" t="inlineStr">
        <is>
          <t>9780391001619</t>
        </is>
      </c>
      <c r="BC1348" t="inlineStr">
        <is>
          <t>32285000689652</t>
        </is>
      </c>
      <c r="BD1348" t="inlineStr">
        <is>
          <t>893328784</t>
        </is>
      </c>
    </row>
    <row r="1349">
      <c r="A1349" t="inlineStr">
        <is>
          <t>No</t>
        </is>
      </c>
      <c r="B1349" t="inlineStr">
        <is>
          <t>BT841 .B66 1908</t>
        </is>
      </c>
      <c r="C1349" t="inlineStr">
        <is>
          <t>0                      BT 0841000B  66          1908</t>
        </is>
      </c>
      <c r="D1349" t="inlineStr">
        <is>
          <t>The morrow of life / translated from the French of Henry Bolo.</t>
        </is>
      </c>
      <c r="F1349" t="inlineStr">
        <is>
          <t>No</t>
        </is>
      </c>
      <c r="G1349" t="inlineStr">
        <is>
          <t>1</t>
        </is>
      </c>
      <c r="H1349" t="inlineStr">
        <is>
          <t>No</t>
        </is>
      </c>
      <c r="I1349" t="inlineStr">
        <is>
          <t>No</t>
        </is>
      </c>
      <c r="J1349" t="inlineStr">
        <is>
          <t>0</t>
        </is>
      </c>
      <c r="K1349" t="inlineStr">
        <is>
          <t>Bolo, Henry, 1858-</t>
        </is>
      </c>
      <c r="L1349" t="inlineStr">
        <is>
          <t>London : Kegan Paul, Trench, Trübner, 1908, c1899.</t>
        </is>
      </c>
      <c r="M1349" t="inlineStr">
        <is>
          <t>1899</t>
        </is>
      </c>
      <c r="O1349" t="inlineStr">
        <is>
          <t>eng</t>
        </is>
      </c>
      <c r="P1349" t="inlineStr">
        <is>
          <t>enk</t>
        </is>
      </c>
      <c r="R1349" t="inlineStr">
        <is>
          <t xml:space="preserve">BT </t>
        </is>
      </c>
      <c r="S1349" t="n">
        <v>2</v>
      </c>
      <c r="T1349" t="n">
        <v>2</v>
      </c>
      <c r="U1349" t="inlineStr">
        <is>
          <t>2004-05-10</t>
        </is>
      </c>
      <c r="V1349" t="inlineStr">
        <is>
          <t>2004-05-10</t>
        </is>
      </c>
      <c r="W1349" t="inlineStr">
        <is>
          <t>1991-10-22</t>
        </is>
      </c>
      <c r="X1349" t="inlineStr">
        <is>
          <t>1991-10-22</t>
        </is>
      </c>
      <c r="Y1349" t="n">
        <v>12</v>
      </c>
      <c r="Z1349" t="n">
        <v>7</v>
      </c>
      <c r="AA1349" t="n">
        <v>19</v>
      </c>
      <c r="AB1349" t="n">
        <v>1</v>
      </c>
      <c r="AC1349" t="n">
        <v>1</v>
      </c>
      <c r="AD1349" t="n">
        <v>3</v>
      </c>
      <c r="AE1349" t="n">
        <v>6</v>
      </c>
      <c r="AF1349" t="n">
        <v>0</v>
      </c>
      <c r="AG1349" t="n">
        <v>0</v>
      </c>
      <c r="AH1349" t="n">
        <v>1</v>
      </c>
      <c r="AI1349" t="n">
        <v>3</v>
      </c>
      <c r="AJ1349" t="n">
        <v>2</v>
      </c>
      <c r="AK1349" t="n">
        <v>4</v>
      </c>
      <c r="AL1349" t="n">
        <v>0</v>
      </c>
      <c r="AM1349" t="n">
        <v>0</v>
      </c>
      <c r="AN1349" t="n">
        <v>0</v>
      </c>
      <c r="AO1349" t="n">
        <v>0</v>
      </c>
      <c r="AP1349" t="inlineStr">
        <is>
          <t>No</t>
        </is>
      </c>
      <c r="AQ1349" t="inlineStr">
        <is>
          <t>No</t>
        </is>
      </c>
      <c r="AS1349">
        <f>HYPERLINK("https://creighton-primo.hosted.exlibrisgroup.com/primo-explore/search?tab=default_tab&amp;search_scope=EVERYTHING&amp;vid=01CRU&amp;lang=en_US&amp;offset=0&amp;query=any,contains,991000609959702656","Catalog Record")</f>
        <v/>
      </c>
      <c r="AT1349">
        <f>HYPERLINK("http://www.worldcat.org/oclc/11901322","WorldCat Record")</f>
        <v/>
      </c>
      <c r="AU1349" t="inlineStr">
        <is>
          <t>4281636:eng</t>
        </is>
      </c>
      <c r="AV1349" t="inlineStr">
        <is>
          <t>11901322</t>
        </is>
      </c>
      <c r="AW1349" t="inlineStr">
        <is>
          <t>991000609959702656</t>
        </is>
      </c>
      <c r="AX1349" t="inlineStr">
        <is>
          <t>991000609959702656</t>
        </is>
      </c>
      <c r="AY1349" t="inlineStr">
        <is>
          <t>2269805690002656</t>
        </is>
      </c>
      <c r="AZ1349" t="inlineStr">
        <is>
          <t>BOOK</t>
        </is>
      </c>
      <c r="BC1349" t="inlineStr">
        <is>
          <t>32285000807312</t>
        </is>
      </c>
      <c r="BD1349" t="inlineStr">
        <is>
          <t>893784384</t>
        </is>
      </c>
    </row>
    <row r="1350">
      <c r="A1350" t="inlineStr">
        <is>
          <t>No</t>
        </is>
      </c>
      <c r="B1350" t="inlineStr">
        <is>
          <t>BT841 .J8 1949</t>
        </is>
      </c>
      <c r="C1350" t="inlineStr">
        <is>
          <t>0                      BT 0841000J  8           1949</t>
        </is>
      </c>
      <c r="D1350" t="inlineStr">
        <is>
          <t>Purgatory and the means to avoid it / Martin Jugie. Translated from the 7th French edition by Malachy Gerard Carroll.</t>
        </is>
      </c>
      <c r="F1350" t="inlineStr">
        <is>
          <t>No</t>
        </is>
      </c>
      <c r="G1350" t="inlineStr">
        <is>
          <t>1</t>
        </is>
      </c>
      <c r="H1350" t="inlineStr">
        <is>
          <t>No</t>
        </is>
      </c>
      <c r="I1350" t="inlineStr">
        <is>
          <t>No</t>
        </is>
      </c>
      <c r="J1350" t="inlineStr">
        <is>
          <t>0</t>
        </is>
      </c>
      <c r="K1350" t="inlineStr">
        <is>
          <t>Jugie, Martin, 1878-1954.</t>
        </is>
      </c>
      <c r="L1350" t="inlineStr">
        <is>
          <t>Westminster, Md. : Newman Press, 1949, 1950 printing.</t>
        </is>
      </c>
      <c r="M1350" t="inlineStr">
        <is>
          <t>1949</t>
        </is>
      </c>
      <c r="O1350" t="inlineStr">
        <is>
          <t>eng</t>
        </is>
      </c>
      <c r="P1350" t="inlineStr">
        <is>
          <t>___</t>
        </is>
      </c>
      <c r="R1350" t="inlineStr">
        <is>
          <t xml:space="preserve">BT </t>
        </is>
      </c>
      <c r="S1350" t="n">
        <v>5</v>
      </c>
      <c r="T1350" t="n">
        <v>5</v>
      </c>
      <c r="U1350" t="inlineStr">
        <is>
          <t>2010-11-21</t>
        </is>
      </c>
      <c r="V1350" t="inlineStr">
        <is>
          <t>2010-11-21</t>
        </is>
      </c>
      <c r="W1350" t="inlineStr">
        <is>
          <t>1990-08-08</t>
        </is>
      </c>
      <c r="X1350" t="inlineStr">
        <is>
          <t>1990-08-08</t>
        </is>
      </c>
      <c r="Y1350" t="n">
        <v>82</v>
      </c>
      <c r="Z1350" t="n">
        <v>76</v>
      </c>
      <c r="AA1350" t="n">
        <v>141</v>
      </c>
      <c r="AB1350" t="n">
        <v>1</v>
      </c>
      <c r="AC1350" t="n">
        <v>2</v>
      </c>
      <c r="AD1350" t="n">
        <v>17</v>
      </c>
      <c r="AE1350" t="n">
        <v>23</v>
      </c>
      <c r="AF1350" t="n">
        <v>5</v>
      </c>
      <c r="AG1350" t="n">
        <v>6</v>
      </c>
      <c r="AH1350" t="n">
        <v>5</v>
      </c>
      <c r="AI1350" t="n">
        <v>5</v>
      </c>
      <c r="AJ1350" t="n">
        <v>12</v>
      </c>
      <c r="AK1350" t="n">
        <v>17</v>
      </c>
      <c r="AL1350" t="n">
        <v>0</v>
      </c>
      <c r="AM1350" t="n">
        <v>0</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HYPERLINK("https://creighton-primo.hosted.exlibrisgroup.com/primo-explore/search?tab=default_tab&amp;search_scope=EVERYTHING&amp;vid=01CRU&amp;lang=en_US&amp;offset=0&amp;query=any,contains,991003541239702656","Catalog Record")</f>
        <v/>
      </c>
      <c r="AT1350">
        <f>HYPERLINK("http://www.worldcat.org/oclc/1105654","WorldCat Record")</f>
        <v/>
      </c>
      <c r="AU1350" t="inlineStr">
        <is>
          <t>1979417:eng</t>
        </is>
      </c>
      <c r="AV1350" t="inlineStr">
        <is>
          <t>1105654</t>
        </is>
      </c>
      <c r="AW1350" t="inlineStr">
        <is>
          <t>991003541239702656</t>
        </is>
      </c>
      <c r="AX1350" t="inlineStr">
        <is>
          <t>991003541239702656</t>
        </is>
      </c>
      <c r="AY1350" t="inlineStr">
        <is>
          <t>2258997430002656</t>
        </is>
      </c>
      <c r="AZ1350" t="inlineStr">
        <is>
          <t>BOOK</t>
        </is>
      </c>
      <c r="BC1350" t="inlineStr">
        <is>
          <t>32285000269828</t>
        </is>
      </c>
      <c r="BD1350" t="inlineStr">
        <is>
          <t>893518592</t>
        </is>
      </c>
    </row>
    <row r="1351">
      <c r="A1351" t="inlineStr">
        <is>
          <t>No</t>
        </is>
      </c>
      <c r="B1351" t="inlineStr">
        <is>
          <t>BT841 .K4 1923</t>
        </is>
      </c>
      <c r="C1351" t="inlineStr">
        <is>
          <t>0                      BT 0841000K  4           1923</t>
        </is>
      </c>
      <c r="D1351" t="inlineStr">
        <is>
          <t>The poor souls in purgatory : a homiletic treatise with some specimen sermons / by the Rt. Rev. P. W. v. Keppler. Adapted into English by the Rev. Stephen Landolt, edited by Arthur Preuss.</t>
        </is>
      </c>
      <c r="F1351" t="inlineStr">
        <is>
          <t>No</t>
        </is>
      </c>
      <c r="G1351" t="inlineStr">
        <is>
          <t>1</t>
        </is>
      </c>
      <c r="H1351" t="inlineStr">
        <is>
          <t>No</t>
        </is>
      </c>
      <c r="I1351" t="inlineStr">
        <is>
          <t>No</t>
        </is>
      </c>
      <c r="J1351" t="inlineStr">
        <is>
          <t>0</t>
        </is>
      </c>
      <c r="K1351" t="inlineStr">
        <is>
          <t>Keppler, Paul Wilhelm von, 1852-1926.</t>
        </is>
      </c>
      <c r="L1351" t="inlineStr">
        <is>
          <t>St. Louis, Mo. [etc.] : B. Herder book company, 1923.</t>
        </is>
      </c>
      <c r="M1351" t="inlineStr">
        <is>
          <t>1923</t>
        </is>
      </c>
      <c r="O1351" t="inlineStr">
        <is>
          <t>eng</t>
        </is>
      </c>
      <c r="P1351" t="inlineStr">
        <is>
          <t>mou</t>
        </is>
      </c>
      <c r="R1351" t="inlineStr">
        <is>
          <t xml:space="preserve">BT </t>
        </is>
      </c>
      <c r="S1351" t="n">
        <v>9</v>
      </c>
      <c r="T1351" t="n">
        <v>9</v>
      </c>
      <c r="U1351" t="inlineStr">
        <is>
          <t>2008-04-12</t>
        </is>
      </c>
      <c r="V1351" t="inlineStr">
        <is>
          <t>2008-04-12</t>
        </is>
      </c>
      <c r="W1351" t="inlineStr">
        <is>
          <t>1991-10-22</t>
        </is>
      </c>
      <c r="X1351" t="inlineStr">
        <is>
          <t>1991-10-22</t>
        </is>
      </c>
      <c r="Y1351" t="n">
        <v>48</v>
      </c>
      <c r="Z1351" t="n">
        <v>41</v>
      </c>
      <c r="AA1351" t="n">
        <v>61</v>
      </c>
      <c r="AB1351" t="n">
        <v>1</v>
      </c>
      <c r="AC1351" t="n">
        <v>1</v>
      </c>
      <c r="AD1351" t="n">
        <v>7</v>
      </c>
      <c r="AE1351" t="n">
        <v>11</v>
      </c>
      <c r="AF1351" t="n">
        <v>1</v>
      </c>
      <c r="AG1351" t="n">
        <v>1</v>
      </c>
      <c r="AH1351" t="n">
        <v>4</v>
      </c>
      <c r="AI1351" t="n">
        <v>5</v>
      </c>
      <c r="AJ1351" t="n">
        <v>5</v>
      </c>
      <c r="AK1351" t="n">
        <v>8</v>
      </c>
      <c r="AL1351" t="n">
        <v>0</v>
      </c>
      <c r="AM1351" t="n">
        <v>0</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HYPERLINK("https://creighton-primo.hosted.exlibrisgroup.com/primo-explore/search?tab=default_tab&amp;search_scope=EVERYTHING&amp;vid=01CRU&amp;lang=en_US&amp;offset=0&amp;query=any,contains,991004211319702656","Catalog Record")</f>
        <v/>
      </c>
      <c r="AT1351">
        <f>HYPERLINK("http://www.worldcat.org/oclc/2682615","WorldCat Record")</f>
        <v/>
      </c>
      <c r="AU1351" t="inlineStr">
        <is>
          <t>5870850:eng</t>
        </is>
      </c>
      <c r="AV1351" t="inlineStr">
        <is>
          <t>2682615</t>
        </is>
      </c>
      <c r="AW1351" t="inlineStr">
        <is>
          <t>991004211319702656</t>
        </is>
      </c>
      <c r="AX1351" t="inlineStr">
        <is>
          <t>991004211319702656</t>
        </is>
      </c>
      <c r="AY1351" t="inlineStr">
        <is>
          <t>2268496900002656</t>
        </is>
      </c>
      <c r="AZ1351" t="inlineStr">
        <is>
          <t>BOOK</t>
        </is>
      </c>
      <c r="BC1351" t="inlineStr">
        <is>
          <t>32285000807346</t>
        </is>
      </c>
      <c r="BD1351" t="inlineStr">
        <is>
          <t>893525795</t>
        </is>
      </c>
    </row>
    <row r="1352">
      <c r="A1352" t="inlineStr">
        <is>
          <t>No</t>
        </is>
      </c>
      <c r="B1352" t="inlineStr">
        <is>
          <t>BT841 .M35 1940</t>
        </is>
      </c>
      <c r="C1352" t="inlineStr">
        <is>
          <t>0                      BT 0841000M  35          1940</t>
        </is>
      </c>
      <c r="D1352" t="inlineStr">
        <is>
          <t>The divine crucible of purgatory / by Mother Mary of St. Austin.Revised and edited by Nicholas Ryan, S.J.</t>
        </is>
      </c>
      <c r="F1352" t="inlineStr">
        <is>
          <t>No</t>
        </is>
      </c>
      <c r="G1352" t="inlineStr">
        <is>
          <t>1</t>
        </is>
      </c>
      <c r="H1352" t="inlineStr">
        <is>
          <t>No</t>
        </is>
      </c>
      <c r="I1352" t="inlineStr">
        <is>
          <t>No</t>
        </is>
      </c>
      <c r="J1352" t="inlineStr">
        <is>
          <t>0</t>
        </is>
      </c>
      <c r="K1352" t="inlineStr">
        <is>
          <t>Mary of St. Austin, 1874-1937.</t>
        </is>
      </c>
      <c r="L1352" t="inlineStr">
        <is>
          <t>New York : P. J. Kenedy &amp; Sons, ltd., 1940.</t>
        </is>
      </c>
      <c r="M1352" t="inlineStr">
        <is>
          <t>1940</t>
        </is>
      </c>
      <c r="O1352" t="inlineStr">
        <is>
          <t>eng</t>
        </is>
      </c>
      <c r="P1352" t="inlineStr">
        <is>
          <t>nyu</t>
        </is>
      </c>
      <c r="R1352" t="inlineStr">
        <is>
          <t xml:space="preserve">BT </t>
        </is>
      </c>
      <c r="S1352" t="n">
        <v>3</v>
      </c>
      <c r="T1352" t="n">
        <v>3</v>
      </c>
      <c r="U1352" t="inlineStr">
        <is>
          <t>2006-10-26</t>
        </is>
      </c>
      <c r="V1352" t="inlineStr">
        <is>
          <t>2006-10-26</t>
        </is>
      </c>
      <c r="W1352" t="inlineStr">
        <is>
          <t>1991-10-22</t>
        </is>
      </c>
      <c r="X1352" t="inlineStr">
        <is>
          <t>1991-10-22</t>
        </is>
      </c>
      <c r="Y1352" t="n">
        <v>72</v>
      </c>
      <c r="Z1352" t="n">
        <v>66</v>
      </c>
      <c r="AA1352" t="n">
        <v>111</v>
      </c>
      <c r="AB1352" t="n">
        <v>1</v>
      </c>
      <c r="AC1352" t="n">
        <v>2</v>
      </c>
      <c r="AD1352" t="n">
        <v>11</v>
      </c>
      <c r="AE1352" t="n">
        <v>18</v>
      </c>
      <c r="AF1352" t="n">
        <v>3</v>
      </c>
      <c r="AG1352" t="n">
        <v>5</v>
      </c>
      <c r="AH1352" t="n">
        <v>3</v>
      </c>
      <c r="AI1352" t="n">
        <v>4</v>
      </c>
      <c r="AJ1352" t="n">
        <v>9</v>
      </c>
      <c r="AK1352" t="n">
        <v>16</v>
      </c>
      <c r="AL1352" t="n">
        <v>0</v>
      </c>
      <c r="AM1352" t="n">
        <v>0</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HYPERLINK("https://creighton-primo.hosted.exlibrisgroup.com/primo-explore/search?tab=default_tab&amp;search_scope=EVERYTHING&amp;vid=01CRU&amp;lang=en_US&amp;offset=0&amp;query=any,contains,991005013449702656","Catalog Record")</f>
        <v/>
      </c>
      <c r="AT1352">
        <f>HYPERLINK("http://www.worldcat.org/oclc/6608026","WorldCat Record")</f>
        <v/>
      </c>
      <c r="AU1352" t="inlineStr">
        <is>
          <t>252299681:eng</t>
        </is>
      </c>
      <c r="AV1352" t="inlineStr">
        <is>
          <t>6608026</t>
        </is>
      </c>
      <c r="AW1352" t="inlineStr">
        <is>
          <t>991005013449702656</t>
        </is>
      </c>
      <c r="AX1352" t="inlineStr">
        <is>
          <t>991005013449702656</t>
        </is>
      </c>
      <c r="AY1352" t="inlineStr">
        <is>
          <t>2271882130002656</t>
        </is>
      </c>
      <c r="AZ1352" t="inlineStr">
        <is>
          <t>BOOK</t>
        </is>
      </c>
      <c r="BC1352" t="inlineStr">
        <is>
          <t>32285000807361</t>
        </is>
      </c>
      <c r="BD1352" t="inlineStr">
        <is>
          <t>893719655</t>
        </is>
      </c>
    </row>
    <row r="1353">
      <c r="A1353" t="inlineStr">
        <is>
          <t>No</t>
        </is>
      </c>
      <c r="B1353" t="inlineStr">
        <is>
          <t>BT841 .S2 1886</t>
        </is>
      </c>
      <c r="C1353" t="inlineStr">
        <is>
          <t>0                      BT 0841000S  2           1886</t>
        </is>
      </c>
      <c r="D1353" t="inlineStr">
        <is>
          <t>Purgatory : doctrinal, historical, and poetical / Mrs. J. Sadlier.</t>
        </is>
      </c>
      <c r="F1353" t="inlineStr">
        <is>
          <t>No</t>
        </is>
      </c>
      <c r="G1353" t="inlineStr">
        <is>
          <t>1</t>
        </is>
      </c>
      <c r="H1353" t="inlineStr">
        <is>
          <t>No</t>
        </is>
      </c>
      <c r="I1353" t="inlineStr">
        <is>
          <t>No</t>
        </is>
      </c>
      <c r="J1353" t="inlineStr">
        <is>
          <t>0</t>
        </is>
      </c>
      <c r="K1353" t="inlineStr">
        <is>
          <t>Sadlier, J., Mrs., 1820-1903.</t>
        </is>
      </c>
      <c r="L1353" t="inlineStr">
        <is>
          <t>New York : D. &amp; J. Sadlier, c1886.</t>
        </is>
      </c>
      <c r="M1353" t="inlineStr">
        <is>
          <t>1886</t>
        </is>
      </c>
      <c r="O1353" t="inlineStr">
        <is>
          <t>eng</t>
        </is>
      </c>
      <c r="P1353" t="inlineStr">
        <is>
          <t>xxu</t>
        </is>
      </c>
      <c r="R1353" t="inlineStr">
        <is>
          <t xml:space="preserve">BT </t>
        </is>
      </c>
      <c r="S1353" t="n">
        <v>5</v>
      </c>
      <c r="T1353" t="n">
        <v>5</v>
      </c>
      <c r="U1353" t="inlineStr">
        <is>
          <t>1999-11-30</t>
        </is>
      </c>
      <c r="V1353" t="inlineStr">
        <is>
          <t>1999-11-30</t>
        </is>
      </c>
      <c r="W1353" t="inlineStr">
        <is>
          <t>1991-10-22</t>
        </is>
      </c>
      <c r="X1353" t="inlineStr">
        <is>
          <t>1991-10-22</t>
        </is>
      </c>
      <c r="Y1353" t="n">
        <v>34</v>
      </c>
      <c r="Z1353" t="n">
        <v>30</v>
      </c>
      <c r="AA1353" t="n">
        <v>102</v>
      </c>
      <c r="AB1353" t="n">
        <v>1</v>
      </c>
      <c r="AC1353" t="n">
        <v>3</v>
      </c>
      <c r="AD1353" t="n">
        <v>7</v>
      </c>
      <c r="AE1353" t="n">
        <v>11</v>
      </c>
      <c r="AF1353" t="n">
        <v>1</v>
      </c>
      <c r="AG1353" t="n">
        <v>2</v>
      </c>
      <c r="AH1353" t="n">
        <v>2</v>
      </c>
      <c r="AI1353" t="n">
        <v>3</v>
      </c>
      <c r="AJ1353" t="n">
        <v>5</v>
      </c>
      <c r="AK1353" t="n">
        <v>7</v>
      </c>
      <c r="AL1353" t="n">
        <v>0</v>
      </c>
      <c r="AM1353" t="n">
        <v>1</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HYPERLINK("https://creighton-primo.hosted.exlibrisgroup.com/primo-explore/search?tab=default_tab&amp;search_scope=EVERYTHING&amp;vid=01CRU&amp;lang=en_US&amp;offset=0&amp;query=any,contains,991004518869702656","Catalog Record")</f>
        <v/>
      </c>
      <c r="AT1353">
        <f>HYPERLINK("http://www.worldcat.org/oclc/3801742","WorldCat Record")</f>
        <v/>
      </c>
      <c r="AU1353" t="inlineStr">
        <is>
          <t>4992530:eng</t>
        </is>
      </c>
      <c r="AV1353" t="inlineStr">
        <is>
          <t>3801742</t>
        </is>
      </c>
      <c r="AW1353" t="inlineStr">
        <is>
          <t>991004518869702656</t>
        </is>
      </c>
      <c r="AX1353" t="inlineStr">
        <is>
          <t>991004518869702656</t>
        </is>
      </c>
      <c r="AY1353" t="inlineStr">
        <is>
          <t>2263263330002656</t>
        </is>
      </c>
      <c r="AZ1353" t="inlineStr">
        <is>
          <t>BOOK</t>
        </is>
      </c>
      <c r="BC1353" t="inlineStr">
        <is>
          <t>32285000807379</t>
        </is>
      </c>
      <c r="BD1353" t="inlineStr">
        <is>
          <t>893719015</t>
        </is>
      </c>
    </row>
    <row r="1354">
      <c r="A1354" t="inlineStr">
        <is>
          <t>No</t>
        </is>
      </c>
      <c r="B1354" t="inlineStr">
        <is>
          <t>BT841 .T86 1893</t>
        </is>
      </c>
      <c r="C1354" t="inlineStr">
        <is>
          <t>0                      BT 0841000T  86          1893</t>
        </is>
      </c>
      <c r="D1354" t="inlineStr">
        <is>
          <t>Two ancient treatises on purgatory.</t>
        </is>
      </c>
      <c r="F1354" t="inlineStr">
        <is>
          <t>No</t>
        </is>
      </c>
      <c r="G1354" t="inlineStr">
        <is>
          <t>1</t>
        </is>
      </c>
      <c r="H1354" t="inlineStr">
        <is>
          <t>No</t>
        </is>
      </c>
      <c r="I1354" t="inlineStr">
        <is>
          <t>No</t>
        </is>
      </c>
      <c r="J1354" t="inlineStr">
        <is>
          <t>0</t>
        </is>
      </c>
      <c r="L1354" t="inlineStr">
        <is>
          <t>London : Burns and Oates, 1893.</t>
        </is>
      </c>
      <c r="M1354" t="inlineStr">
        <is>
          <t>1893</t>
        </is>
      </c>
      <c r="O1354" t="inlineStr">
        <is>
          <t>eng</t>
        </is>
      </c>
      <c r="P1354" t="inlineStr">
        <is>
          <t>enk</t>
        </is>
      </c>
      <c r="Q1354" t="inlineStr">
        <is>
          <t>Quarterly series ; v. 87</t>
        </is>
      </c>
      <c r="R1354" t="inlineStr">
        <is>
          <t xml:space="preserve">BT </t>
        </is>
      </c>
      <c r="S1354" t="n">
        <v>7</v>
      </c>
      <c r="T1354" t="n">
        <v>7</v>
      </c>
      <c r="U1354" t="inlineStr">
        <is>
          <t>1999-12-01</t>
        </is>
      </c>
      <c r="V1354" t="inlineStr">
        <is>
          <t>1999-12-01</t>
        </is>
      </c>
      <c r="W1354" t="inlineStr">
        <is>
          <t>1990-08-08</t>
        </is>
      </c>
      <c r="X1354" t="inlineStr">
        <is>
          <t>1990-08-08</t>
        </is>
      </c>
      <c r="Y1354" t="n">
        <v>22</v>
      </c>
      <c r="Z1354" t="n">
        <v>21</v>
      </c>
      <c r="AA1354" t="n">
        <v>36</v>
      </c>
      <c r="AB1354" t="n">
        <v>1</v>
      </c>
      <c r="AC1354" t="n">
        <v>1</v>
      </c>
      <c r="AD1354" t="n">
        <v>8</v>
      </c>
      <c r="AE1354" t="n">
        <v>8</v>
      </c>
      <c r="AF1354" t="n">
        <v>1</v>
      </c>
      <c r="AG1354" t="n">
        <v>1</v>
      </c>
      <c r="AH1354" t="n">
        <v>1</v>
      </c>
      <c r="AI1354" t="n">
        <v>1</v>
      </c>
      <c r="AJ1354" t="n">
        <v>6</v>
      </c>
      <c r="AK1354" t="n">
        <v>6</v>
      </c>
      <c r="AL1354" t="n">
        <v>0</v>
      </c>
      <c r="AM1354" t="n">
        <v>0</v>
      </c>
      <c r="AN1354" t="n">
        <v>0</v>
      </c>
      <c r="AO1354" t="n">
        <v>0</v>
      </c>
      <c r="AP1354" t="inlineStr">
        <is>
          <t>Yes</t>
        </is>
      </c>
      <c r="AQ1354" t="inlineStr">
        <is>
          <t>No</t>
        </is>
      </c>
      <c r="AR1354">
        <f>HYPERLINK("http://catalog.hathitrust.org/Record/102218461","HathiTrust Record")</f>
        <v/>
      </c>
      <c r="AS1354">
        <f>HYPERLINK("https://creighton-primo.hosted.exlibrisgroup.com/primo-explore/search?tab=default_tab&amp;search_scope=EVERYTHING&amp;vid=01CRU&amp;lang=en_US&amp;offset=0&amp;query=any,contains,991004862839702656","Catalog Record")</f>
        <v/>
      </c>
      <c r="AT1354">
        <f>HYPERLINK("http://www.worldcat.org/oclc/5720375","WorldCat Record")</f>
        <v/>
      </c>
      <c r="AU1354" t="inlineStr">
        <is>
          <t>426128734:eng</t>
        </is>
      </c>
      <c r="AV1354" t="inlineStr">
        <is>
          <t>5720375</t>
        </is>
      </c>
      <c r="AW1354" t="inlineStr">
        <is>
          <t>991004862839702656</t>
        </is>
      </c>
      <c r="AX1354" t="inlineStr">
        <is>
          <t>991004862839702656</t>
        </is>
      </c>
      <c r="AY1354" t="inlineStr">
        <is>
          <t>2260348210002656</t>
        </is>
      </c>
      <c r="AZ1354" t="inlineStr">
        <is>
          <t>BOOK</t>
        </is>
      </c>
      <c r="BC1354" t="inlineStr">
        <is>
          <t>32285000269851</t>
        </is>
      </c>
      <c r="BD1354" t="inlineStr">
        <is>
          <t>893706930</t>
        </is>
      </c>
    </row>
    <row r="1355">
      <c r="A1355" t="inlineStr">
        <is>
          <t>No</t>
        </is>
      </c>
      <c r="B1355" t="inlineStr">
        <is>
          <t>BT842 .F46 1995</t>
        </is>
      </c>
      <c r="C1355" t="inlineStr">
        <is>
          <t>0                      BT 0842000F  46          1995</t>
        </is>
      </c>
      <c r="D1355" t="inlineStr">
        <is>
          <t>The persistence of purgatory / Richard K. Fenn.</t>
        </is>
      </c>
      <c r="F1355" t="inlineStr">
        <is>
          <t>No</t>
        </is>
      </c>
      <c r="G1355" t="inlineStr">
        <is>
          <t>1</t>
        </is>
      </c>
      <c r="H1355" t="inlineStr">
        <is>
          <t>No</t>
        </is>
      </c>
      <c r="I1355" t="inlineStr">
        <is>
          <t>No</t>
        </is>
      </c>
      <c r="J1355" t="inlineStr">
        <is>
          <t>0</t>
        </is>
      </c>
      <c r="K1355" t="inlineStr">
        <is>
          <t>Fenn, Richard K.</t>
        </is>
      </c>
      <c r="L1355" t="inlineStr">
        <is>
          <t>Cambridge ; New York : Cambridge University Press, 1995.</t>
        </is>
      </c>
      <c r="M1355" t="inlineStr">
        <is>
          <t>1995</t>
        </is>
      </c>
      <c r="O1355" t="inlineStr">
        <is>
          <t>eng</t>
        </is>
      </c>
      <c r="P1355" t="inlineStr">
        <is>
          <t>enk</t>
        </is>
      </c>
      <c r="R1355" t="inlineStr">
        <is>
          <t xml:space="preserve">BT </t>
        </is>
      </c>
      <c r="S1355" t="n">
        <v>6</v>
      </c>
      <c r="T1355" t="n">
        <v>6</v>
      </c>
      <c r="U1355" t="inlineStr">
        <is>
          <t>2006-10-26</t>
        </is>
      </c>
      <c r="V1355" t="inlineStr">
        <is>
          <t>2006-10-26</t>
        </is>
      </c>
      <c r="W1355" t="inlineStr">
        <is>
          <t>1998-09-08</t>
        </is>
      </c>
      <c r="X1355" t="inlineStr">
        <is>
          <t>1998-09-08</t>
        </is>
      </c>
      <c r="Y1355" t="n">
        <v>366</v>
      </c>
      <c r="Z1355" t="n">
        <v>283</v>
      </c>
      <c r="AA1355" t="n">
        <v>285</v>
      </c>
      <c r="AB1355" t="n">
        <v>2</v>
      </c>
      <c r="AC1355" t="n">
        <v>2</v>
      </c>
      <c r="AD1355" t="n">
        <v>21</v>
      </c>
      <c r="AE1355" t="n">
        <v>21</v>
      </c>
      <c r="AF1355" t="n">
        <v>9</v>
      </c>
      <c r="AG1355" t="n">
        <v>9</v>
      </c>
      <c r="AH1355" t="n">
        <v>5</v>
      </c>
      <c r="AI1355" t="n">
        <v>5</v>
      </c>
      <c r="AJ1355" t="n">
        <v>13</v>
      </c>
      <c r="AK1355" t="n">
        <v>13</v>
      </c>
      <c r="AL1355" t="n">
        <v>1</v>
      </c>
      <c r="AM1355" t="n">
        <v>1</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HYPERLINK("https://creighton-primo.hosted.exlibrisgroup.com/primo-explore/search?tab=default_tab&amp;search_scope=EVERYTHING&amp;vid=01CRU&amp;lang=en_US&amp;offset=0&amp;query=any,contains,991002472349702656","Catalog Record")</f>
        <v/>
      </c>
      <c r="AT1355">
        <f>HYPERLINK("http://www.worldcat.org/oclc/32200349","WorldCat Record")</f>
        <v/>
      </c>
      <c r="AU1355" t="inlineStr">
        <is>
          <t>1194:eng</t>
        </is>
      </c>
      <c r="AV1355" t="inlineStr">
        <is>
          <t>32200349</t>
        </is>
      </c>
      <c r="AW1355" t="inlineStr">
        <is>
          <t>991002472349702656</t>
        </is>
      </c>
      <c r="AX1355" t="inlineStr">
        <is>
          <t>991002472349702656</t>
        </is>
      </c>
      <c r="AY1355" t="inlineStr">
        <is>
          <t>2272489010002656</t>
        </is>
      </c>
      <c r="AZ1355" t="inlineStr">
        <is>
          <t>BOOK</t>
        </is>
      </c>
      <c r="BB1355" t="inlineStr">
        <is>
          <t>9780521550390</t>
        </is>
      </c>
      <c r="BC1355" t="inlineStr">
        <is>
          <t>32285003465969</t>
        </is>
      </c>
      <c r="BD1355" t="inlineStr">
        <is>
          <t>893879978</t>
        </is>
      </c>
    </row>
    <row r="1356">
      <c r="A1356" t="inlineStr">
        <is>
          <t>No</t>
        </is>
      </c>
      <c r="B1356" t="inlineStr">
        <is>
          <t>BT844 .V57 1989</t>
        </is>
      </c>
      <c r="C1356" t="inlineStr">
        <is>
          <t>0                      BT 0844000V  57          1989</t>
        </is>
      </c>
      <c r="D1356" t="inlineStr">
        <is>
          <t>Visions of heaven and hell before Dante / edited by Eileen Gardiner ; illustrations by Alexandra Eldridge.</t>
        </is>
      </c>
      <c r="F1356" t="inlineStr">
        <is>
          <t>No</t>
        </is>
      </c>
      <c r="G1356" t="inlineStr">
        <is>
          <t>1</t>
        </is>
      </c>
      <c r="H1356" t="inlineStr">
        <is>
          <t>No</t>
        </is>
      </c>
      <c r="I1356" t="inlineStr">
        <is>
          <t>No</t>
        </is>
      </c>
      <c r="J1356" t="inlineStr">
        <is>
          <t>0</t>
        </is>
      </c>
      <c r="L1356" t="inlineStr">
        <is>
          <t>New York : Italica Press, 1989.</t>
        </is>
      </c>
      <c r="M1356" t="inlineStr">
        <is>
          <t>1989</t>
        </is>
      </c>
      <c r="O1356" t="inlineStr">
        <is>
          <t>eng</t>
        </is>
      </c>
      <c r="P1356" t="inlineStr">
        <is>
          <t>nyu</t>
        </is>
      </c>
      <c r="R1356" t="inlineStr">
        <is>
          <t xml:space="preserve">BT </t>
        </is>
      </c>
      <c r="S1356" t="n">
        <v>9</v>
      </c>
      <c r="T1356" t="n">
        <v>9</v>
      </c>
      <c r="U1356" t="inlineStr">
        <is>
          <t>2006-04-05</t>
        </is>
      </c>
      <c r="V1356" t="inlineStr">
        <is>
          <t>2006-04-05</t>
        </is>
      </c>
      <c r="W1356" t="inlineStr">
        <is>
          <t>1996-07-29</t>
        </is>
      </c>
      <c r="X1356" t="inlineStr">
        <is>
          <t>1996-07-29</t>
        </is>
      </c>
      <c r="Y1356" t="n">
        <v>542</v>
      </c>
      <c r="Z1356" t="n">
        <v>440</v>
      </c>
      <c r="AA1356" t="n">
        <v>485</v>
      </c>
      <c r="AB1356" t="n">
        <v>6</v>
      </c>
      <c r="AC1356" t="n">
        <v>6</v>
      </c>
      <c r="AD1356" t="n">
        <v>24</v>
      </c>
      <c r="AE1356" t="n">
        <v>29</v>
      </c>
      <c r="AF1356" t="n">
        <v>4</v>
      </c>
      <c r="AG1356" t="n">
        <v>9</v>
      </c>
      <c r="AH1356" t="n">
        <v>7</v>
      </c>
      <c r="AI1356" t="n">
        <v>8</v>
      </c>
      <c r="AJ1356" t="n">
        <v>13</v>
      </c>
      <c r="AK1356" t="n">
        <v>13</v>
      </c>
      <c r="AL1356" t="n">
        <v>5</v>
      </c>
      <c r="AM1356" t="n">
        <v>5</v>
      </c>
      <c r="AN1356" t="n">
        <v>0</v>
      </c>
      <c r="AO1356" t="n">
        <v>0</v>
      </c>
      <c r="AP1356" t="inlineStr">
        <is>
          <t>No</t>
        </is>
      </c>
      <c r="AQ1356" t="inlineStr">
        <is>
          <t>Yes</t>
        </is>
      </c>
      <c r="AR1356">
        <f>HYPERLINK("http://catalog.hathitrust.org/Record/001290677","HathiTrust Record")</f>
        <v/>
      </c>
      <c r="AS1356">
        <f>HYPERLINK("https://creighton-primo.hosted.exlibrisgroup.com/primo-explore/search?tab=default_tab&amp;search_scope=EVERYTHING&amp;vid=01CRU&amp;lang=en_US&amp;offset=0&amp;query=any,contains,991001388559702656","Catalog Record")</f>
        <v/>
      </c>
      <c r="AT1356">
        <f>HYPERLINK("http://www.worldcat.org/oclc/18741120","WorldCat Record")</f>
        <v/>
      </c>
      <c r="AU1356" t="inlineStr">
        <is>
          <t>19047840:eng</t>
        </is>
      </c>
      <c r="AV1356" t="inlineStr">
        <is>
          <t>18741120</t>
        </is>
      </c>
      <c r="AW1356" t="inlineStr">
        <is>
          <t>991001388559702656</t>
        </is>
      </c>
      <c r="AX1356" t="inlineStr">
        <is>
          <t>991001388559702656</t>
        </is>
      </c>
      <c r="AY1356" t="inlineStr">
        <is>
          <t>2256319150002656</t>
        </is>
      </c>
      <c r="AZ1356" t="inlineStr">
        <is>
          <t>BOOK</t>
        </is>
      </c>
      <c r="BB1356" t="inlineStr">
        <is>
          <t>9780934977142</t>
        </is>
      </c>
      <c r="BC1356" t="inlineStr">
        <is>
          <t>32285002208535</t>
        </is>
      </c>
      <c r="BD1356" t="inlineStr">
        <is>
          <t>893334310</t>
        </is>
      </c>
    </row>
    <row r="1357">
      <c r="A1357" t="inlineStr">
        <is>
          <t>No</t>
        </is>
      </c>
      <c r="B1357" t="inlineStr">
        <is>
          <t>BT846 .H36 1962</t>
        </is>
      </c>
      <c r="C1357" t="inlineStr">
        <is>
          <t>0                      BT 0846000H  36          1962</t>
        </is>
      </c>
      <c r="D1357" t="inlineStr">
        <is>
          <t>The happiness of heaven / by a Father of the Society of Jesus, P. J. Boudreaux.</t>
        </is>
      </c>
      <c r="F1357" t="inlineStr">
        <is>
          <t>No</t>
        </is>
      </c>
      <c r="G1357" t="inlineStr">
        <is>
          <t>1</t>
        </is>
      </c>
      <c r="H1357" t="inlineStr">
        <is>
          <t>No</t>
        </is>
      </c>
      <c r="I1357" t="inlineStr">
        <is>
          <t>No</t>
        </is>
      </c>
      <c r="J1357" t="inlineStr">
        <is>
          <t>0</t>
        </is>
      </c>
      <c r="K1357" t="inlineStr">
        <is>
          <t>Boudreaux, P. J.</t>
        </is>
      </c>
      <c r="L1357" t="inlineStr">
        <is>
          <t>Chicago : Loyola University Press, 1962.</t>
        </is>
      </c>
      <c r="M1357" t="inlineStr">
        <is>
          <t>1962</t>
        </is>
      </c>
      <c r="O1357" t="inlineStr">
        <is>
          <t>eng</t>
        </is>
      </c>
      <c r="P1357" t="inlineStr">
        <is>
          <t xml:space="preserve">xx </t>
        </is>
      </c>
      <c r="R1357" t="inlineStr">
        <is>
          <t xml:space="preserve">BT </t>
        </is>
      </c>
      <c r="S1357" t="n">
        <v>1</v>
      </c>
      <c r="T1357" t="n">
        <v>1</v>
      </c>
      <c r="U1357" t="inlineStr">
        <is>
          <t>1992-04-11</t>
        </is>
      </c>
      <c r="V1357" t="inlineStr">
        <is>
          <t>1992-04-11</t>
        </is>
      </c>
      <c r="W1357" t="inlineStr">
        <is>
          <t>1990-08-08</t>
        </is>
      </c>
      <c r="X1357" t="inlineStr">
        <is>
          <t>1990-08-08</t>
        </is>
      </c>
      <c r="Y1357" t="n">
        <v>29</v>
      </c>
      <c r="Z1357" t="n">
        <v>29</v>
      </c>
      <c r="AA1357" t="n">
        <v>470</v>
      </c>
      <c r="AB1357" t="n">
        <v>1</v>
      </c>
      <c r="AC1357" t="n">
        <v>6</v>
      </c>
      <c r="AD1357" t="n">
        <v>5</v>
      </c>
      <c r="AE1357" t="n">
        <v>37</v>
      </c>
      <c r="AF1357" t="n">
        <v>1</v>
      </c>
      <c r="AG1357" t="n">
        <v>13</v>
      </c>
      <c r="AH1357" t="n">
        <v>1</v>
      </c>
      <c r="AI1357" t="n">
        <v>9</v>
      </c>
      <c r="AJ1357" t="n">
        <v>5</v>
      </c>
      <c r="AK1357" t="n">
        <v>22</v>
      </c>
      <c r="AL1357" t="n">
        <v>0</v>
      </c>
      <c r="AM1357" t="n">
        <v>4</v>
      </c>
      <c r="AN1357" t="n">
        <v>0</v>
      </c>
      <c r="AO1357" t="n">
        <v>1</v>
      </c>
      <c r="AP1357" t="inlineStr">
        <is>
          <t>No</t>
        </is>
      </c>
      <c r="AQ1357" t="inlineStr">
        <is>
          <t>No</t>
        </is>
      </c>
      <c r="AS1357">
        <f>HYPERLINK("https://creighton-primo.hosted.exlibrisgroup.com/primo-explore/search?tab=default_tab&amp;search_scope=EVERYTHING&amp;vid=01CRU&amp;lang=en_US&amp;offset=0&amp;query=any,contains,991004238799702656","Catalog Record")</f>
        <v/>
      </c>
      <c r="AT1357">
        <f>HYPERLINK("http://www.worldcat.org/oclc/2779537","WorldCat Record")</f>
        <v/>
      </c>
      <c r="AU1357" t="inlineStr">
        <is>
          <t>8066088:eng</t>
        </is>
      </c>
      <c r="AV1357" t="inlineStr">
        <is>
          <t>2779537</t>
        </is>
      </c>
      <c r="AW1357" t="inlineStr">
        <is>
          <t>991004238799702656</t>
        </is>
      </c>
      <c r="AX1357" t="inlineStr">
        <is>
          <t>991004238799702656</t>
        </is>
      </c>
      <c r="AY1357" t="inlineStr">
        <is>
          <t>2255928340002656</t>
        </is>
      </c>
      <c r="AZ1357" t="inlineStr">
        <is>
          <t>BOOK</t>
        </is>
      </c>
      <c r="BC1357" t="inlineStr">
        <is>
          <t>32285000269877</t>
        </is>
      </c>
      <c r="BD1357" t="inlineStr">
        <is>
          <t>893241182</t>
        </is>
      </c>
    </row>
    <row r="1358">
      <c r="A1358" t="inlineStr">
        <is>
          <t>No</t>
        </is>
      </c>
      <c r="B1358" t="inlineStr">
        <is>
          <t>BT846 .S35 1936</t>
        </is>
      </c>
      <c r="C1358" t="inlineStr">
        <is>
          <t>0                      BT 0846000S  35          1936</t>
        </is>
      </c>
      <c r="D1358" t="inlineStr">
        <is>
          <t>What is heaven / by Martin J. Scott.</t>
        </is>
      </c>
      <c r="F1358" t="inlineStr">
        <is>
          <t>No</t>
        </is>
      </c>
      <c r="G1358" t="inlineStr">
        <is>
          <t>1</t>
        </is>
      </c>
      <c r="H1358" t="inlineStr">
        <is>
          <t>No</t>
        </is>
      </c>
      <c r="I1358" t="inlineStr">
        <is>
          <t>No</t>
        </is>
      </c>
      <c r="J1358" t="inlineStr">
        <is>
          <t>0</t>
        </is>
      </c>
      <c r="K1358" t="inlineStr">
        <is>
          <t>Scott, Martin J. (Martin Jerome), 1865-1964.</t>
        </is>
      </c>
      <c r="L1358" t="inlineStr">
        <is>
          <t>New York : P.J. Kenedy &amp; sons, [c1936]</t>
        </is>
      </c>
      <c r="M1358" t="inlineStr">
        <is>
          <t>1936</t>
        </is>
      </c>
      <c r="O1358" t="inlineStr">
        <is>
          <t>eng</t>
        </is>
      </c>
      <c r="P1358" t="inlineStr">
        <is>
          <t>nyu</t>
        </is>
      </c>
      <c r="R1358" t="inlineStr">
        <is>
          <t xml:space="preserve">BT </t>
        </is>
      </c>
      <c r="S1358" t="n">
        <v>2</v>
      </c>
      <c r="T1358" t="n">
        <v>2</v>
      </c>
      <c r="U1358" t="inlineStr">
        <is>
          <t>1996-11-04</t>
        </is>
      </c>
      <c r="V1358" t="inlineStr">
        <is>
          <t>1996-11-04</t>
        </is>
      </c>
      <c r="W1358" t="inlineStr">
        <is>
          <t>1990-08-08</t>
        </is>
      </c>
      <c r="X1358" t="inlineStr">
        <is>
          <t>1990-08-08</t>
        </is>
      </c>
      <c r="Y1358" t="n">
        <v>33</v>
      </c>
      <c r="Z1358" t="n">
        <v>29</v>
      </c>
      <c r="AA1358" t="n">
        <v>29</v>
      </c>
      <c r="AB1358" t="n">
        <v>1</v>
      </c>
      <c r="AC1358" t="n">
        <v>1</v>
      </c>
      <c r="AD1358" t="n">
        <v>8</v>
      </c>
      <c r="AE1358" t="n">
        <v>8</v>
      </c>
      <c r="AF1358" t="n">
        <v>1</v>
      </c>
      <c r="AG1358" t="n">
        <v>1</v>
      </c>
      <c r="AH1358" t="n">
        <v>2</v>
      </c>
      <c r="AI1358" t="n">
        <v>2</v>
      </c>
      <c r="AJ1358" t="n">
        <v>8</v>
      </c>
      <c r="AK1358" t="n">
        <v>8</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HYPERLINK("https://creighton-primo.hosted.exlibrisgroup.com/primo-explore/search?tab=default_tab&amp;search_scope=EVERYTHING&amp;vid=01CRU&amp;lang=en_US&amp;offset=0&amp;query=any,contains,991004987649702656","Catalog Record")</f>
        <v/>
      </c>
      <c r="AT1358">
        <f>HYPERLINK("http://www.worldcat.org/oclc/6468431","WorldCat Record")</f>
        <v/>
      </c>
      <c r="AU1358" t="inlineStr">
        <is>
          <t>22242957:eng</t>
        </is>
      </c>
      <c r="AV1358" t="inlineStr">
        <is>
          <t>6468431</t>
        </is>
      </c>
      <c r="AW1358" t="inlineStr">
        <is>
          <t>991004987649702656</t>
        </is>
      </c>
      <c r="AX1358" t="inlineStr">
        <is>
          <t>991004987649702656</t>
        </is>
      </c>
      <c r="AY1358" t="inlineStr">
        <is>
          <t>2258440330002656</t>
        </is>
      </c>
      <c r="AZ1358" t="inlineStr">
        <is>
          <t>BOOK</t>
        </is>
      </c>
      <c r="BC1358" t="inlineStr">
        <is>
          <t>32285000269885</t>
        </is>
      </c>
      <c r="BD1358" t="inlineStr">
        <is>
          <t>893526737</t>
        </is>
      </c>
    </row>
    <row r="1359">
      <c r="A1359" t="inlineStr">
        <is>
          <t>No</t>
        </is>
      </c>
      <c r="B1359" t="inlineStr">
        <is>
          <t>BT846.2 .M3 1958b</t>
        </is>
      </c>
      <c r="C1359" t="inlineStr">
        <is>
          <t>0                      BT 0846200M  3           1958b</t>
        </is>
      </c>
      <c r="D1359" t="inlineStr">
        <is>
          <t>Heaven / by J.P. McCarthy.</t>
        </is>
      </c>
      <c r="F1359" t="inlineStr">
        <is>
          <t>No</t>
        </is>
      </c>
      <c r="G1359" t="inlineStr">
        <is>
          <t>1</t>
        </is>
      </c>
      <c r="H1359" t="inlineStr">
        <is>
          <t>No</t>
        </is>
      </c>
      <c r="I1359" t="inlineStr">
        <is>
          <t>No</t>
        </is>
      </c>
      <c r="J1359" t="inlineStr">
        <is>
          <t>0</t>
        </is>
      </c>
      <c r="K1359" t="inlineStr">
        <is>
          <t>McCarthy, J. P.</t>
        </is>
      </c>
      <c r="L1359" t="inlineStr">
        <is>
          <t>Dublin : Clonmore &amp; Reynolds Ltd., [1958]</t>
        </is>
      </c>
      <c r="M1359" t="inlineStr">
        <is>
          <t>1958</t>
        </is>
      </c>
      <c r="O1359" t="inlineStr">
        <is>
          <t>eng</t>
        </is>
      </c>
      <c r="P1359" t="inlineStr">
        <is>
          <t>nyu</t>
        </is>
      </c>
      <c r="R1359" t="inlineStr">
        <is>
          <t xml:space="preserve">BT </t>
        </is>
      </c>
      <c r="S1359" t="n">
        <v>1</v>
      </c>
      <c r="T1359" t="n">
        <v>1</v>
      </c>
      <c r="U1359" t="inlineStr">
        <is>
          <t>2001-03-29</t>
        </is>
      </c>
      <c r="V1359" t="inlineStr">
        <is>
          <t>2001-03-29</t>
        </is>
      </c>
      <c r="W1359" t="inlineStr">
        <is>
          <t>1991-10-22</t>
        </is>
      </c>
      <c r="X1359" t="inlineStr">
        <is>
          <t>1991-10-22</t>
        </is>
      </c>
      <c r="Y1359" t="n">
        <v>78</v>
      </c>
      <c r="Z1359" t="n">
        <v>72</v>
      </c>
      <c r="AA1359" t="n">
        <v>74</v>
      </c>
      <c r="AB1359" t="n">
        <v>2</v>
      </c>
      <c r="AC1359" t="n">
        <v>2</v>
      </c>
      <c r="AD1359" t="n">
        <v>17</v>
      </c>
      <c r="AE1359" t="n">
        <v>17</v>
      </c>
      <c r="AF1359" t="n">
        <v>3</v>
      </c>
      <c r="AG1359" t="n">
        <v>3</v>
      </c>
      <c r="AH1359" t="n">
        <v>5</v>
      </c>
      <c r="AI1359" t="n">
        <v>5</v>
      </c>
      <c r="AJ1359" t="n">
        <v>13</v>
      </c>
      <c r="AK1359" t="n">
        <v>13</v>
      </c>
      <c r="AL1359" t="n">
        <v>0</v>
      </c>
      <c r="AM1359" t="n">
        <v>0</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HYPERLINK("https://creighton-primo.hosted.exlibrisgroup.com/primo-explore/search?tab=default_tab&amp;search_scope=EVERYTHING&amp;vid=01CRU&amp;lang=en_US&amp;offset=0&amp;query=any,contains,991004559809702656","Catalog Record")</f>
        <v/>
      </c>
      <c r="AT1359">
        <f>HYPERLINK("http://www.worldcat.org/oclc/3990807","WorldCat Record")</f>
        <v/>
      </c>
      <c r="AU1359" t="inlineStr">
        <is>
          <t>13910511:eng</t>
        </is>
      </c>
      <c r="AV1359" t="inlineStr">
        <is>
          <t>3990807</t>
        </is>
      </c>
      <c r="AW1359" t="inlineStr">
        <is>
          <t>991004559809702656</t>
        </is>
      </c>
      <c r="AX1359" t="inlineStr">
        <is>
          <t>991004559809702656</t>
        </is>
      </c>
      <c r="AY1359" t="inlineStr">
        <is>
          <t>2266471640002656</t>
        </is>
      </c>
      <c r="AZ1359" t="inlineStr">
        <is>
          <t>BOOK</t>
        </is>
      </c>
      <c r="BC1359" t="inlineStr">
        <is>
          <t>32285000807411</t>
        </is>
      </c>
      <c r="BD1359" t="inlineStr">
        <is>
          <t>893513394</t>
        </is>
      </c>
    </row>
    <row r="1360">
      <c r="A1360" t="inlineStr">
        <is>
          <t>No</t>
        </is>
      </c>
      <c r="B1360" t="inlineStr">
        <is>
          <t>BT846.3 .S73 2004</t>
        </is>
      </c>
      <c r="C1360" t="inlineStr">
        <is>
          <t>0                      BT 0846300S  73          2004</t>
        </is>
      </c>
      <c r="D1360" t="inlineStr">
        <is>
          <t>Heaven : a guide to the undiscovered country / Peter Stanford.</t>
        </is>
      </c>
      <c r="F1360" t="inlineStr">
        <is>
          <t>No</t>
        </is>
      </c>
      <c r="G1360" t="inlineStr">
        <is>
          <t>1</t>
        </is>
      </c>
      <c r="H1360" t="inlineStr">
        <is>
          <t>No</t>
        </is>
      </c>
      <c r="I1360" t="inlineStr">
        <is>
          <t>No</t>
        </is>
      </c>
      <c r="J1360" t="inlineStr">
        <is>
          <t>0</t>
        </is>
      </c>
      <c r="K1360" t="inlineStr">
        <is>
          <t>Stanford, Peter, 1961-</t>
        </is>
      </c>
      <c r="L1360" t="inlineStr">
        <is>
          <t>New York : Palgrave MacMillan, 2004.</t>
        </is>
      </c>
      <c r="M1360" t="inlineStr">
        <is>
          <t>2002</t>
        </is>
      </c>
      <c r="O1360" t="inlineStr">
        <is>
          <t>eng</t>
        </is>
      </c>
      <c r="P1360" t="inlineStr">
        <is>
          <t>enk</t>
        </is>
      </c>
      <c r="R1360" t="inlineStr">
        <is>
          <t xml:space="preserve">BT </t>
        </is>
      </c>
      <c r="S1360" t="n">
        <v>2</v>
      </c>
      <c r="T1360" t="n">
        <v>2</v>
      </c>
      <c r="U1360" t="inlineStr">
        <is>
          <t>2006-10-11</t>
        </is>
      </c>
      <c r="V1360" t="inlineStr">
        <is>
          <t>2006-10-11</t>
        </is>
      </c>
      <c r="W1360" t="inlineStr">
        <is>
          <t>2004-03-08</t>
        </is>
      </c>
      <c r="X1360" t="inlineStr">
        <is>
          <t>2004-03-08</t>
        </is>
      </c>
      <c r="Y1360" t="n">
        <v>268</v>
      </c>
      <c r="Z1360" t="n">
        <v>264</v>
      </c>
      <c r="AA1360" t="n">
        <v>351</v>
      </c>
      <c r="AB1360" t="n">
        <v>4</v>
      </c>
      <c r="AC1360" t="n">
        <v>4</v>
      </c>
      <c r="AD1360" t="n">
        <v>6</v>
      </c>
      <c r="AE1360" t="n">
        <v>8</v>
      </c>
      <c r="AF1360" t="n">
        <v>3</v>
      </c>
      <c r="AG1360" t="n">
        <v>4</v>
      </c>
      <c r="AH1360" t="n">
        <v>0</v>
      </c>
      <c r="AI1360" t="n">
        <v>0</v>
      </c>
      <c r="AJ1360" t="n">
        <v>2</v>
      </c>
      <c r="AK1360" t="n">
        <v>3</v>
      </c>
      <c r="AL1360" t="n">
        <v>2</v>
      </c>
      <c r="AM1360" t="n">
        <v>2</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HYPERLINK("https://creighton-primo.hosted.exlibrisgroup.com/primo-explore/search?tab=default_tab&amp;search_scope=EVERYTHING&amp;vid=01CRU&amp;lang=en_US&amp;offset=0&amp;query=any,contains,991004245259702656","Catalog Record")</f>
        <v/>
      </c>
      <c r="AT1360">
        <f>HYPERLINK("http://www.worldcat.org/oclc/54111063","WorldCat Record")</f>
        <v/>
      </c>
      <c r="AU1360" t="inlineStr">
        <is>
          <t>8909466514:eng</t>
        </is>
      </c>
      <c r="AV1360" t="inlineStr">
        <is>
          <t>54111063</t>
        </is>
      </c>
      <c r="AW1360" t="inlineStr">
        <is>
          <t>991004245259702656</t>
        </is>
      </c>
      <c r="AX1360" t="inlineStr">
        <is>
          <t>991004245259702656</t>
        </is>
      </c>
      <c r="AY1360" t="inlineStr">
        <is>
          <t>2267201040002656</t>
        </is>
      </c>
      <c r="AZ1360" t="inlineStr">
        <is>
          <t>BOOK</t>
        </is>
      </c>
      <c r="BB1360" t="inlineStr">
        <is>
          <t>9781403963604</t>
        </is>
      </c>
      <c r="BC1360" t="inlineStr">
        <is>
          <t>32285004892484</t>
        </is>
      </c>
      <c r="BD1360" t="inlineStr">
        <is>
          <t>893605804</t>
        </is>
      </c>
    </row>
    <row r="1361">
      <c r="A1361" t="inlineStr">
        <is>
          <t>No</t>
        </is>
      </c>
      <c r="B1361" t="inlineStr">
        <is>
          <t>BT85 .D6</t>
        </is>
      </c>
      <c r="C1361" t="inlineStr">
        <is>
          <t>0                      BT 0085000D  6</t>
        </is>
      </c>
      <c r="D1361" t="inlineStr">
        <is>
          <t>Gospel and law : the relation of faith and ethics in early Christianity / by C.H. Dodd.</t>
        </is>
      </c>
      <c r="F1361" t="inlineStr">
        <is>
          <t>No</t>
        </is>
      </c>
      <c r="G1361" t="inlineStr">
        <is>
          <t>1</t>
        </is>
      </c>
      <c r="H1361" t="inlineStr">
        <is>
          <t>No</t>
        </is>
      </c>
      <c r="I1361" t="inlineStr">
        <is>
          <t>No</t>
        </is>
      </c>
      <c r="J1361" t="inlineStr">
        <is>
          <t>0</t>
        </is>
      </c>
      <c r="K1361" t="inlineStr">
        <is>
          <t>Dodd, C. H. (Charles Harold), 1884-1973.</t>
        </is>
      </c>
      <c r="L1361" t="inlineStr">
        <is>
          <t>New York, Columbia University Press, 1951.</t>
        </is>
      </c>
      <c r="M1361" t="inlineStr">
        <is>
          <t>1951</t>
        </is>
      </c>
      <c r="O1361" t="inlineStr">
        <is>
          <t>eng</t>
        </is>
      </c>
      <c r="P1361" t="inlineStr">
        <is>
          <t>nyu</t>
        </is>
      </c>
      <c r="Q1361" t="inlineStr">
        <is>
          <t>Bampton lectures in America ; no. 3</t>
        </is>
      </c>
      <c r="R1361" t="inlineStr">
        <is>
          <t xml:space="preserve">BT </t>
        </is>
      </c>
      <c r="S1361" t="n">
        <v>4</v>
      </c>
      <c r="T1361" t="n">
        <v>4</v>
      </c>
      <c r="U1361" t="inlineStr">
        <is>
          <t>2006-07-10</t>
        </is>
      </c>
      <c r="V1361" t="inlineStr">
        <is>
          <t>2006-07-10</t>
        </is>
      </c>
      <c r="W1361" t="inlineStr">
        <is>
          <t>1991-06-25</t>
        </is>
      </c>
      <c r="X1361" t="inlineStr">
        <is>
          <t>1991-06-25</t>
        </is>
      </c>
      <c r="Y1361" t="n">
        <v>609</v>
      </c>
      <c r="Z1361" t="n">
        <v>555</v>
      </c>
      <c r="AA1361" t="n">
        <v>646</v>
      </c>
      <c r="AB1361" t="n">
        <v>7</v>
      </c>
      <c r="AC1361" t="n">
        <v>7</v>
      </c>
      <c r="AD1361" t="n">
        <v>29</v>
      </c>
      <c r="AE1361" t="n">
        <v>37</v>
      </c>
      <c r="AF1361" t="n">
        <v>12</v>
      </c>
      <c r="AG1361" t="n">
        <v>14</v>
      </c>
      <c r="AH1361" t="n">
        <v>5</v>
      </c>
      <c r="AI1361" t="n">
        <v>6</v>
      </c>
      <c r="AJ1361" t="n">
        <v>15</v>
      </c>
      <c r="AK1361" t="n">
        <v>22</v>
      </c>
      <c r="AL1361" t="n">
        <v>5</v>
      </c>
      <c r="AM1361" t="n">
        <v>5</v>
      </c>
      <c r="AN1361" t="n">
        <v>0</v>
      </c>
      <c r="AO1361" t="n">
        <v>0</v>
      </c>
      <c r="AP1361" t="inlineStr">
        <is>
          <t>No</t>
        </is>
      </c>
      <c r="AQ1361" t="inlineStr">
        <is>
          <t>Yes</t>
        </is>
      </c>
      <c r="AR1361">
        <f>HYPERLINK("http://catalog.hathitrust.org/Record/001411769","HathiTrust Record")</f>
        <v/>
      </c>
      <c r="AS1361">
        <f>HYPERLINK("https://creighton-primo.hosted.exlibrisgroup.com/primo-explore/search?tab=default_tab&amp;search_scope=EVERYTHING&amp;vid=01CRU&amp;lang=en_US&amp;offset=0&amp;query=any,contains,991002639709702656","Catalog Record")</f>
        <v/>
      </c>
      <c r="AT1361">
        <f>HYPERLINK("http://www.worldcat.org/oclc/383749","WorldCat Record")</f>
        <v/>
      </c>
      <c r="AU1361" t="inlineStr">
        <is>
          <t>1501810:eng</t>
        </is>
      </c>
      <c r="AV1361" t="inlineStr">
        <is>
          <t>383749</t>
        </is>
      </c>
      <c r="AW1361" t="inlineStr">
        <is>
          <t>991002639709702656</t>
        </is>
      </c>
      <c r="AX1361" t="inlineStr">
        <is>
          <t>991002639709702656</t>
        </is>
      </c>
      <c r="AY1361" t="inlineStr">
        <is>
          <t>2260511500002656</t>
        </is>
      </c>
      <c r="AZ1361" t="inlineStr">
        <is>
          <t>BOOK</t>
        </is>
      </c>
      <c r="BC1361" t="inlineStr">
        <is>
          <t>32285000689660</t>
        </is>
      </c>
      <c r="BD1361" t="inlineStr">
        <is>
          <t>893685598</t>
        </is>
      </c>
    </row>
    <row r="1362">
      <c r="A1362" t="inlineStr">
        <is>
          <t>No</t>
        </is>
      </c>
      <c r="B1362" t="inlineStr">
        <is>
          <t>BT85 .M47</t>
        </is>
      </c>
      <c r="C1362" t="inlineStr">
        <is>
          <t>0                      BT 0085000M  47</t>
        </is>
      </c>
      <c r="D1362" t="inlineStr">
        <is>
          <t>Mystery and prophecy / by A. Michel. Translated by Carl J.Moell, S.J.</t>
        </is>
      </c>
      <c r="F1362" t="inlineStr">
        <is>
          <t>No</t>
        </is>
      </c>
      <c r="G1362" t="inlineStr">
        <is>
          <t>1</t>
        </is>
      </c>
      <c r="H1362" t="inlineStr">
        <is>
          <t>No</t>
        </is>
      </c>
      <c r="I1362" t="inlineStr">
        <is>
          <t>No</t>
        </is>
      </c>
      <c r="J1362" t="inlineStr">
        <is>
          <t>0</t>
        </is>
      </c>
      <c r="K1362" t="inlineStr">
        <is>
          <t>Michel, Albert.</t>
        </is>
      </c>
      <c r="L1362" t="inlineStr">
        <is>
          <t>West Baden Springs, Ind. : West Baden Cillege, [c1954]</t>
        </is>
      </c>
      <c r="M1362" t="inlineStr">
        <is>
          <t>1954</t>
        </is>
      </c>
      <c r="O1362" t="inlineStr">
        <is>
          <t>eng</t>
        </is>
      </c>
      <c r="P1362" t="inlineStr">
        <is>
          <t>___</t>
        </is>
      </c>
      <c r="R1362" t="inlineStr">
        <is>
          <t xml:space="preserve">BT </t>
        </is>
      </c>
      <c r="S1362" t="n">
        <v>2</v>
      </c>
      <c r="T1362" t="n">
        <v>2</v>
      </c>
      <c r="U1362" t="inlineStr">
        <is>
          <t>1999-11-15</t>
        </is>
      </c>
      <c r="V1362" t="inlineStr">
        <is>
          <t>1999-11-15</t>
        </is>
      </c>
      <c r="W1362" t="inlineStr">
        <is>
          <t>1991-06-25</t>
        </is>
      </c>
      <c r="X1362" t="inlineStr">
        <is>
          <t>1991-06-25</t>
        </is>
      </c>
      <c r="Y1362" t="n">
        <v>58</v>
      </c>
      <c r="Z1362" t="n">
        <v>58</v>
      </c>
      <c r="AA1362" t="n">
        <v>58</v>
      </c>
      <c r="AB1362" t="n">
        <v>1</v>
      </c>
      <c r="AC1362" t="n">
        <v>1</v>
      </c>
      <c r="AD1362" t="n">
        <v>18</v>
      </c>
      <c r="AE1362" t="n">
        <v>18</v>
      </c>
      <c r="AF1362" t="n">
        <v>5</v>
      </c>
      <c r="AG1362" t="n">
        <v>5</v>
      </c>
      <c r="AH1362" t="n">
        <v>4</v>
      </c>
      <c r="AI1362" t="n">
        <v>4</v>
      </c>
      <c r="AJ1362" t="n">
        <v>16</v>
      </c>
      <c r="AK1362" t="n">
        <v>16</v>
      </c>
      <c r="AL1362" t="n">
        <v>0</v>
      </c>
      <c r="AM1362" t="n">
        <v>0</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HYPERLINK("https://creighton-primo.hosted.exlibrisgroup.com/primo-explore/search?tab=default_tab&amp;search_scope=EVERYTHING&amp;vid=01CRU&amp;lang=en_US&amp;offset=0&amp;query=any,contains,991003106589702656","Catalog Record")</f>
        <v/>
      </c>
      <c r="AT1362">
        <f>HYPERLINK("http://www.worldcat.org/oclc/654416","WorldCat Record")</f>
        <v/>
      </c>
      <c r="AU1362" t="inlineStr">
        <is>
          <t>65047299:eng</t>
        </is>
      </c>
      <c r="AV1362" t="inlineStr">
        <is>
          <t>654416</t>
        </is>
      </c>
      <c r="AW1362" t="inlineStr">
        <is>
          <t>991003106589702656</t>
        </is>
      </c>
      <c r="AX1362" t="inlineStr">
        <is>
          <t>991003106589702656</t>
        </is>
      </c>
      <c r="AY1362" t="inlineStr">
        <is>
          <t>2262205780002656</t>
        </is>
      </c>
      <c r="AZ1362" t="inlineStr">
        <is>
          <t>BOOK</t>
        </is>
      </c>
      <c r="BC1362" t="inlineStr">
        <is>
          <t>32285000689678</t>
        </is>
      </c>
      <c r="BD1362" t="inlineStr">
        <is>
          <t>893805433</t>
        </is>
      </c>
    </row>
    <row r="1363">
      <c r="A1363" t="inlineStr">
        <is>
          <t>No</t>
        </is>
      </c>
      <c r="B1363" t="inlineStr">
        <is>
          <t>BT871 .M15 1928a</t>
        </is>
      </c>
      <c r="C1363" t="inlineStr">
        <is>
          <t>0                      BT 0871000M  15          1928a</t>
        </is>
      </c>
      <c r="D1363" t="inlineStr">
        <is>
          <t>The resurrection of the body / by Justin McCann. Introduction by Jas. J. Walsh.</t>
        </is>
      </c>
      <c r="F1363" t="inlineStr">
        <is>
          <t>No</t>
        </is>
      </c>
      <c r="G1363" t="inlineStr">
        <is>
          <t>1</t>
        </is>
      </c>
      <c r="H1363" t="inlineStr">
        <is>
          <t>No</t>
        </is>
      </c>
      <c r="I1363" t="inlineStr">
        <is>
          <t>No</t>
        </is>
      </c>
      <c r="J1363" t="inlineStr">
        <is>
          <t>0</t>
        </is>
      </c>
      <c r="K1363" t="inlineStr">
        <is>
          <t>McCann, Justin, 1882-1959.</t>
        </is>
      </c>
      <c r="L1363" t="inlineStr">
        <is>
          <t>N. Y. : Macmillan, 1928.</t>
        </is>
      </c>
      <c r="M1363" t="inlineStr">
        <is>
          <t>1928</t>
        </is>
      </c>
      <c r="O1363" t="inlineStr">
        <is>
          <t>eng</t>
        </is>
      </c>
      <c r="P1363" t="inlineStr">
        <is>
          <t xml:space="preserve">xx </t>
        </is>
      </c>
      <c r="Q1363" t="inlineStr">
        <is>
          <t>The treasury of the faith series</t>
        </is>
      </c>
      <c r="R1363" t="inlineStr">
        <is>
          <t xml:space="preserve">BT </t>
        </is>
      </c>
      <c r="S1363" t="n">
        <v>4</v>
      </c>
      <c r="T1363" t="n">
        <v>4</v>
      </c>
      <c r="U1363" t="inlineStr">
        <is>
          <t>2000-04-04</t>
        </is>
      </c>
      <c r="V1363" t="inlineStr">
        <is>
          <t>2000-04-04</t>
        </is>
      </c>
      <c r="W1363" t="inlineStr">
        <is>
          <t>1991-10-22</t>
        </is>
      </c>
      <c r="X1363" t="inlineStr">
        <is>
          <t>1991-10-22</t>
        </is>
      </c>
      <c r="Y1363" t="n">
        <v>56</v>
      </c>
      <c r="Z1363" t="n">
        <v>56</v>
      </c>
      <c r="AA1363" t="n">
        <v>66</v>
      </c>
      <c r="AB1363" t="n">
        <v>1</v>
      </c>
      <c r="AC1363" t="n">
        <v>1</v>
      </c>
      <c r="AD1363" t="n">
        <v>12</v>
      </c>
      <c r="AE1363" t="n">
        <v>15</v>
      </c>
      <c r="AF1363" t="n">
        <v>1</v>
      </c>
      <c r="AG1363" t="n">
        <v>2</v>
      </c>
      <c r="AH1363" t="n">
        <v>6</v>
      </c>
      <c r="AI1363" t="n">
        <v>6</v>
      </c>
      <c r="AJ1363" t="n">
        <v>9</v>
      </c>
      <c r="AK1363" t="n">
        <v>12</v>
      </c>
      <c r="AL1363" t="n">
        <v>0</v>
      </c>
      <c r="AM1363" t="n">
        <v>0</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HYPERLINK("https://creighton-primo.hosted.exlibrisgroup.com/primo-explore/search?tab=default_tab&amp;search_scope=EVERYTHING&amp;vid=01CRU&amp;lang=en_US&amp;offset=0&amp;query=any,contains,991003989039702656","Catalog Record")</f>
        <v/>
      </c>
      <c r="AT1363">
        <f>HYPERLINK("http://www.worldcat.org/oclc/2038454","WorldCat Record")</f>
        <v/>
      </c>
      <c r="AU1363" t="inlineStr">
        <is>
          <t>3372324840:eng</t>
        </is>
      </c>
      <c r="AV1363" t="inlineStr">
        <is>
          <t>2038454</t>
        </is>
      </c>
      <c r="AW1363" t="inlineStr">
        <is>
          <t>991003989039702656</t>
        </is>
      </c>
      <c r="AX1363" t="inlineStr">
        <is>
          <t>991003989039702656</t>
        </is>
      </c>
      <c r="AY1363" t="inlineStr">
        <is>
          <t>2267871440002656</t>
        </is>
      </c>
      <c r="AZ1363" t="inlineStr">
        <is>
          <t>BOOK</t>
        </is>
      </c>
      <c r="BC1363" t="inlineStr">
        <is>
          <t>32285000807445</t>
        </is>
      </c>
      <c r="BD1363" t="inlineStr">
        <is>
          <t>893247019</t>
        </is>
      </c>
    </row>
    <row r="1364">
      <c r="A1364" t="inlineStr">
        <is>
          <t>No</t>
        </is>
      </c>
      <c r="B1364" t="inlineStr">
        <is>
          <t>BT872 .W53</t>
        </is>
      </c>
      <c r="C1364" t="inlineStr">
        <is>
          <t>0                      BT 0872000W  53</t>
        </is>
      </c>
      <c r="D1364" t="inlineStr">
        <is>
          <t>True resurrection / [by] H. A. Williams.</t>
        </is>
      </c>
      <c r="F1364" t="inlineStr">
        <is>
          <t>No</t>
        </is>
      </c>
      <c r="G1364" t="inlineStr">
        <is>
          <t>1</t>
        </is>
      </c>
      <c r="H1364" t="inlineStr">
        <is>
          <t>No</t>
        </is>
      </c>
      <c r="I1364" t="inlineStr">
        <is>
          <t>No</t>
        </is>
      </c>
      <c r="J1364" t="inlineStr">
        <is>
          <t>0</t>
        </is>
      </c>
      <c r="K1364" t="inlineStr">
        <is>
          <t>Williams, H. A. (Harry Abbott), 1919-2006.</t>
        </is>
      </c>
      <c r="L1364" t="inlineStr">
        <is>
          <t>New York, Holt, Rinehart and Winston [1972]</t>
        </is>
      </c>
      <c r="M1364" t="inlineStr">
        <is>
          <t>1972</t>
        </is>
      </c>
      <c r="O1364" t="inlineStr">
        <is>
          <t>eng</t>
        </is>
      </c>
      <c r="P1364" t="inlineStr">
        <is>
          <t>nyu</t>
        </is>
      </c>
      <c r="R1364" t="inlineStr">
        <is>
          <t xml:space="preserve">BT </t>
        </is>
      </c>
      <c r="S1364" t="n">
        <v>4</v>
      </c>
      <c r="T1364" t="n">
        <v>4</v>
      </c>
      <c r="U1364" t="inlineStr">
        <is>
          <t>1999-03-15</t>
        </is>
      </c>
      <c r="V1364" t="inlineStr">
        <is>
          <t>1999-03-15</t>
        </is>
      </c>
      <c r="W1364" t="inlineStr">
        <is>
          <t>1990-02-15</t>
        </is>
      </c>
      <c r="X1364" t="inlineStr">
        <is>
          <t>1990-02-15</t>
        </is>
      </c>
      <c r="Y1364" t="n">
        <v>321</v>
      </c>
      <c r="Z1364" t="n">
        <v>304</v>
      </c>
      <c r="AA1364" t="n">
        <v>384</v>
      </c>
      <c r="AB1364" t="n">
        <v>4</v>
      </c>
      <c r="AC1364" t="n">
        <v>5</v>
      </c>
      <c r="AD1364" t="n">
        <v>23</v>
      </c>
      <c r="AE1364" t="n">
        <v>30</v>
      </c>
      <c r="AF1364" t="n">
        <v>8</v>
      </c>
      <c r="AG1364" t="n">
        <v>12</v>
      </c>
      <c r="AH1364" t="n">
        <v>4</v>
      </c>
      <c r="AI1364" t="n">
        <v>6</v>
      </c>
      <c r="AJ1364" t="n">
        <v>17</v>
      </c>
      <c r="AK1364" t="n">
        <v>22</v>
      </c>
      <c r="AL1364" t="n">
        <v>3</v>
      </c>
      <c r="AM1364" t="n">
        <v>3</v>
      </c>
      <c r="AN1364" t="n">
        <v>0</v>
      </c>
      <c r="AO1364" t="n">
        <v>0</v>
      </c>
      <c r="AP1364" t="inlineStr">
        <is>
          <t>No</t>
        </is>
      </c>
      <c r="AQ1364" t="inlineStr">
        <is>
          <t>Yes</t>
        </is>
      </c>
      <c r="AR1364">
        <f>HYPERLINK("http://catalog.hathitrust.org/Record/009906923","HathiTrust Record")</f>
        <v/>
      </c>
      <c r="AS1364">
        <f>HYPERLINK("https://creighton-primo.hosted.exlibrisgroup.com/primo-explore/search?tab=default_tab&amp;search_scope=EVERYTHING&amp;vid=01CRU&amp;lang=en_US&amp;offset=0&amp;query=any,contains,991002799769702656","Catalog Record")</f>
        <v/>
      </c>
      <c r="AT1364">
        <f>HYPERLINK("http://www.worldcat.org/oclc/446317","WorldCat Record")</f>
        <v/>
      </c>
      <c r="AU1364" t="inlineStr">
        <is>
          <t>102569194:eng</t>
        </is>
      </c>
      <c r="AV1364" t="inlineStr">
        <is>
          <t>446317</t>
        </is>
      </c>
      <c r="AW1364" t="inlineStr">
        <is>
          <t>991002799769702656</t>
        </is>
      </c>
      <c r="AX1364" t="inlineStr">
        <is>
          <t>991002799769702656</t>
        </is>
      </c>
      <c r="AY1364" t="inlineStr">
        <is>
          <t>2265634530002656</t>
        </is>
      </c>
      <c r="AZ1364" t="inlineStr">
        <is>
          <t>BOOK</t>
        </is>
      </c>
      <c r="BB1364" t="inlineStr">
        <is>
          <t>9780030919947</t>
        </is>
      </c>
      <c r="BC1364" t="inlineStr">
        <is>
          <t>32285000053982</t>
        </is>
      </c>
      <c r="BD1364" t="inlineStr">
        <is>
          <t>893233432</t>
        </is>
      </c>
    </row>
    <row r="1365">
      <c r="A1365" t="inlineStr">
        <is>
          <t>No</t>
        </is>
      </c>
      <c r="B1365" t="inlineStr">
        <is>
          <t>BT876 .S73 1997</t>
        </is>
      </c>
      <c r="C1365" t="inlineStr">
        <is>
          <t>0                      BT 0876000S  73          1997</t>
        </is>
      </c>
      <c r="D1365" t="inlineStr">
        <is>
          <t>The end of the world? : a new look at an old belief / Reginald Stackhouse.</t>
        </is>
      </c>
      <c r="F1365" t="inlineStr">
        <is>
          <t>No</t>
        </is>
      </c>
      <c r="G1365" t="inlineStr">
        <is>
          <t>1</t>
        </is>
      </c>
      <c r="H1365" t="inlineStr">
        <is>
          <t>No</t>
        </is>
      </c>
      <c r="I1365" t="inlineStr">
        <is>
          <t>No</t>
        </is>
      </c>
      <c r="J1365" t="inlineStr">
        <is>
          <t>0</t>
        </is>
      </c>
      <c r="K1365" t="inlineStr">
        <is>
          <t>Stackhouse, Reginald.</t>
        </is>
      </c>
      <c r="L1365" t="inlineStr">
        <is>
          <t>New York : Paulist Press, c1997.</t>
        </is>
      </c>
      <c r="M1365" t="inlineStr">
        <is>
          <t>1997</t>
        </is>
      </c>
      <c r="O1365" t="inlineStr">
        <is>
          <t>eng</t>
        </is>
      </c>
      <c r="P1365" t="inlineStr">
        <is>
          <t>nyu</t>
        </is>
      </c>
      <c r="R1365" t="inlineStr">
        <is>
          <t xml:space="preserve">BT </t>
        </is>
      </c>
      <c r="S1365" t="n">
        <v>9</v>
      </c>
      <c r="T1365" t="n">
        <v>9</v>
      </c>
      <c r="U1365" t="inlineStr">
        <is>
          <t>2010-12-07</t>
        </is>
      </c>
      <c r="V1365" t="inlineStr">
        <is>
          <t>2010-12-07</t>
        </is>
      </c>
      <c r="W1365" t="inlineStr">
        <is>
          <t>1997-10-20</t>
        </is>
      </c>
      <c r="X1365" t="inlineStr">
        <is>
          <t>1997-10-20</t>
        </is>
      </c>
      <c r="Y1365" t="n">
        <v>237</v>
      </c>
      <c r="Z1365" t="n">
        <v>193</v>
      </c>
      <c r="AA1365" t="n">
        <v>193</v>
      </c>
      <c r="AB1365" t="n">
        <v>2</v>
      </c>
      <c r="AC1365" t="n">
        <v>2</v>
      </c>
      <c r="AD1365" t="n">
        <v>17</v>
      </c>
      <c r="AE1365" t="n">
        <v>17</v>
      </c>
      <c r="AF1365" t="n">
        <v>5</v>
      </c>
      <c r="AG1365" t="n">
        <v>5</v>
      </c>
      <c r="AH1365" t="n">
        <v>4</v>
      </c>
      <c r="AI1365" t="n">
        <v>4</v>
      </c>
      <c r="AJ1365" t="n">
        <v>11</v>
      </c>
      <c r="AK1365" t="n">
        <v>11</v>
      </c>
      <c r="AL1365" t="n">
        <v>1</v>
      </c>
      <c r="AM1365" t="n">
        <v>1</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HYPERLINK("https://creighton-primo.hosted.exlibrisgroup.com/primo-explore/search?tab=default_tab&amp;search_scope=EVERYTHING&amp;vid=01CRU&amp;lang=en_US&amp;offset=0&amp;query=any,contains,991002791469702656","Catalog Record")</f>
        <v/>
      </c>
      <c r="AT1365">
        <f>HYPERLINK("http://www.worldcat.org/oclc/36656512","WorldCat Record")</f>
        <v/>
      </c>
      <c r="AU1365" t="inlineStr">
        <is>
          <t>892350424:eng</t>
        </is>
      </c>
      <c r="AV1365" t="inlineStr">
        <is>
          <t>36656512</t>
        </is>
      </c>
      <c r="AW1365" t="inlineStr">
        <is>
          <t>991002791469702656</t>
        </is>
      </c>
      <c r="AX1365" t="inlineStr">
        <is>
          <t>991002791469702656</t>
        </is>
      </c>
      <c r="AY1365" t="inlineStr">
        <is>
          <t>2265531900002656</t>
        </is>
      </c>
      <c r="AZ1365" t="inlineStr">
        <is>
          <t>BOOK</t>
        </is>
      </c>
      <c r="BB1365" t="inlineStr">
        <is>
          <t>9780809137275</t>
        </is>
      </c>
      <c r="BC1365" t="inlineStr">
        <is>
          <t>32285003256491</t>
        </is>
      </c>
      <c r="BD1365" t="inlineStr">
        <is>
          <t>893329542</t>
        </is>
      </c>
    </row>
    <row r="1366">
      <c r="A1366" t="inlineStr">
        <is>
          <t>No</t>
        </is>
      </c>
      <c r="B1366" t="inlineStr">
        <is>
          <t>BT88 .S55</t>
        </is>
      </c>
      <c r="C1366" t="inlineStr">
        <is>
          <t>0                      BT 0088000S  55</t>
        </is>
      </c>
      <c r="D1366" t="inlineStr">
        <is>
          <t>Infallibility and the evidence.</t>
        </is>
      </c>
      <c r="F1366" t="inlineStr">
        <is>
          <t>No</t>
        </is>
      </c>
      <c r="G1366" t="inlineStr">
        <is>
          <t>1</t>
        </is>
      </c>
      <c r="H1366" t="inlineStr">
        <is>
          <t>No</t>
        </is>
      </c>
      <c r="I1366" t="inlineStr">
        <is>
          <t>No</t>
        </is>
      </c>
      <c r="J1366" t="inlineStr">
        <is>
          <t>0</t>
        </is>
      </c>
      <c r="K1366" t="inlineStr">
        <is>
          <t>Simons, Frans, 1908-2002.</t>
        </is>
      </c>
      <c r="L1366" t="inlineStr">
        <is>
          <t>Springfield, Ill., Templegate [1968]</t>
        </is>
      </c>
      <c r="M1366" t="inlineStr">
        <is>
          <t>1968</t>
        </is>
      </c>
      <c r="O1366" t="inlineStr">
        <is>
          <t>eng</t>
        </is>
      </c>
      <c r="P1366" t="inlineStr">
        <is>
          <t>ilu</t>
        </is>
      </c>
      <c r="R1366" t="inlineStr">
        <is>
          <t xml:space="preserve">BT </t>
        </is>
      </c>
      <c r="S1366" t="n">
        <v>1</v>
      </c>
      <c r="T1366" t="n">
        <v>1</v>
      </c>
      <c r="U1366" t="inlineStr">
        <is>
          <t>2002-04-07</t>
        </is>
      </c>
      <c r="V1366" t="inlineStr">
        <is>
          <t>2002-04-07</t>
        </is>
      </c>
      <c r="W1366" t="inlineStr">
        <is>
          <t>1991-06-25</t>
        </is>
      </c>
      <c r="X1366" t="inlineStr">
        <is>
          <t>1991-06-25</t>
        </is>
      </c>
      <c r="Y1366" t="n">
        <v>359</v>
      </c>
      <c r="Z1366" t="n">
        <v>318</v>
      </c>
      <c r="AA1366" t="n">
        <v>320</v>
      </c>
      <c r="AB1366" t="n">
        <v>1</v>
      </c>
      <c r="AC1366" t="n">
        <v>1</v>
      </c>
      <c r="AD1366" t="n">
        <v>31</v>
      </c>
      <c r="AE1366" t="n">
        <v>31</v>
      </c>
      <c r="AF1366" t="n">
        <v>9</v>
      </c>
      <c r="AG1366" t="n">
        <v>9</v>
      </c>
      <c r="AH1366" t="n">
        <v>8</v>
      </c>
      <c r="AI1366" t="n">
        <v>8</v>
      </c>
      <c r="AJ1366" t="n">
        <v>25</v>
      </c>
      <c r="AK1366" t="n">
        <v>25</v>
      </c>
      <c r="AL1366" t="n">
        <v>0</v>
      </c>
      <c r="AM1366" t="n">
        <v>0</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HYPERLINK("https://creighton-primo.hosted.exlibrisgroup.com/primo-explore/search?tab=default_tab&amp;search_scope=EVERYTHING&amp;vid=01CRU&amp;lang=en_US&amp;offset=0&amp;query=any,contains,991002809109702656","Catalog Record")</f>
        <v/>
      </c>
      <c r="AT1366">
        <f>HYPERLINK("http://www.worldcat.org/oclc/451650","WorldCat Record")</f>
        <v/>
      </c>
      <c r="AU1366" t="inlineStr">
        <is>
          <t>1437137:eng</t>
        </is>
      </c>
      <c r="AV1366" t="inlineStr">
        <is>
          <t>451650</t>
        </is>
      </c>
      <c r="AW1366" t="inlineStr">
        <is>
          <t>991002809109702656</t>
        </is>
      </c>
      <c r="AX1366" t="inlineStr">
        <is>
          <t>991002809109702656</t>
        </is>
      </c>
      <c r="AY1366" t="inlineStr">
        <is>
          <t>2261224900002656</t>
        </is>
      </c>
      <c r="AZ1366" t="inlineStr">
        <is>
          <t>BOOK</t>
        </is>
      </c>
      <c r="BC1366" t="inlineStr">
        <is>
          <t>32285000689736</t>
        </is>
      </c>
      <c r="BD1366" t="inlineStr">
        <is>
          <t>893622758</t>
        </is>
      </c>
    </row>
    <row r="1367">
      <c r="A1367" t="inlineStr">
        <is>
          <t>No</t>
        </is>
      </c>
      <c r="B1367" t="inlineStr">
        <is>
          <t>BT88 .Y3</t>
        </is>
      </c>
      <c r="C1367" t="inlineStr">
        <is>
          <t>0                      BT 0088000Y  3</t>
        </is>
      </c>
      <c r="D1367" t="inlineStr">
        <is>
          <t>By what authority? : studies in the relations of Scripture, church, and ministry / by G. D. Yarnold.</t>
        </is>
      </c>
      <c r="F1367" t="inlineStr">
        <is>
          <t>No</t>
        </is>
      </c>
      <c r="G1367" t="inlineStr">
        <is>
          <t>1</t>
        </is>
      </c>
      <c r="H1367" t="inlineStr">
        <is>
          <t>No</t>
        </is>
      </c>
      <c r="I1367" t="inlineStr">
        <is>
          <t>No</t>
        </is>
      </c>
      <c r="J1367" t="inlineStr">
        <is>
          <t>0</t>
        </is>
      </c>
      <c r="K1367" t="inlineStr">
        <is>
          <t>Yarnold, G. D. (Greville Dennis)</t>
        </is>
      </c>
      <c r="L1367" t="inlineStr">
        <is>
          <t>London, A. R. Mowbray [1964]</t>
        </is>
      </c>
      <c r="M1367" t="inlineStr">
        <is>
          <t>1964</t>
        </is>
      </c>
      <c r="O1367" t="inlineStr">
        <is>
          <t>eng</t>
        </is>
      </c>
      <c r="P1367" t="inlineStr">
        <is>
          <t>enk</t>
        </is>
      </c>
      <c r="R1367" t="inlineStr">
        <is>
          <t xml:space="preserve">BT </t>
        </is>
      </c>
      <c r="S1367" t="n">
        <v>1</v>
      </c>
      <c r="T1367" t="n">
        <v>1</v>
      </c>
      <c r="U1367" t="inlineStr">
        <is>
          <t>1997-04-19</t>
        </is>
      </c>
      <c r="V1367" t="inlineStr">
        <is>
          <t>1997-04-19</t>
        </is>
      </c>
      <c r="W1367" t="inlineStr">
        <is>
          <t>1991-06-27</t>
        </is>
      </c>
      <c r="X1367" t="inlineStr">
        <is>
          <t>1991-06-27</t>
        </is>
      </c>
      <c r="Y1367" t="n">
        <v>120</v>
      </c>
      <c r="Z1367" t="n">
        <v>79</v>
      </c>
      <c r="AA1367" t="n">
        <v>79</v>
      </c>
      <c r="AB1367" t="n">
        <v>1</v>
      </c>
      <c r="AC1367" t="n">
        <v>1</v>
      </c>
      <c r="AD1367" t="n">
        <v>5</v>
      </c>
      <c r="AE1367" t="n">
        <v>5</v>
      </c>
      <c r="AF1367" t="n">
        <v>0</v>
      </c>
      <c r="AG1367" t="n">
        <v>0</v>
      </c>
      <c r="AH1367" t="n">
        <v>2</v>
      </c>
      <c r="AI1367" t="n">
        <v>2</v>
      </c>
      <c r="AJ1367" t="n">
        <v>4</v>
      </c>
      <c r="AK1367" t="n">
        <v>4</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HYPERLINK("https://creighton-primo.hosted.exlibrisgroup.com/primo-explore/search?tab=default_tab&amp;search_scope=EVERYTHING&amp;vid=01CRU&amp;lang=en_US&amp;offset=0&amp;query=any,contains,991002762159702656","Catalog Record")</f>
        <v/>
      </c>
      <c r="AT1367">
        <f>HYPERLINK("http://www.worldcat.org/oclc/429461","WorldCat Record")</f>
        <v/>
      </c>
      <c r="AU1367" t="inlineStr">
        <is>
          <t>376766937:eng</t>
        </is>
      </c>
      <c r="AV1367" t="inlineStr">
        <is>
          <t>429461</t>
        </is>
      </c>
      <c r="AW1367" t="inlineStr">
        <is>
          <t>991002762159702656</t>
        </is>
      </c>
      <c r="AX1367" t="inlineStr">
        <is>
          <t>991002762159702656</t>
        </is>
      </c>
      <c r="AY1367" t="inlineStr">
        <is>
          <t>2264495810002656</t>
        </is>
      </c>
      <c r="AZ1367" t="inlineStr">
        <is>
          <t>BOOK</t>
        </is>
      </c>
      <c r="BC1367" t="inlineStr">
        <is>
          <t>32285000689769</t>
        </is>
      </c>
      <c r="BD1367" t="inlineStr">
        <is>
          <t>893627297</t>
        </is>
      </c>
    </row>
    <row r="1368">
      <c r="A1368" t="inlineStr">
        <is>
          <t>No</t>
        </is>
      </c>
      <c r="B1368" t="inlineStr">
        <is>
          <t>BT886 .B4513</t>
        </is>
      </c>
      <c r="C1368" t="inlineStr">
        <is>
          <t>0                      BT 0886000B  4513</t>
        </is>
      </c>
      <c r="D1368" t="inlineStr">
        <is>
          <t>The return of Christ / by G. C. Berkouwer.</t>
        </is>
      </c>
      <c r="F1368" t="inlineStr">
        <is>
          <t>No</t>
        </is>
      </c>
      <c r="G1368" t="inlineStr">
        <is>
          <t>1</t>
        </is>
      </c>
      <c r="H1368" t="inlineStr">
        <is>
          <t>No</t>
        </is>
      </c>
      <c r="I1368" t="inlineStr">
        <is>
          <t>No</t>
        </is>
      </c>
      <c r="J1368" t="inlineStr">
        <is>
          <t>0</t>
        </is>
      </c>
      <c r="K1368" t="inlineStr">
        <is>
          <t>Berkouwer, G. C. (Gerrit Cornelis), 1903-1996.</t>
        </is>
      </c>
      <c r="L1368" t="inlineStr">
        <is>
          <t>Grand Rapids, Eerdmans [1972]</t>
        </is>
      </c>
      <c r="M1368" t="inlineStr">
        <is>
          <t>1972</t>
        </is>
      </c>
      <c r="O1368" t="inlineStr">
        <is>
          <t>eng</t>
        </is>
      </c>
      <c r="P1368" t="inlineStr">
        <is>
          <t>miu</t>
        </is>
      </c>
      <c r="Q1368" t="inlineStr">
        <is>
          <t>His Studies in dogmatics</t>
        </is>
      </c>
      <c r="R1368" t="inlineStr">
        <is>
          <t xml:space="preserve">BT </t>
        </is>
      </c>
      <c r="S1368" t="n">
        <v>6</v>
      </c>
      <c r="T1368" t="n">
        <v>6</v>
      </c>
      <c r="U1368" t="inlineStr">
        <is>
          <t>2000-03-13</t>
        </is>
      </c>
      <c r="V1368" t="inlineStr">
        <is>
          <t>2000-03-13</t>
        </is>
      </c>
      <c r="W1368" t="inlineStr">
        <is>
          <t>1991-10-22</t>
        </is>
      </c>
      <c r="X1368" t="inlineStr">
        <is>
          <t>1991-10-22</t>
        </is>
      </c>
      <c r="Y1368" t="n">
        <v>494</v>
      </c>
      <c r="Z1368" t="n">
        <v>408</v>
      </c>
      <c r="AA1368" t="n">
        <v>414</v>
      </c>
      <c r="AB1368" t="n">
        <v>3</v>
      </c>
      <c r="AC1368" t="n">
        <v>3</v>
      </c>
      <c r="AD1368" t="n">
        <v>23</v>
      </c>
      <c r="AE1368" t="n">
        <v>23</v>
      </c>
      <c r="AF1368" t="n">
        <v>9</v>
      </c>
      <c r="AG1368" t="n">
        <v>9</v>
      </c>
      <c r="AH1368" t="n">
        <v>6</v>
      </c>
      <c r="AI1368" t="n">
        <v>6</v>
      </c>
      <c r="AJ1368" t="n">
        <v>14</v>
      </c>
      <c r="AK1368" t="n">
        <v>14</v>
      </c>
      <c r="AL1368" t="n">
        <v>1</v>
      </c>
      <c r="AM1368" t="n">
        <v>1</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HYPERLINK("https://creighton-primo.hosted.exlibrisgroup.com/primo-explore/search?tab=default_tab&amp;search_scope=EVERYTHING&amp;vid=01CRU&amp;lang=en_US&amp;offset=0&amp;query=any,contains,991002207749702656","Catalog Record")</f>
        <v/>
      </c>
      <c r="AT1368">
        <f>HYPERLINK("http://www.worldcat.org/oclc/286641","WorldCat Record")</f>
        <v/>
      </c>
      <c r="AU1368" t="inlineStr">
        <is>
          <t>1455158:eng</t>
        </is>
      </c>
      <c r="AV1368" t="inlineStr">
        <is>
          <t>286641</t>
        </is>
      </c>
      <c r="AW1368" t="inlineStr">
        <is>
          <t>991002207749702656</t>
        </is>
      </c>
      <c r="AX1368" t="inlineStr">
        <is>
          <t>991002207749702656</t>
        </is>
      </c>
      <c r="AY1368" t="inlineStr">
        <is>
          <t>2263050090002656</t>
        </is>
      </c>
      <c r="AZ1368" t="inlineStr">
        <is>
          <t>BOOK</t>
        </is>
      </c>
      <c r="BB1368" t="inlineStr">
        <is>
          <t>9780802833938</t>
        </is>
      </c>
      <c r="BC1368" t="inlineStr">
        <is>
          <t>32285000807460</t>
        </is>
      </c>
      <c r="BD1368" t="inlineStr">
        <is>
          <t>893792163</t>
        </is>
      </c>
    </row>
    <row r="1369">
      <c r="A1369" t="inlineStr">
        <is>
          <t>No</t>
        </is>
      </c>
      <c r="B1369" t="inlineStr">
        <is>
          <t>BT886 .M6</t>
        </is>
      </c>
      <c r="C1369" t="inlineStr">
        <is>
          <t>0                      BT 0886000M  6</t>
        </is>
      </c>
      <c r="D1369" t="inlineStr">
        <is>
          <t>The parousia in the New Testament / [by] A.L. Moore.</t>
        </is>
      </c>
      <c r="F1369" t="inlineStr">
        <is>
          <t>No</t>
        </is>
      </c>
      <c r="G1369" t="inlineStr">
        <is>
          <t>1</t>
        </is>
      </c>
      <c r="H1369" t="inlineStr">
        <is>
          <t>No</t>
        </is>
      </c>
      <c r="I1369" t="inlineStr">
        <is>
          <t>No</t>
        </is>
      </c>
      <c r="J1369" t="inlineStr">
        <is>
          <t>0</t>
        </is>
      </c>
      <c r="K1369" t="inlineStr">
        <is>
          <t>Moore, Arthur L. (Arthur Lewis)</t>
        </is>
      </c>
      <c r="L1369" t="inlineStr">
        <is>
          <t>Leiden, E.J. Brill, 1966.</t>
        </is>
      </c>
      <c r="M1369" t="inlineStr">
        <is>
          <t>1966</t>
        </is>
      </c>
      <c r="O1369" t="inlineStr">
        <is>
          <t>eng</t>
        </is>
      </c>
      <c r="P1369" t="inlineStr">
        <is>
          <t xml:space="preserve">xx </t>
        </is>
      </c>
      <c r="Q1369" t="inlineStr">
        <is>
          <t>Supplements to Novum Testamentum ; v. 13</t>
        </is>
      </c>
      <c r="R1369" t="inlineStr">
        <is>
          <t xml:space="preserve">BT </t>
        </is>
      </c>
      <c r="S1369" t="n">
        <v>2</v>
      </c>
      <c r="T1369" t="n">
        <v>2</v>
      </c>
      <c r="U1369" t="inlineStr">
        <is>
          <t>1998-11-14</t>
        </is>
      </c>
      <c r="V1369" t="inlineStr">
        <is>
          <t>1998-11-14</t>
        </is>
      </c>
      <c r="W1369" t="inlineStr">
        <is>
          <t>1991-11-06</t>
        </is>
      </c>
      <c r="X1369" t="inlineStr">
        <is>
          <t>1991-11-06</t>
        </is>
      </c>
      <c r="Y1369" t="n">
        <v>297</v>
      </c>
      <c r="Z1369" t="n">
        <v>218</v>
      </c>
      <c r="AA1369" t="n">
        <v>368</v>
      </c>
      <c r="AB1369" t="n">
        <v>1</v>
      </c>
      <c r="AC1369" t="n">
        <v>2</v>
      </c>
      <c r="AD1369" t="n">
        <v>14</v>
      </c>
      <c r="AE1369" t="n">
        <v>25</v>
      </c>
      <c r="AF1369" t="n">
        <v>5</v>
      </c>
      <c r="AG1369" t="n">
        <v>7</v>
      </c>
      <c r="AH1369" t="n">
        <v>3</v>
      </c>
      <c r="AI1369" t="n">
        <v>7</v>
      </c>
      <c r="AJ1369" t="n">
        <v>10</v>
      </c>
      <c r="AK1369" t="n">
        <v>16</v>
      </c>
      <c r="AL1369" t="n">
        <v>0</v>
      </c>
      <c r="AM1369" t="n">
        <v>1</v>
      </c>
      <c r="AN1369" t="n">
        <v>0</v>
      </c>
      <c r="AO1369" t="n">
        <v>0</v>
      </c>
      <c r="AP1369" t="inlineStr">
        <is>
          <t>No</t>
        </is>
      </c>
      <c r="AQ1369" t="inlineStr">
        <is>
          <t>Yes</t>
        </is>
      </c>
      <c r="AR1369">
        <f>HYPERLINK("http://catalog.hathitrust.org/Record/007106965","HathiTrust Record")</f>
        <v/>
      </c>
      <c r="AS1369">
        <f>HYPERLINK("https://creighton-primo.hosted.exlibrisgroup.com/primo-explore/search?tab=default_tab&amp;search_scope=EVERYTHING&amp;vid=01CRU&amp;lang=en_US&amp;offset=0&amp;query=any,contains,991003141929702656","Catalog Record")</f>
        <v/>
      </c>
      <c r="AT1369">
        <f>HYPERLINK("http://www.worldcat.org/oclc/683214","WorldCat Record")</f>
        <v/>
      </c>
      <c r="AU1369" t="inlineStr">
        <is>
          <t>1503130:eng</t>
        </is>
      </c>
      <c r="AV1369" t="inlineStr">
        <is>
          <t>683214</t>
        </is>
      </c>
      <c r="AW1369" t="inlineStr">
        <is>
          <t>991003141929702656</t>
        </is>
      </c>
      <c r="AX1369" t="inlineStr">
        <is>
          <t>991003141929702656</t>
        </is>
      </c>
      <c r="AY1369" t="inlineStr">
        <is>
          <t>2262988520002656</t>
        </is>
      </c>
      <c r="AZ1369" t="inlineStr">
        <is>
          <t>BOOK</t>
        </is>
      </c>
      <c r="BC1369" t="inlineStr">
        <is>
          <t>32285000807478</t>
        </is>
      </c>
      <c r="BD1369" t="inlineStr">
        <is>
          <t>893317683</t>
        </is>
      </c>
    </row>
    <row r="1370">
      <c r="A1370" t="inlineStr">
        <is>
          <t>No</t>
        </is>
      </c>
      <c r="B1370" t="inlineStr">
        <is>
          <t>BT887 .W34 1979</t>
        </is>
      </c>
      <c r="C1370" t="inlineStr">
        <is>
          <t>0                      BT 0887000W  34          1979</t>
        </is>
      </c>
      <c r="D1370" t="inlineStr">
        <is>
          <t>The rapture question / John F. Walvoord.</t>
        </is>
      </c>
      <c r="F1370" t="inlineStr">
        <is>
          <t>No</t>
        </is>
      </c>
      <c r="G1370" t="inlineStr">
        <is>
          <t>1</t>
        </is>
      </c>
      <c r="H1370" t="inlineStr">
        <is>
          <t>No</t>
        </is>
      </c>
      <c r="I1370" t="inlineStr">
        <is>
          <t>No</t>
        </is>
      </c>
      <c r="J1370" t="inlineStr">
        <is>
          <t>0</t>
        </is>
      </c>
      <c r="K1370" t="inlineStr">
        <is>
          <t>Walvoord, John F.</t>
        </is>
      </c>
      <c r="L1370" t="inlineStr">
        <is>
          <t>Grand Rapids : Zondervan Pub. House, c1979.</t>
        </is>
      </c>
      <c r="M1370" t="inlineStr">
        <is>
          <t>1979</t>
        </is>
      </c>
      <c r="N1370" t="inlineStr">
        <is>
          <t>Rev. and enl. ed.</t>
        </is>
      </c>
      <c r="O1370" t="inlineStr">
        <is>
          <t>eng</t>
        </is>
      </c>
      <c r="P1370" t="inlineStr">
        <is>
          <t>miu</t>
        </is>
      </c>
      <c r="R1370" t="inlineStr">
        <is>
          <t xml:space="preserve">BT </t>
        </is>
      </c>
      <c r="S1370" t="n">
        <v>6</v>
      </c>
      <c r="T1370" t="n">
        <v>6</v>
      </c>
      <c r="U1370" t="inlineStr">
        <is>
          <t>1999-12-15</t>
        </is>
      </c>
      <c r="V1370" t="inlineStr">
        <is>
          <t>1999-12-15</t>
        </is>
      </c>
      <c r="W1370" t="inlineStr">
        <is>
          <t>1991-10-22</t>
        </is>
      </c>
      <c r="X1370" t="inlineStr">
        <is>
          <t>1991-10-22</t>
        </is>
      </c>
      <c r="Y1370" t="n">
        <v>166</v>
      </c>
      <c r="Z1370" t="n">
        <v>149</v>
      </c>
      <c r="AA1370" t="n">
        <v>257</v>
      </c>
      <c r="AB1370" t="n">
        <v>1</v>
      </c>
      <c r="AC1370" t="n">
        <v>1</v>
      </c>
      <c r="AD1370" t="n">
        <v>2</v>
      </c>
      <c r="AE1370" t="n">
        <v>6</v>
      </c>
      <c r="AF1370" t="n">
        <v>1</v>
      </c>
      <c r="AG1370" t="n">
        <v>4</v>
      </c>
      <c r="AH1370" t="n">
        <v>0</v>
      </c>
      <c r="AI1370" t="n">
        <v>1</v>
      </c>
      <c r="AJ1370" t="n">
        <v>1</v>
      </c>
      <c r="AK1370" t="n">
        <v>2</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HYPERLINK("https://creighton-primo.hosted.exlibrisgroup.com/primo-explore/search?tab=default_tab&amp;search_scope=EVERYTHING&amp;vid=01CRU&amp;lang=en_US&amp;offset=0&amp;query=any,contains,991004728629702656","Catalog Record")</f>
        <v/>
      </c>
      <c r="AT1370">
        <f>HYPERLINK("http://www.worldcat.org/oclc/4832142","WorldCat Record")</f>
        <v/>
      </c>
      <c r="AU1370" t="inlineStr">
        <is>
          <t>441345:eng</t>
        </is>
      </c>
      <c r="AV1370" t="inlineStr">
        <is>
          <t>4832142</t>
        </is>
      </c>
      <c r="AW1370" t="inlineStr">
        <is>
          <t>991004728629702656</t>
        </is>
      </c>
      <c r="AX1370" t="inlineStr">
        <is>
          <t>991004728629702656</t>
        </is>
      </c>
      <c r="AY1370" t="inlineStr">
        <is>
          <t>2268643360002656</t>
        </is>
      </c>
      <c r="AZ1370" t="inlineStr">
        <is>
          <t>BOOK</t>
        </is>
      </c>
      <c r="BB1370" t="inlineStr">
        <is>
          <t>9780310341512</t>
        </is>
      </c>
      <c r="BC1370" t="inlineStr">
        <is>
          <t>32285000807494</t>
        </is>
      </c>
      <c r="BD1370" t="inlineStr">
        <is>
          <t>893889189</t>
        </is>
      </c>
    </row>
    <row r="1371">
      <c r="A1371" t="inlineStr">
        <is>
          <t>No</t>
        </is>
      </c>
      <c r="B1371" t="inlineStr">
        <is>
          <t>BT89 .K44</t>
        </is>
      </c>
      <c r="C1371" t="inlineStr">
        <is>
          <t>0                      BT 0089000K  44</t>
        </is>
      </c>
      <c r="D1371" t="inlineStr">
        <is>
          <t>The uses of Scripture in recent theology / by David H. Kelsey.</t>
        </is>
      </c>
      <c r="F1371" t="inlineStr">
        <is>
          <t>No</t>
        </is>
      </c>
      <c r="G1371" t="inlineStr">
        <is>
          <t>1</t>
        </is>
      </c>
      <c r="H1371" t="inlineStr">
        <is>
          <t>No</t>
        </is>
      </c>
      <c r="I1371" t="inlineStr">
        <is>
          <t>No</t>
        </is>
      </c>
      <c r="J1371" t="inlineStr">
        <is>
          <t>0</t>
        </is>
      </c>
      <c r="K1371" t="inlineStr">
        <is>
          <t>Kelsey, David H.</t>
        </is>
      </c>
      <c r="L1371" t="inlineStr">
        <is>
          <t>Philadelphia : Fortress Press, [1975]</t>
        </is>
      </c>
      <c r="M1371" t="inlineStr">
        <is>
          <t>1975</t>
        </is>
      </c>
      <c r="O1371" t="inlineStr">
        <is>
          <t>eng</t>
        </is>
      </c>
      <c r="P1371" t="inlineStr">
        <is>
          <t>pau</t>
        </is>
      </c>
      <c r="R1371" t="inlineStr">
        <is>
          <t xml:space="preserve">BT </t>
        </is>
      </c>
      <c r="S1371" t="n">
        <v>3</v>
      </c>
      <c r="T1371" t="n">
        <v>3</v>
      </c>
      <c r="U1371" t="inlineStr">
        <is>
          <t>2008-09-02</t>
        </is>
      </c>
      <c r="V1371" t="inlineStr">
        <is>
          <t>2008-09-02</t>
        </is>
      </c>
      <c r="W1371" t="inlineStr">
        <is>
          <t>1991-06-27</t>
        </is>
      </c>
      <c r="X1371" t="inlineStr">
        <is>
          <t>1991-06-27</t>
        </is>
      </c>
      <c r="Y1371" t="n">
        <v>573</v>
      </c>
      <c r="Z1371" t="n">
        <v>483</v>
      </c>
      <c r="AA1371" t="n">
        <v>519</v>
      </c>
      <c r="AB1371" t="n">
        <v>5</v>
      </c>
      <c r="AC1371" t="n">
        <v>5</v>
      </c>
      <c r="AD1371" t="n">
        <v>34</v>
      </c>
      <c r="AE1371" t="n">
        <v>34</v>
      </c>
      <c r="AF1371" t="n">
        <v>11</v>
      </c>
      <c r="AG1371" t="n">
        <v>11</v>
      </c>
      <c r="AH1371" t="n">
        <v>6</v>
      </c>
      <c r="AI1371" t="n">
        <v>6</v>
      </c>
      <c r="AJ1371" t="n">
        <v>21</v>
      </c>
      <c r="AK1371" t="n">
        <v>21</v>
      </c>
      <c r="AL1371" t="n">
        <v>4</v>
      </c>
      <c r="AM1371" t="n">
        <v>4</v>
      </c>
      <c r="AN1371" t="n">
        <v>0</v>
      </c>
      <c r="AO1371" t="n">
        <v>0</v>
      </c>
      <c r="AP1371" t="inlineStr">
        <is>
          <t>No</t>
        </is>
      </c>
      <c r="AQ1371" t="inlineStr">
        <is>
          <t>Yes</t>
        </is>
      </c>
      <c r="AR1371">
        <f>HYPERLINK("http://catalog.hathitrust.org/Record/102063199","HathiTrust Record")</f>
        <v/>
      </c>
      <c r="AS1371">
        <f>HYPERLINK("https://creighton-primo.hosted.exlibrisgroup.com/primo-explore/search?tab=default_tab&amp;search_scope=EVERYTHING&amp;vid=01CRU&amp;lang=en_US&amp;offset=0&amp;query=any,contains,991003805169702656","Catalog Record")</f>
        <v/>
      </c>
      <c r="AT1371">
        <f>HYPERLINK("http://www.worldcat.org/oclc/1530470","WorldCat Record")</f>
        <v/>
      </c>
      <c r="AU1371" t="inlineStr">
        <is>
          <t>2398877:eng</t>
        </is>
      </c>
      <c r="AV1371" t="inlineStr">
        <is>
          <t>1530470</t>
        </is>
      </c>
      <c r="AW1371" t="inlineStr">
        <is>
          <t>991003805169702656</t>
        </is>
      </c>
      <c r="AX1371" t="inlineStr">
        <is>
          <t>991003805169702656</t>
        </is>
      </c>
      <c r="AY1371" t="inlineStr">
        <is>
          <t>2269555060002656</t>
        </is>
      </c>
      <c r="AZ1371" t="inlineStr">
        <is>
          <t>BOOK</t>
        </is>
      </c>
      <c r="BB1371" t="inlineStr">
        <is>
          <t>9780800604011</t>
        </is>
      </c>
      <c r="BC1371" t="inlineStr">
        <is>
          <t>32285000689777</t>
        </is>
      </c>
      <c r="BD1371" t="inlineStr">
        <is>
          <t>893617789</t>
        </is>
      </c>
    </row>
    <row r="1372">
      <c r="A1372" t="inlineStr">
        <is>
          <t>No</t>
        </is>
      </c>
      <c r="B1372" t="inlineStr">
        <is>
          <t>BT891 .B3</t>
        </is>
      </c>
      <c r="C1372" t="inlineStr">
        <is>
          <t>0                      BT 0891000B  3</t>
        </is>
      </c>
      <c r="D1372" t="inlineStr">
        <is>
          <t>Disaster and the millennium / Michael Barkun.</t>
        </is>
      </c>
      <c r="F1372" t="inlineStr">
        <is>
          <t>No</t>
        </is>
      </c>
      <c r="G1372" t="inlineStr">
        <is>
          <t>1</t>
        </is>
      </c>
      <c r="H1372" t="inlineStr">
        <is>
          <t>No</t>
        </is>
      </c>
      <c r="I1372" t="inlineStr">
        <is>
          <t>No</t>
        </is>
      </c>
      <c r="J1372" t="inlineStr">
        <is>
          <t>0</t>
        </is>
      </c>
      <c r="K1372" t="inlineStr">
        <is>
          <t>Barkun, Michael.</t>
        </is>
      </c>
      <c r="L1372" t="inlineStr">
        <is>
          <t>New Haven : Yale University Press, 1974.</t>
        </is>
      </c>
      <c r="M1372" t="inlineStr">
        <is>
          <t>1974</t>
        </is>
      </c>
      <c r="O1372" t="inlineStr">
        <is>
          <t>eng</t>
        </is>
      </c>
      <c r="P1372" t="inlineStr">
        <is>
          <t>ctu</t>
        </is>
      </c>
      <c r="R1372" t="inlineStr">
        <is>
          <t xml:space="preserve">BT </t>
        </is>
      </c>
      <c r="S1372" t="n">
        <v>2</v>
      </c>
      <c r="T1372" t="n">
        <v>2</v>
      </c>
      <c r="U1372" t="inlineStr">
        <is>
          <t>1999-01-15</t>
        </is>
      </c>
      <c r="V1372" t="inlineStr">
        <is>
          <t>1999-01-15</t>
        </is>
      </c>
      <c r="W1372" t="inlineStr">
        <is>
          <t>1991-10-22</t>
        </is>
      </c>
      <c r="X1372" t="inlineStr">
        <is>
          <t>1991-10-22</t>
        </is>
      </c>
      <c r="Y1372" t="n">
        <v>811</v>
      </c>
      <c r="Z1372" t="n">
        <v>661</v>
      </c>
      <c r="AA1372" t="n">
        <v>710</v>
      </c>
      <c r="AB1372" t="n">
        <v>4</v>
      </c>
      <c r="AC1372" t="n">
        <v>4</v>
      </c>
      <c r="AD1372" t="n">
        <v>27</v>
      </c>
      <c r="AE1372" t="n">
        <v>30</v>
      </c>
      <c r="AF1372" t="n">
        <v>6</v>
      </c>
      <c r="AG1372" t="n">
        <v>9</v>
      </c>
      <c r="AH1372" t="n">
        <v>7</v>
      </c>
      <c r="AI1372" t="n">
        <v>7</v>
      </c>
      <c r="AJ1372" t="n">
        <v>16</v>
      </c>
      <c r="AK1372" t="n">
        <v>19</v>
      </c>
      <c r="AL1372" t="n">
        <v>3</v>
      </c>
      <c r="AM1372" t="n">
        <v>3</v>
      </c>
      <c r="AN1372" t="n">
        <v>0</v>
      </c>
      <c r="AO1372" t="n">
        <v>0</v>
      </c>
      <c r="AP1372" t="inlineStr">
        <is>
          <t>No</t>
        </is>
      </c>
      <c r="AQ1372" t="inlineStr">
        <is>
          <t>Yes</t>
        </is>
      </c>
      <c r="AR1372">
        <f>HYPERLINK("http://catalog.hathitrust.org/Record/001155593","HathiTrust Record")</f>
        <v/>
      </c>
      <c r="AS1372">
        <f>HYPERLINK("https://creighton-primo.hosted.exlibrisgroup.com/primo-explore/search?tab=default_tab&amp;search_scope=EVERYTHING&amp;vid=01CRU&amp;lang=en_US&amp;offset=0&amp;query=any,contains,991004786619702656","Catalog Record")</f>
        <v/>
      </c>
      <c r="AT1372">
        <f>HYPERLINK("http://www.worldcat.org/oclc/5147716","WorldCat Record")</f>
        <v/>
      </c>
      <c r="AU1372" t="inlineStr">
        <is>
          <t>7712201:eng</t>
        </is>
      </c>
      <c r="AV1372" t="inlineStr">
        <is>
          <t>5147716</t>
        </is>
      </c>
      <c r="AW1372" t="inlineStr">
        <is>
          <t>991004786619702656</t>
        </is>
      </c>
      <c r="AX1372" t="inlineStr">
        <is>
          <t>991004786619702656</t>
        </is>
      </c>
      <c r="AY1372" t="inlineStr">
        <is>
          <t>2267568840002656</t>
        </is>
      </c>
      <c r="AZ1372" t="inlineStr">
        <is>
          <t>BOOK</t>
        </is>
      </c>
      <c r="BB1372" t="inlineStr">
        <is>
          <t>9780300017250</t>
        </is>
      </c>
      <c r="BC1372" t="inlineStr">
        <is>
          <t>32285000807502</t>
        </is>
      </c>
      <c r="BD1372" t="inlineStr">
        <is>
          <t>893418019</t>
        </is>
      </c>
    </row>
    <row r="1373">
      <c r="A1373" t="inlineStr">
        <is>
          <t>No</t>
        </is>
      </c>
      <c r="B1373" t="inlineStr">
        <is>
          <t>BT891 .B87</t>
        </is>
      </c>
      <c r="C1373" t="inlineStr">
        <is>
          <t>0                      BT 0891000B  87</t>
        </is>
      </c>
      <c r="D1373" t="inlineStr">
        <is>
          <t>New heaven, new earth : a study of millenarian activities / Kenelm Burridge.</t>
        </is>
      </c>
      <c r="F1373" t="inlineStr">
        <is>
          <t>No</t>
        </is>
      </c>
      <c r="G1373" t="inlineStr">
        <is>
          <t>1</t>
        </is>
      </c>
      <c r="H1373" t="inlineStr">
        <is>
          <t>No</t>
        </is>
      </c>
      <c r="I1373" t="inlineStr">
        <is>
          <t>No</t>
        </is>
      </c>
      <c r="J1373" t="inlineStr">
        <is>
          <t>0</t>
        </is>
      </c>
      <c r="K1373" t="inlineStr">
        <is>
          <t>Burridge, Kenelm.</t>
        </is>
      </c>
      <c r="L1373" t="inlineStr">
        <is>
          <t>New York, Schocken Books [1969]</t>
        </is>
      </c>
      <c r="M1373" t="inlineStr">
        <is>
          <t>1969</t>
        </is>
      </c>
      <c r="O1373" t="inlineStr">
        <is>
          <t>eng</t>
        </is>
      </c>
      <c r="P1373" t="inlineStr">
        <is>
          <t>nyu</t>
        </is>
      </c>
      <c r="Q1373" t="inlineStr">
        <is>
          <t>Pavilion series. Social anthropology</t>
        </is>
      </c>
      <c r="R1373" t="inlineStr">
        <is>
          <t xml:space="preserve">BT </t>
        </is>
      </c>
      <c r="S1373" t="n">
        <v>2</v>
      </c>
      <c r="T1373" t="n">
        <v>2</v>
      </c>
      <c r="U1373" t="inlineStr">
        <is>
          <t>1993-02-17</t>
        </is>
      </c>
      <c r="V1373" t="inlineStr">
        <is>
          <t>1993-02-17</t>
        </is>
      </c>
      <c r="W1373" t="inlineStr">
        <is>
          <t>1991-10-22</t>
        </is>
      </c>
      <c r="X1373" t="inlineStr">
        <is>
          <t>1991-10-22</t>
        </is>
      </c>
      <c r="Y1373" t="n">
        <v>415</v>
      </c>
      <c r="Z1373" t="n">
        <v>372</v>
      </c>
      <c r="AA1373" t="n">
        <v>499</v>
      </c>
      <c r="AB1373" t="n">
        <v>4</v>
      </c>
      <c r="AC1373" t="n">
        <v>4</v>
      </c>
      <c r="AD1373" t="n">
        <v>19</v>
      </c>
      <c r="AE1373" t="n">
        <v>25</v>
      </c>
      <c r="AF1373" t="n">
        <v>5</v>
      </c>
      <c r="AG1373" t="n">
        <v>8</v>
      </c>
      <c r="AH1373" t="n">
        <v>4</v>
      </c>
      <c r="AI1373" t="n">
        <v>4</v>
      </c>
      <c r="AJ1373" t="n">
        <v>11</v>
      </c>
      <c r="AK1373" t="n">
        <v>16</v>
      </c>
      <c r="AL1373" t="n">
        <v>3</v>
      </c>
      <c r="AM1373" t="n">
        <v>3</v>
      </c>
      <c r="AN1373" t="n">
        <v>0</v>
      </c>
      <c r="AO1373" t="n">
        <v>0</v>
      </c>
      <c r="AP1373" t="inlineStr">
        <is>
          <t>No</t>
        </is>
      </c>
      <c r="AQ1373" t="inlineStr">
        <is>
          <t>Yes</t>
        </is>
      </c>
      <c r="AR1373">
        <f>HYPERLINK("http://catalog.hathitrust.org/Record/001595074","HathiTrust Record")</f>
        <v/>
      </c>
      <c r="AS1373">
        <f>HYPERLINK("https://creighton-primo.hosted.exlibrisgroup.com/primo-explore/search?tab=default_tab&amp;search_scope=EVERYTHING&amp;vid=01CRU&amp;lang=en_US&amp;offset=0&amp;query=any,contains,991000071189702656","Catalog Record")</f>
        <v/>
      </c>
      <c r="AT1373">
        <f>HYPERLINK("http://www.worldcat.org/oclc/28272","WorldCat Record")</f>
        <v/>
      </c>
      <c r="AU1373" t="inlineStr">
        <is>
          <t>1146005:eng</t>
        </is>
      </c>
      <c r="AV1373" t="inlineStr">
        <is>
          <t>28272</t>
        </is>
      </c>
      <c r="AW1373" t="inlineStr">
        <is>
          <t>991000071189702656</t>
        </is>
      </c>
      <c r="AX1373" t="inlineStr">
        <is>
          <t>991000071189702656</t>
        </is>
      </c>
      <c r="AY1373" t="inlineStr">
        <is>
          <t>2264829970002656</t>
        </is>
      </c>
      <c r="AZ1373" t="inlineStr">
        <is>
          <t>BOOK</t>
        </is>
      </c>
      <c r="BC1373" t="inlineStr">
        <is>
          <t>32285000807510</t>
        </is>
      </c>
      <c r="BD1373" t="inlineStr">
        <is>
          <t>893701805</t>
        </is>
      </c>
    </row>
    <row r="1374">
      <c r="A1374" t="inlineStr">
        <is>
          <t>No</t>
        </is>
      </c>
      <c r="B1374" t="inlineStr">
        <is>
          <t>BT891 .T46 1997</t>
        </is>
      </c>
      <c r="C1374" t="inlineStr">
        <is>
          <t>0                      BT 0891000T  46          1997</t>
        </is>
      </c>
      <c r="D1374" t="inlineStr">
        <is>
          <t>The end of time : faith and fear in the shadow of the millennium / Damian Thompson.</t>
        </is>
      </c>
      <c r="F1374" t="inlineStr">
        <is>
          <t>No</t>
        </is>
      </c>
      <c r="G1374" t="inlineStr">
        <is>
          <t>1</t>
        </is>
      </c>
      <c r="H1374" t="inlineStr">
        <is>
          <t>No</t>
        </is>
      </c>
      <c r="I1374" t="inlineStr">
        <is>
          <t>No</t>
        </is>
      </c>
      <c r="J1374" t="inlineStr">
        <is>
          <t>0</t>
        </is>
      </c>
      <c r="K1374" t="inlineStr">
        <is>
          <t>Thompson, Damian, 1962-</t>
        </is>
      </c>
      <c r="L1374" t="inlineStr">
        <is>
          <t>Hanover, N.H. : University Press of New England, 1997.</t>
        </is>
      </c>
      <c r="M1374" t="inlineStr">
        <is>
          <t>1997</t>
        </is>
      </c>
      <c r="N1374" t="inlineStr">
        <is>
          <t>University Press of New England ed.</t>
        </is>
      </c>
      <c r="O1374" t="inlineStr">
        <is>
          <t>eng</t>
        </is>
      </c>
      <c r="P1374" t="inlineStr">
        <is>
          <t>nhu</t>
        </is>
      </c>
      <c r="R1374" t="inlineStr">
        <is>
          <t xml:space="preserve">BT </t>
        </is>
      </c>
      <c r="S1374" t="n">
        <v>6</v>
      </c>
      <c r="T1374" t="n">
        <v>6</v>
      </c>
      <c r="U1374" t="inlineStr">
        <is>
          <t>1999-12-15</t>
        </is>
      </c>
      <c r="V1374" t="inlineStr">
        <is>
          <t>1999-12-15</t>
        </is>
      </c>
      <c r="W1374" t="inlineStr">
        <is>
          <t>1998-01-14</t>
        </is>
      </c>
      <c r="X1374" t="inlineStr">
        <is>
          <t>1998-01-14</t>
        </is>
      </c>
      <c r="Y1374" t="n">
        <v>621</v>
      </c>
      <c r="Z1374" t="n">
        <v>589</v>
      </c>
      <c r="AA1374" t="n">
        <v>693</v>
      </c>
      <c r="AB1374" t="n">
        <v>2</v>
      </c>
      <c r="AC1374" t="n">
        <v>3</v>
      </c>
      <c r="AD1374" t="n">
        <v>22</v>
      </c>
      <c r="AE1374" t="n">
        <v>26</v>
      </c>
      <c r="AF1374" t="n">
        <v>12</v>
      </c>
      <c r="AG1374" t="n">
        <v>12</v>
      </c>
      <c r="AH1374" t="n">
        <v>2</v>
      </c>
      <c r="AI1374" t="n">
        <v>3</v>
      </c>
      <c r="AJ1374" t="n">
        <v>12</v>
      </c>
      <c r="AK1374" t="n">
        <v>14</v>
      </c>
      <c r="AL1374" t="n">
        <v>1</v>
      </c>
      <c r="AM1374" t="n">
        <v>2</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HYPERLINK("https://creighton-primo.hosted.exlibrisgroup.com/primo-explore/search?tab=default_tab&amp;search_scope=EVERYTHING&amp;vid=01CRU&amp;lang=en_US&amp;offset=0&amp;query=any,contains,991002810939702656","Catalog Record")</f>
        <v/>
      </c>
      <c r="AT1374">
        <f>HYPERLINK("http://www.worldcat.org/oclc/36922587","WorldCat Record")</f>
        <v/>
      </c>
      <c r="AU1374" t="inlineStr">
        <is>
          <t>641720:eng</t>
        </is>
      </c>
      <c r="AV1374" t="inlineStr">
        <is>
          <t>36922587</t>
        </is>
      </c>
      <c r="AW1374" t="inlineStr">
        <is>
          <t>991002810939702656</t>
        </is>
      </c>
      <c r="AX1374" t="inlineStr">
        <is>
          <t>991002810939702656</t>
        </is>
      </c>
      <c r="AY1374" t="inlineStr">
        <is>
          <t>2271579190002656</t>
        </is>
      </c>
      <c r="AZ1374" t="inlineStr">
        <is>
          <t>BOOK</t>
        </is>
      </c>
      <c r="BB1374" t="inlineStr">
        <is>
          <t>9780874518498</t>
        </is>
      </c>
      <c r="BC1374" t="inlineStr">
        <is>
          <t>32285003303525</t>
        </is>
      </c>
      <c r="BD1374" t="inlineStr">
        <is>
          <t>893685818</t>
        </is>
      </c>
    </row>
    <row r="1375">
      <c r="A1375" t="inlineStr">
        <is>
          <t>No</t>
        </is>
      </c>
      <c r="B1375" t="inlineStr">
        <is>
          <t>BT891 .T5 1970</t>
        </is>
      </c>
      <c r="C1375" t="inlineStr">
        <is>
          <t>0                      BT 0891000T  5           1970</t>
        </is>
      </c>
      <c r="D1375" t="inlineStr">
        <is>
          <t>Millennial dreams in action : studies in revolutionary religious movements / edited by Sylvia L. Thrupp.</t>
        </is>
      </c>
      <c r="F1375" t="inlineStr">
        <is>
          <t>No</t>
        </is>
      </c>
      <c r="G1375" t="inlineStr">
        <is>
          <t>1</t>
        </is>
      </c>
      <c r="H1375" t="inlineStr">
        <is>
          <t>No</t>
        </is>
      </c>
      <c r="I1375" t="inlineStr">
        <is>
          <t>No</t>
        </is>
      </c>
      <c r="J1375" t="inlineStr">
        <is>
          <t>0</t>
        </is>
      </c>
      <c r="K1375" t="inlineStr">
        <is>
          <t>Thrupp, Sylvia L. (Sylvia Lettice), 1903-1997, editor.</t>
        </is>
      </c>
      <c r="L1375" t="inlineStr">
        <is>
          <t>New York, Schocken Books [1970]</t>
        </is>
      </c>
      <c r="M1375" t="inlineStr">
        <is>
          <t>1970</t>
        </is>
      </c>
      <c r="O1375" t="inlineStr">
        <is>
          <t>eng</t>
        </is>
      </c>
      <c r="P1375" t="inlineStr">
        <is>
          <t>nyu</t>
        </is>
      </c>
      <c r="R1375" t="inlineStr">
        <is>
          <t xml:space="preserve">BT </t>
        </is>
      </c>
      <c r="S1375" t="n">
        <v>2</v>
      </c>
      <c r="T1375" t="n">
        <v>2</v>
      </c>
      <c r="U1375" t="inlineStr">
        <is>
          <t>2000-03-13</t>
        </is>
      </c>
      <c r="V1375" t="inlineStr">
        <is>
          <t>2000-03-13</t>
        </is>
      </c>
      <c r="W1375" t="inlineStr">
        <is>
          <t>1991-10-22</t>
        </is>
      </c>
      <c r="X1375" t="inlineStr">
        <is>
          <t>1991-10-22</t>
        </is>
      </c>
      <c r="Y1375" t="n">
        <v>431</v>
      </c>
      <c r="Z1375" t="n">
        <v>364</v>
      </c>
      <c r="AA1375" t="n">
        <v>365</v>
      </c>
      <c r="AB1375" t="n">
        <v>5</v>
      </c>
      <c r="AC1375" t="n">
        <v>5</v>
      </c>
      <c r="AD1375" t="n">
        <v>21</v>
      </c>
      <c r="AE1375" t="n">
        <v>21</v>
      </c>
      <c r="AF1375" t="n">
        <v>8</v>
      </c>
      <c r="AG1375" t="n">
        <v>8</v>
      </c>
      <c r="AH1375" t="n">
        <v>1</v>
      </c>
      <c r="AI1375" t="n">
        <v>1</v>
      </c>
      <c r="AJ1375" t="n">
        <v>11</v>
      </c>
      <c r="AK1375" t="n">
        <v>11</v>
      </c>
      <c r="AL1375" t="n">
        <v>4</v>
      </c>
      <c r="AM1375" t="n">
        <v>4</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HYPERLINK("https://creighton-primo.hosted.exlibrisgroup.com/primo-explore/search?tab=default_tab&amp;search_scope=EVERYTHING&amp;vid=01CRU&amp;lang=en_US&amp;offset=0&amp;query=any,contains,991000447369702656","Catalog Record")</f>
        <v/>
      </c>
      <c r="AT1375">
        <f>HYPERLINK("http://www.worldcat.org/oclc/76872","WorldCat Record")</f>
        <v/>
      </c>
      <c r="AU1375" t="inlineStr">
        <is>
          <t>4020100561:eng</t>
        </is>
      </c>
      <c r="AV1375" t="inlineStr">
        <is>
          <t>76872</t>
        </is>
      </c>
      <c r="AW1375" t="inlineStr">
        <is>
          <t>991000447369702656</t>
        </is>
      </c>
      <c r="AX1375" t="inlineStr">
        <is>
          <t>991000447369702656</t>
        </is>
      </c>
      <c r="AY1375" t="inlineStr">
        <is>
          <t>2257100920002656</t>
        </is>
      </c>
      <c r="AZ1375" t="inlineStr">
        <is>
          <t>BOOK</t>
        </is>
      </c>
      <c r="BC1375" t="inlineStr">
        <is>
          <t>32285000807536</t>
        </is>
      </c>
      <c r="BD1375" t="inlineStr">
        <is>
          <t>893231114</t>
        </is>
      </c>
    </row>
    <row r="1376">
      <c r="A1376" t="inlineStr">
        <is>
          <t>No</t>
        </is>
      </c>
      <c r="B1376" t="inlineStr">
        <is>
          <t>BT90 .R3 1986</t>
        </is>
      </c>
      <c r="C1376" t="inlineStr">
        <is>
          <t>0                      BT 0090000R  3           1986</t>
        </is>
      </c>
      <c r="D1376" t="inlineStr">
        <is>
          <t>The roots of the Catholic tradition / by Thomas P. Rausch.</t>
        </is>
      </c>
      <c r="F1376" t="inlineStr">
        <is>
          <t>No</t>
        </is>
      </c>
      <c r="G1376" t="inlineStr">
        <is>
          <t>1</t>
        </is>
      </c>
      <c r="H1376" t="inlineStr">
        <is>
          <t>No</t>
        </is>
      </c>
      <c r="I1376" t="inlineStr">
        <is>
          <t>No</t>
        </is>
      </c>
      <c r="J1376" t="inlineStr">
        <is>
          <t>0</t>
        </is>
      </c>
      <c r="K1376" t="inlineStr">
        <is>
          <t>Rausch, Thomas P.</t>
        </is>
      </c>
      <c r="L1376" t="inlineStr">
        <is>
          <t>Wilmington, Del. : Michael Glazier, c1986.</t>
        </is>
      </c>
      <c r="M1376" t="inlineStr">
        <is>
          <t>1986</t>
        </is>
      </c>
      <c r="O1376" t="inlineStr">
        <is>
          <t>eng</t>
        </is>
      </c>
      <c r="P1376" t="inlineStr">
        <is>
          <t>deu</t>
        </is>
      </c>
      <c r="Q1376" t="inlineStr">
        <is>
          <t>Theology and life series ; 16</t>
        </is>
      </c>
      <c r="R1376" t="inlineStr">
        <is>
          <t xml:space="preserve">BT </t>
        </is>
      </c>
      <c r="S1376" t="n">
        <v>7</v>
      </c>
      <c r="T1376" t="n">
        <v>7</v>
      </c>
      <c r="U1376" t="inlineStr">
        <is>
          <t>1999-08-29</t>
        </is>
      </c>
      <c r="V1376" t="inlineStr">
        <is>
          <t>1999-08-29</t>
        </is>
      </c>
      <c r="W1376" t="inlineStr">
        <is>
          <t>1991-06-27</t>
        </is>
      </c>
      <c r="X1376" t="inlineStr">
        <is>
          <t>1991-06-27</t>
        </is>
      </c>
      <c r="Y1376" t="n">
        <v>210</v>
      </c>
      <c r="Z1376" t="n">
        <v>184</v>
      </c>
      <c r="AA1376" t="n">
        <v>247</v>
      </c>
      <c r="AB1376" t="n">
        <v>1</v>
      </c>
      <c r="AC1376" t="n">
        <v>1</v>
      </c>
      <c r="AD1376" t="n">
        <v>25</v>
      </c>
      <c r="AE1376" t="n">
        <v>28</v>
      </c>
      <c r="AF1376" t="n">
        <v>8</v>
      </c>
      <c r="AG1376" t="n">
        <v>10</v>
      </c>
      <c r="AH1376" t="n">
        <v>5</v>
      </c>
      <c r="AI1376" t="n">
        <v>5</v>
      </c>
      <c r="AJ1376" t="n">
        <v>20</v>
      </c>
      <c r="AK1376" t="n">
        <v>23</v>
      </c>
      <c r="AL1376" t="n">
        <v>0</v>
      </c>
      <c r="AM1376" t="n">
        <v>0</v>
      </c>
      <c r="AN1376" t="n">
        <v>0</v>
      </c>
      <c r="AO1376" t="n">
        <v>0</v>
      </c>
      <c r="AP1376" t="inlineStr">
        <is>
          <t>No</t>
        </is>
      </c>
      <c r="AQ1376" t="inlineStr">
        <is>
          <t>Yes</t>
        </is>
      </c>
      <c r="AR1376">
        <f>HYPERLINK("http://catalog.hathitrust.org/Record/000594602","HathiTrust Record")</f>
        <v/>
      </c>
      <c r="AS1376">
        <f>HYPERLINK("https://creighton-primo.hosted.exlibrisgroup.com/primo-explore/search?tab=default_tab&amp;search_scope=EVERYTHING&amp;vid=01CRU&amp;lang=en_US&amp;offset=0&amp;query=any,contains,991000830289702656","Catalog Record")</f>
        <v/>
      </c>
      <c r="AT1376">
        <f>HYPERLINK("http://www.worldcat.org/oclc/13449454","WorldCat Record")</f>
        <v/>
      </c>
      <c r="AU1376" t="inlineStr">
        <is>
          <t>7957821:eng</t>
        </is>
      </c>
      <c r="AV1376" t="inlineStr">
        <is>
          <t>13449454</t>
        </is>
      </c>
      <c r="AW1376" t="inlineStr">
        <is>
          <t>991000830289702656</t>
        </is>
      </c>
      <c r="AX1376" t="inlineStr">
        <is>
          <t>991000830289702656</t>
        </is>
      </c>
      <c r="AY1376" t="inlineStr">
        <is>
          <t>2255070330002656</t>
        </is>
      </c>
      <c r="AZ1376" t="inlineStr">
        <is>
          <t>BOOK</t>
        </is>
      </c>
      <c r="BB1376" t="inlineStr">
        <is>
          <t>9780894535383</t>
        </is>
      </c>
      <c r="BC1376" t="inlineStr">
        <is>
          <t>32285000689868</t>
        </is>
      </c>
      <c r="BD1376" t="inlineStr">
        <is>
          <t>893528429</t>
        </is>
      </c>
    </row>
    <row r="1377">
      <c r="A1377" t="inlineStr">
        <is>
          <t>No</t>
        </is>
      </c>
      <c r="B1377" t="inlineStr">
        <is>
          <t>BT90 .R6</t>
        </is>
      </c>
      <c r="C1377" t="inlineStr">
        <is>
          <t>0                      BT 0090000R  6</t>
        </is>
      </c>
      <c r="D1377" t="inlineStr">
        <is>
          <t>Reconsiderations; Roman Catholic/Presbyterian and Reformed theological conversations, 1966-67 / Papers presented by John L. McKenzie [and others.</t>
        </is>
      </c>
      <c r="F1377" t="inlineStr">
        <is>
          <t>No</t>
        </is>
      </c>
      <c r="G1377" t="inlineStr">
        <is>
          <t>1</t>
        </is>
      </c>
      <c r="H1377" t="inlineStr">
        <is>
          <t>No</t>
        </is>
      </c>
      <c r="I1377" t="inlineStr">
        <is>
          <t>No</t>
        </is>
      </c>
      <c r="J1377" t="inlineStr">
        <is>
          <t>0</t>
        </is>
      </c>
      <c r="K1377" t="inlineStr">
        <is>
          <t>Roman Catholic/Presbyterian and Reformed Conversation Group.</t>
        </is>
      </c>
      <c r="L1377" t="inlineStr">
        <is>
          <t>New York, World Horizons, c1967]</t>
        </is>
      </c>
      <c r="M1377" t="inlineStr">
        <is>
          <t>1967</t>
        </is>
      </c>
      <c r="O1377" t="inlineStr">
        <is>
          <t>eng</t>
        </is>
      </c>
      <c r="P1377" t="inlineStr">
        <is>
          <t>nyu</t>
        </is>
      </c>
      <c r="R1377" t="inlineStr">
        <is>
          <t xml:space="preserve">BT </t>
        </is>
      </c>
      <c r="S1377" t="n">
        <v>6</v>
      </c>
      <c r="T1377" t="n">
        <v>6</v>
      </c>
      <c r="U1377" t="inlineStr">
        <is>
          <t>2000-03-16</t>
        </is>
      </c>
      <c r="V1377" t="inlineStr">
        <is>
          <t>2000-03-16</t>
        </is>
      </c>
      <c r="W1377" t="inlineStr">
        <is>
          <t>1991-06-27</t>
        </is>
      </c>
      <c r="X1377" t="inlineStr">
        <is>
          <t>1991-06-27</t>
        </is>
      </c>
      <c r="Y1377" t="n">
        <v>131</v>
      </c>
      <c r="Z1377" t="n">
        <v>115</v>
      </c>
      <c r="AA1377" t="n">
        <v>116</v>
      </c>
      <c r="AB1377" t="n">
        <v>1</v>
      </c>
      <c r="AC1377" t="n">
        <v>1</v>
      </c>
      <c r="AD1377" t="n">
        <v>10</v>
      </c>
      <c r="AE1377" t="n">
        <v>10</v>
      </c>
      <c r="AF1377" t="n">
        <v>2</v>
      </c>
      <c r="AG1377" t="n">
        <v>2</v>
      </c>
      <c r="AH1377" t="n">
        <v>2</v>
      </c>
      <c r="AI1377" t="n">
        <v>2</v>
      </c>
      <c r="AJ1377" t="n">
        <v>8</v>
      </c>
      <c r="AK1377" t="n">
        <v>8</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HYPERLINK("https://creighton-primo.hosted.exlibrisgroup.com/primo-explore/search?tab=default_tab&amp;search_scope=EVERYTHING&amp;vid=01CRU&amp;lang=en_US&amp;offset=0&amp;query=any,contains,991000000389702656","Catalog Record")</f>
        <v/>
      </c>
      <c r="AT1377">
        <f>HYPERLINK("http://www.worldcat.org/oclc/7925","WorldCat Record")</f>
        <v/>
      </c>
      <c r="AU1377" t="inlineStr">
        <is>
          <t>1131092:eng</t>
        </is>
      </c>
      <c r="AV1377" t="inlineStr">
        <is>
          <t>7925</t>
        </is>
      </c>
      <c r="AW1377" t="inlineStr">
        <is>
          <t>991000000389702656</t>
        </is>
      </c>
      <c r="AX1377" t="inlineStr">
        <is>
          <t>991000000389702656</t>
        </is>
      </c>
      <c r="AY1377" t="inlineStr">
        <is>
          <t>2268008370002656</t>
        </is>
      </c>
      <c r="AZ1377" t="inlineStr">
        <is>
          <t>BOOK</t>
        </is>
      </c>
      <c r="BC1377" t="inlineStr">
        <is>
          <t>32285000689876</t>
        </is>
      </c>
      <c r="BD1377" t="inlineStr">
        <is>
          <t>893320730</t>
        </is>
      </c>
    </row>
    <row r="1378">
      <c r="A1378" t="inlineStr">
        <is>
          <t>No</t>
        </is>
      </c>
      <c r="B1378" t="inlineStr">
        <is>
          <t>BT90 .S9</t>
        </is>
      </c>
      <c r="C1378" t="inlineStr">
        <is>
          <t>0                      BT 0090000S  9</t>
        </is>
      </c>
      <c r="D1378" t="inlineStr">
        <is>
          <t>Scripture and ecumenism : Protestant, Catholic, Orthodox, and Jewish / edited and introd. by Leonard J. Swidler.</t>
        </is>
      </c>
      <c r="F1378" t="inlineStr">
        <is>
          <t>No</t>
        </is>
      </c>
      <c r="G1378" t="inlineStr">
        <is>
          <t>1</t>
        </is>
      </c>
      <c r="H1378" t="inlineStr">
        <is>
          <t>No</t>
        </is>
      </c>
      <c r="I1378" t="inlineStr">
        <is>
          <t>No</t>
        </is>
      </c>
      <c r="J1378" t="inlineStr">
        <is>
          <t>0</t>
        </is>
      </c>
      <c r="K1378" t="inlineStr">
        <is>
          <t>Swidler, Leonard J. editor.</t>
        </is>
      </c>
      <c r="L1378" t="inlineStr">
        <is>
          <t>Pittsburgh, Duquesne University Press, 1965.</t>
        </is>
      </c>
      <c r="M1378" t="inlineStr">
        <is>
          <t>1965</t>
        </is>
      </c>
      <c r="O1378" t="inlineStr">
        <is>
          <t>eng</t>
        </is>
      </c>
      <c r="P1378" t="inlineStr">
        <is>
          <t>___</t>
        </is>
      </c>
      <c r="Q1378" t="inlineStr">
        <is>
          <t>Duquesne studies. Theological series ; 3</t>
        </is>
      </c>
      <c r="R1378" t="inlineStr">
        <is>
          <t xml:space="preserve">BT </t>
        </is>
      </c>
      <c r="S1378" t="n">
        <v>1</v>
      </c>
      <c r="T1378" t="n">
        <v>1</v>
      </c>
      <c r="U1378" t="inlineStr">
        <is>
          <t>2000-10-04</t>
        </is>
      </c>
      <c r="V1378" t="inlineStr">
        <is>
          <t>2000-10-04</t>
        </is>
      </c>
      <c r="W1378" t="inlineStr">
        <is>
          <t>1991-06-27</t>
        </is>
      </c>
      <c r="X1378" t="inlineStr">
        <is>
          <t>1991-06-27</t>
        </is>
      </c>
      <c r="Y1378" t="n">
        <v>420</v>
      </c>
      <c r="Z1378" t="n">
        <v>364</v>
      </c>
      <c r="AA1378" t="n">
        <v>370</v>
      </c>
      <c r="AB1378" t="n">
        <v>4</v>
      </c>
      <c r="AC1378" t="n">
        <v>4</v>
      </c>
      <c r="AD1378" t="n">
        <v>37</v>
      </c>
      <c r="AE1378" t="n">
        <v>37</v>
      </c>
      <c r="AF1378" t="n">
        <v>14</v>
      </c>
      <c r="AG1378" t="n">
        <v>14</v>
      </c>
      <c r="AH1378" t="n">
        <v>8</v>
      </c>
      <c r="AI1378" t="n">
        <v>8</v>
      </c>
      <c r="AJ1378" t="n">
        <v>26</v>
      </c>
      <c r="AK1378" t="n">
        <v>26</v>
      </c>
      <c r="AL1378" t="n">
        <v>2</v>
      </c>
      <c r="AM1378" t="n">
        <v>2</v>
      </c>
      <c r="AN1378" t="n">
        <v>0</v>
      </c>
      <c r="AO1378" t="n">
        <v>0</v>
      </c>
      <c r="AP1378" t="inlineStr">
        <is>
          <t>No</t>
        </is>
      </c>
      <c r="AQ1378" t="inlineStr">
        <is>
          <t>No</t>
        </is>
      </c>
      <c r="AS1378">
        <f>HYPERLINK("https://creighton-primo.hosted.exlibrisgroup.com/primo-explore/search?tab=default_tab&amp;search_scope=EVERYTHING&amp;vid=01CRU&amp;lang=en_US&amp;offset=0&amp;query=any,contains,991003111919702656","Catalog Record")</f>
        <v/>
      </c>
      <c r="AT1378">
        <f>HYPERLINK("http://www.worldcat.org/oclc/657320","WorldCat Record")</f>
        <v/>
      </c>
      <c r="AU1378" t="inlineStr">
        <is>
          <t>50986651:eng</t>
        </is>
      </c>
      <c r="AV1378" t="inlineStr">
        <is>
          <t>657320</t>
        </is>
      </c>
      <c r="AW1378" t="inlineStr">
        <is>
          <t>991003111919702656</t>
        </is>
      </c>
      <c r="AX1378" t="inlineStr">
        <is>
          <t>991003111919702656</t>
        </is>
      </c>
      <c r="AY1378" t="inlineStr">
        <is>
          <t>2263959350002656</t>
        </is>
      </c>
      <c r="AZ1378" t="inlineStr">
        <is>
          <t>BOOK</t>
        </is>
      </c>
      <c r="BC1378" t="inlineStr">
        <is>
          <t>32285000689884</t>
        </is>
      </c>
      <c r="BD1378" t="inlineStr">
        <is>
          <t>893686207</t>
        </is>
      </c>
    </row>
    <row r="1379">
      <c r="A1379" t="inlineStr">
        <is>
          <t>No</t>
        </is>
      </c>
      <c r="B1379" t="inlineStr">
        <is>
          <t>BT901 .A3 1968</t>
        </is>
      </c>
      <c r="C1379" t="inlineStr">
        <is>
          <t>0                      BT 0901000A  3           1968</t>
        </is>
      </c>
      <c r="D1379" t="inlineStr">
        <is>
          <t>The destiny of the soul : a critical history of the doctrine of a future life / William Rounseville Alger.</t>
        </is>
      </c>
      <c r="E1379" t="inlineStr">
        <is>
          <t>V.2</t>
        </is>
      </c>
      <c r="F1379" t="inlineStr">
        <is>
          <t>Yes</t>
        </is>
      </c>
      <c r="G1379" t="inlineStr">
        <is>
          <t>1</t>
        </is>
      </c>
      <c r="H1379" t="inlineStr">
        <is>
          <t>No</t>
        </is>
      </c>
      <c r="I1379" t="inlineStr">
        <is>
          <t>No</t>
        </is>
      </c>
      <c r="J1379" t="inlineStr">
        <is>
          <t>0</t>
        </is>
      </c>
      <c r="K1379" t="inlineStr">
        <is>
          <t>Alger, William Rounseville, 1822-1905.</t>
        </is>
      </c>
      <c r="L1379" t="inlineStr">
        <is>
          <t>New York : Greenwood Press, 1968 [c1878]</t>
        </is>
      </c>
      <c r="M1379" t="inlineStr">
        <is>
          <t>1968</t>
        </is>
      </c>
      <c r="N1379" t="inlineStr">
        <is>
          <t>10th ed., with six new chapters.</t>
        </is>
      </c>
      <c r="O1379" t="inlineStr">
        <is>
          <t>eng</t>
        </is>
      </c>
      <c r="P1379" t="inlineStr">
        <is>
          <t>nyu</t>
        </is>
      </c>
      <c r="R1379" t="inlineStr">
        <is>
          <t xml:space="preserve">BT </t>
        </is>
      </c>
      <c r="S1379" t="n">
        <v>2</v>
      </c>
      <c r="T1379" t="n">
        <v>8</v>
      </c>
      <c r="U1379" t="inlineStr">
        <is>
          <t>1996-09-07</t>
        </is>
      </c>
      <c r="V1379" t="inlineStr">
        <is>
          <t>1997-11-30</t>
        </is>
      </c>
      <c r="W1379" t="inlineStr">
        <is>
          <t>1991-10-22</t>
        </is>
      </c>
      <c r="X1379" t="inlineStr">
        <is>
          <t>1991-10-22</t>
        </is>
      </c>
      <c r="Y1379" t="n">
        <v>166</v>
      </c>
      <c r="Z1379" t="n">
        <v>144</v>
      </c>
      <c r="AA1379" t="n">
        <v>227</v>
      </c>
      <c r="AB1379" t="n">
        <v>2</v>
      </c>
      <c r="AC1379" t="n">
        <v>3</v>
      </c>
      <c r="AD1379" t="n">
        <v>10</v>
      </c>
      <c r="AE1379" t="n">
        <v>13</v>
      </c>
      <c r="AF1379" t="n">
        <v>4</v>
      </c>
      <c r="AG1379" t="n">
        <v>4</v>
      </c>
      <c r="AH1379" t="n">
        <v>1</v>
      </c>
      <c r="AI1379" t="n">
        <v>3</v>
      </c>
      <c r="AJ1379" t="n">
        <v>7</v>
      </c>
      <c r="AK1379" t="n">
        <v>7</v>
      </c>
      <c r="AL1379" t="n">
        <v>1</v>
      </c>
      <c r="AM1379" t="n">
        <v>2</v>
      </c>
      <c r="AN1379" t="n">
        <v>0</v>
      </c>
      <c r="AO1379" t="n">
        <v>0</v>
      </c>
      <c r="AP1379" t="inlineStr">
        <is>
          <t>Yes</t>
        </is>
      </c>
      <c r="AQ1379" t="inlineStr">
        <is>
          <t>No</t>
        </is>
      </c>
      <c r="AR1379">
        <f>HYPERLINK("http://catalog.hathitrust.org/Record/101845990","HathiTrust Record")</f>
        <v/>
      </c>
      <c r="AS1379">
        <f>HYPERLINK("https://creighton-primo.hosted.exlibrisgroup.com/primo-explore/search?tab=default_tab&amp;search_scope=EVERYTHING&amp;vid=01CRU&amp;lang=en_US&amp;offset=0&amp;query=any,contains,991002782889702656","Catalog Record")</f>
        <v/>
      </c>
      <c r="AT1379">
        <f>HYPERLINK("http://www.worldcat.org/oclc/440879","WorldCat Record")</f>
        <v/>
      </c>
      <c r="AU1379" t="inlineStr">
        <is>
          <t>14588599:eng</t>
        </is>
      </c>
      <c r="AV1379" t="inlineStr">
        <is>
          <t>440879</t>
        </is>
      </c>
      <c r="AW1379" t="inlineStr">
        <is>
          <t>991002782889702656</t>
        </is>
      </c>
      <c r="AX1379" t="inlineStr">
        <is>
          <t>991002782889702656</t>
        </is>
      </c>
      <c r="AY1379" t="inlineStr">
        <is>
          <t>2257051180002656</t>
        </is>
      </c>
      <c r="AZ1379" t="inlineStr">
        <is>
          <t>BOOK</t>
        </is>
      </c>
      <c r="BC1379" t="inlineStr">
        <is>
          <t>32285000807551</t>
        </is>
      </c>
      <c r="BD1379" t="inlineStr">
        <is>
          <t>893716903</t>
        </is>
      </c>
    </row>
    <row r="1380">
      <c r="A1380" t="inlineStr">
        <is>
          <t>No</t>
        </is>
      </c>
      <c r="B1380" t="inlineStr">
        <is>
          <t>BT901 .A3 1968</t>
        </is>
      </c>
      <c r="C1380" t="inlineStr">
        <is>
          <t>0                      BT 0901000A  3           1968</t>
        </is>
      </c>
      <c r="D1380" t="inlineStr">
        <is>
          <t>The destiny of the soul : a critical history of the doctrine of a future life / William Rounseville Alger.</t>
        </is>
      </c>
      <c r="E1380" t="inlineStr">
        <is>
          <t>V.1</t>
        </is>
      </c>
      <c r="F1380" t="inlineStr">
        <is>
          <t>Yes</t>
        </is>
      </c>
      <c r="G1380" t="inlineStr">
        <is>
          <t>1</t>
        </is>
      </c>
      <c r="H1380" t="inlineStr">
        <is>
          <t>No</t>
        </is>
      </c>
      <c r="I1380" t="inlineStr">
        <is>
          <t>No</t>
        </is>
      </c>
      <c r="J1380" t="inlineStr">
        <is>
          <t>0</t>
        </is>
      </c>
      <c r="K1380" t="inlineStr">
        <is>
          <t>Alger, William Rounseville, 1822-1905.</t>
        </is>
      </c>
      <c r="L1380" t="inlineStr">
        <is>
          <t>New York : Greenwood Press, 1968 [c1878]</t>
        </is>
      </c>
      <c r="M1380" t="inlineStr">
        <is>
          <t>1968</t>
        </is>
      </c>
      <c r="N1380" t="inlineStr">
        <is>
          <t>10th ed., with six new chapters.</t>
        </is>
      </c>
      <c r="O1380" t="inlineStr">
        <is>
          <t>eng</t>
        </is>
      </c>
      <c r="P1380" t="inlineStr">
        <is>
          <t>nyu</t>
        </is>
      </c>
      <c r="R1380" t="inlineStr">
        <is>
          <t xml:space="preserve">BT </t>
        </is>
      </c>
      <c r="S1380" t="n">
        <v>6</v>
      </c>
      <c r="T1380" t="n">
        <v>8</v>
      </c>
      <c r="U1380" t="inlineStr">
        <is>
          <t>1997-11-30</t>
        </is>
      </c>
      <c r="V1380" t="inlineStr">
        <is>
          <t>1997-11-30</t>
        </is>
      </c>
      <c r="W1380" t="inlineStr">
        <is>
          <t>1991-10-22</t>
        </is>
      </c>
      <c r="X1380" t="inlineStr">
        <is>
          <t>1991-10-22</t>
        </is>
      </c>
      <c r="Y1380" t="n">
        <v>166</v>
      </c>
      <c r="Z1380" t="n">
        <v>144</v>
      </c>
      <c r="AA1380" t="n">
        <v>227</v>
      </c>
      <c r="AB1380" t="n">
        <v>2</v>
      </c>
      <c r="AC1380" t="n">
        <v>3</v>
      </c>
      <c r="AD1380" t="n">
        <v>10</v>
      </c>
      <c r="AE1380" t="n">
        <v>13</v>
      </c>
      <c r="AF1380" t="n">
        <v>4</v>
      </c>
      <c r="AG1380" t="n">
        <v>4</v>
      </c>
      <c r="AH1380" t="n">
        <v>1</v>
      </c>
      <c r="AI1380" t="n">
        <v>3</v>
      </c>
      <c r="AJ1380" t="n">
        <v>7</v>
      </c>
      <c r="AK1380" t="n">
        <v>7</v>
      </c>
      <c r="AL1380" t="n">
        <v>1</v>
      </c>
      <c r="AM1380" t="n">
        <v>2</v>
      </c>
      <c r="AN1380" t="n">
        <v>0</v>
      </c>
      <c r="AO1380" t="n">
        <v>0</v>
      </c>
      <c r="AP1380" t="inlineStr">
        <is>
          <t>Yes</t>
        </is>
      </c>
      <c r="AQ1380" t="inlineStr">
        <is>
          <t>No</t>
        </is>
      </c>
      <c r="AR1380">
        <f>HYPERLINK("http://catalog.hathitrust.org/Record/101845990","HathiTrust Record")</f>
        <v/>
      </c>
      <c r="AS1380">
        <f>HYPERLINK("https://creighton-primo.hosted.exlibrisgroup.com/primo-explore/search?tab=default_tab&amp;search_scope=EVERYTHING&amp;vid=01CRU&amp;lang=en_US&amp;offset=0&amp;query=any,contains,991002782889702656","Catalog Record")</f>
        <v/>
      </c>
      <c r="AT1380">
        <f>HYPERLINK("http://www.worldcat.org/oclc/440879","WorldCat Record")</f>
        <v/>
      </c>
      <c r="AU1380" t="inlineStr">
        <is>
          <t>14588599:eng</t>
        </is>
      </c>
      <c r="AV1380" t="inlineStr">
        <is>
          <t>440879</t>
        </is>
      </c>
      <c r="AW1380" t="inlineStr">
        <is>
          <t>991002782889702656</t>
        </is>
      </c>
      <c r="AX1380" t="inlineStr">
        <is>
          <t>991002782889702656</t>
        </is>
      </c>
      <c r="AY1380" t="inlineStr">
        <is>
          <t>2257051180002656</t>
        </is>
      </c>
      <c r="AZ1380" t="inlineStr">
        <is>
          <t>BOOK</t>
        </is>
      </c>
      <c r="BC1380" t="inlineStr">
        <is>
          <t>32285000807544</t>
        </is>
      </c>
      <c r="BD1380" t="inlineStr">
        <is>
          <t>893704515</t>
        </is>
      </c>
    </row>
    <row r="1381">
      <c r="A1381" t="inlineStr">
        <is>
          <t>No</t>
        </is>
      </c>
      <c r="B1381" t="inlineStr">
        <is>
          <t>BT901 .S3 1918</t>
        </is>
      </c>
      <c r="C1381" t="inlineStr">
        <is>
          <t>0                      BT 0901000S  3           1918</t>
        </is>
      </c>
      <c r="D1381" t="inlineStr">
        <is>
          <t>The future life : according to the authority of divine revelation, the dictates of sound reason, the general consent of mankind / by Rev. Joseph C. Sasia, S. J.</t>
        </is>
      </c>
      <c r="F1381" t="inlineStr">
        <is>
          <t>No</t>
        </is>
      </c>
      <c r="G1381" t="inlineStr">
        <is>
          <t>1</t>
        </is>
      </c>
      <c r="H1381" t="inlineStr">
        <is>
          <t>No</t>
        </is>
      </c>
      <c r="I1381" t="inlineStr">
        <is>
          <t>No</t>
        </is>
      </c>
      <c r="J1381" t="inlineStr">
        <is>
          <t>0</t>
        </is>
      </c>
      <c r="K1381" t="inlineStr">
        <is>
          <t>Sasia, Joseph C. (Joseph Casimir), 1843-1928.</t>
        </is>
      </c>
      <c r="L1381" t="inlineStr">
        <is>
          <t>New York ; Cincinnati [etc.] : Benziger brothers, 1918.</t>
        </is>
      </c>
      <c r="M1381" t="inlineStr">
        <is>
          <t>1918</t>
        </is>
      </c>
      <c r="O1381" t="inlineStr">
        <is>
          <t>eng</t>
        </is>
      </c>
      <c r="P1381" t="inlineStr">
        <is>
          <t xml:space="preserve">xx </t>
        </is>
      </c>
      <c r="R1381" t="inlineStr">
        <is>
          <t xml:space="preserve">BT </t>
        </is>
      </c>
      <c r="S1381" t="n">
        <v>2</v>
      </c>
      <c r="T1381" t="n">
        <v>2</v>
      </c>
      <c r="U1381" t="inlineStr">
        <is>
          <t>1997-11-30</t>
        </is>
      </c>
      <c r="V1381" t="inlineStr">
        <is>
          <t>1997-11-30</t>
        </is>
      </c>
      <c r="W1381" t="inlineStr">
        <is>
          <t>1991-10-22</t>
        </is>
      </c>
      <c r="X1381" t="inlineStr">
        <is>
          <t>1991-10-22</t>
        </is>
      </c>
      <c r="Y1381" t="n">
        <v>92</v>
      </c>
      <c r="Z1381" t="n">
        <v>81</v>
      </c>
      <c r="AA1381" t="n">
        <v>107</v>
      </c>
      <c r="AB1381" t="n">
        <v>2</v>
      </c>
      <c r="AC1381" t="n">
        <v>2</v>
      </c>
      <c r="AD1381" t="n">
        <v>14</v>
      </c>
      <c r="AE1381" t="n">
        <v>14</v>
      </c>
      <c r="AF1381" t="n">
        <v>2</v>
      </c>
      <c r="AG1381" t="n">
        <v>2</v>
      </c>
      <c r="AH1381" t="n">
        <v>5</v>
      </c>
      <c r="AI1381" t="n">
        <v>5</v>
      </c>
      <c r="AJ1381" t="n">
        <v>11</v>
      </c>
      <c r="AK1381" t="n">
        <v>11</v>
      </c>
      <c r="AL1381" t="n">
        <v>0</v>
      </c>
      <c r="AM1381" t="n">
        <v>0</v>
      </c>
      <c r="AN1381" t="n">
        <v>0</v>
      </c>
      <c r="AO1381" t="n">
        <v>0</v>
      </c>
      <c r="AP1381" t="inlineStr">
        <is>
          <t>Yes</t>
        </is>
      </c>
      <c r="AQ1381" t="inlineStr">
        <is>
          <t>No</t>
        </is>
      </c>
      <c r="AR1381">
        <f>HYPERLINK("http://catalog.hathitrust.org/Record/008624030","HathiTrust Record")</f>
        <v/>
      </c>
      <c r="AS1381">
        <f>HYPERLINK("https://creighton-primo.hosted.exlibrisgroup.com/primo-explore/search?tab=default_tab&amp;search_scope=EVERYTHING&amp;vid=01CRU&amp;lang=en_US&amp;offset=0&amp;query=any,contains,991004121749702656","Catalog Record")</f>
        <v/>
      </c>
      <c r="AT1381">
        <f>HYPERLINK("http://www.worldcat.org/oclc/2430084","WorldCat Record")</f>
        <v/>
      </c>
      <c r="AU1381" t="inlineStr">
        <is>
          <t>5145031:eng</t>
        </is>
      </c>
      <c r="AV1381" t="inlineStr">
        <is>
          <t>2430084</t>
        </is>
      </c>
      <c r="AW1381" t="inlineStr">
        <is>
          <t>991004121749702656</t>
        </is>
      </c>
      <c r="AX1381" t="inlineStr">
        <is>
          <t>991004121749702656</t>
        </is>
      </c>
      <c r="AY1381" t="inlineStr">
        <is>
          <t>2260033430002656</t>
        </is>
      </c>
      <c r="AZ1381" t="inlineStr">
        <is>
          <t>BOOK</t>
        </is>
      </c>
      <c r="BC1381" t="inlineStr">
        <is>
          <t>32285000807577</t>
        </is>
      </c>
      <c r="BD1381" t="inlineStr">
        <is>
          <t>893605649</t>
        </is>
      </c>
    </row>
    <row r="1382">
      <c r="A1382" t="inlineStr">
        <is>
          <t>No</t>
        </is>
      </c>
      <c r="B1382" t="inlineStr">
        <is>
          <t>BT901 .S37 1920</t>
        </is>
      </c>
      <c r="C1382" t="inlineStr">
        <is>
          <t>0                      BT 0901000S  37          1920</t>
        </is>
      </c>
      <c r="D1382" t="inlineStr">
        <is>
          <t>The other life / by the Rt. Rev. William Schneider ... translated and adapted from the eleventh edition of the German original; revised and edited by the Rev. Herbert Thurston, S.J.</t>
        </is>
      </c>
      <c r="F1382" t="inlineStr">
        <is>
          <t>No</t>
        </is>
      </c>
      <c r="G1382" t="inlineStr">
        <is>
          <t>1</t>
        </is>
      </c>
      <c r="H1382" t="inlineStr">
        <is>
          <t>No</t>
        </is>
      </c>
      <c r="I1382" t="inlineStr">
        <is>
          <t>No</t>
        </is>
      </c>
      <c r="J1382" t="inlineStr">
        <is>
          <t>0</t>
        </is>
      </c>
      <c r="K1382" t="inlineStr">
        <is>
          <t>Schneider, William, 1847-1909.</t>
        </is>
      </c>
      <c r="L1382" t="inlineStr">
        <is>
          <t>New York : J.F. Wagner (inc.) ; London : B. Herder, [c1920]</t>
        </is>
      </c>
      <c r="M1382" t="inlineStr">
        <is>
          <t>1920</t>
        </is>
      </c>
      <c r="O1382" t="inlineStr">
        <is>
          <t>eng</t>
        </is>
      </c>
      <c r="P1382" t="inlineStr">
        <is>
          <t>nyu</t>
        </is>
      </c>
      <c r="R1382" t="inlineStr">
        <is>
          <t xml:space="preserve">BT </t>
        </is>
      </c>
      <c r="S1382" t="n">
        <v>4</v>
      </c>
      <c r="T1382" t="n">
        <v>4</v>
      </c>
      <c r="U1382" t="inlineStr">
        <is>
          <t>1999-12-01</t>
        </is>
      </c>
      <c r="V1382" t="inlineStr">
        <is>
          <t>1999-12-01</t>
        </is>
      </c>
      <c r="W1382" t="inlineStr">
        <is>
          <t>1991-10-22</t>
        </is>
      </c>
      <c r="X1382" t="inlineStr">
        <is>
          <t>1991-10-22</t>
        </is>
      </c>
      <c r="Y1382" t="n">
        <v>82</v>
      </c>
      <c r="Z1382" t="n">
        <v>74</v>
      </c>
      <c r="AA1382" t="n">
        <v>83</v>
      </c>
      <c r="AB1382" t="n">
        <v>2</v>
      </c>
      <c r="AC1382" t="n">
        <v>2</v>
      </c>
      <c r="AD1382" t="n">
        <v>14</v>
      </c>
      <c r="AE1382" t="n">
        <v>14</v>
      </c>
      <c r="AF1382" t="n">
        <v>3</v>
      </c>
      <c r="AG1382" t="n">
        <v>3</v>
      </c>
      <c r="AH1382" t="n">
        <v>5</v>
      </c>
      <c r="AI1382" t="n">
        <v>5</v>
      </c>
      <c r="AJ1382" t="n">
        <v>12</v>
      </c>
      <c r="AK1382" t="n">
        <v>12</v>
      </c>
      <c r="AL1382" t="n">
        <v>0</v>
      </c>
      <c r="AM1382" t="n">
        <v>0</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HYPERLINK("https://creighton-primo.hosted.exlibrisgroup.com/primo-explore/search?tab=default_tab&amp;search_scope=EVERYTHING&amp;vid=01CRU&amp;lang=en_US&amp;offset=0&amp;query=any,contains,991003750489702656","Catalog Record")</f>
        <v/>
      </c>
      <c r="AT1382">
        <f>HYPERLINK("http://www.worldcat.org/oclc/1425859","WorldCat Record")</f>
        <v/>
      </c>
      <c r="AU1382" t="inlineStr">
        <is>
          <t>1359586110:eng</t>
        </is>
      </c>
      <c r="AV1382" t="inlineStr">
        <is>
          <t>1425859</t>
        </is>
      </c>
      <c r="AW1382" t="inlineStr">
        <is>
          <t>991003750489702656</t>
        </is>
      </c>
      <c r="AX1382" t="inlineStr">
        <is>
          <t>991003750489702656</t>
        </is>
      </c>
      <c r="AY1382" t="inlineStr">
        <is>
          <t>2272398150002656</t>
        </is>
      </c>
      <c r="AZ1382" t="inlineStr">
        <is>
          <t>BOOK</t>
        </is>
      </c>
      <c r="BC1382" t="inlineStr">
        <is>
          <t>32285000807585</t>
        </is>
      </c>
      <c r="BD1382" t="inlineStr">
        <is>
          <t>893324429</t>
        </is>
      </c>
    </row>
    <row r="1383">
      <c r="A1383" t="inlineStr">
        <is>
          <t>No</t>
        </is>
      </c>
      <c r="B1383" t="inlineStr">
        <is>
          <t>BT902 .M35 1984</t>
        </is>
      </c>
      <c r="C1383" t="inlineStr">
        <is>
          <t>0                      BT 0902000M  35          1984</t>
        </is>
      </c>
      <c r="D1383" t="inlineStr">
        <is>
          <t>Death, where is your sting? / by George A. Maloney.</t>
        </is>
      </c>
      <c r="F1383" t="inlineStr">
        <is>
          <t>No</t>
        </is>
      </c>
      <c r="G1383" t="inlineStr">
        <is>
          <t>1</t>
        </is>
      </c>
      <c r="H1383" t="inlineStr">
        <is>
          <t>No</t>
        </is>
      </c>
      <c r="I1383" t="inlineStr">
        <is>
          <t>No</t>
        </is>
      </c>
      <c r="J1383" t="inlineStr">
        <is>
          <t>0</t>
        </is>
      </c>
      <c r="K1383" t="inlineStr">
        <is>
          <t>Maloney, George A., 1924-2005.</t>
        </is>
      </c>
      <c r="L1383" t="inlineStr">
        <is>
          <t>New York, N.Y. : Alba House, c1984.</t>
        </is>
      </c>
      <c r="M1383" t="inlineStr">
        <is>
          <t>1984</t>
        </is>
      </c>
      <c r="O1383" t="inlineStr">
        <is>
          <t>eng</t>
        </is>
      </c>
      <c r="P1383" t="inlineStr">
        <is>
          <t>nyu</t>
        </is>
      </c>
      <c r="R1383" t="inlineStr">
        <is>
          <t xml:space="preserve">BT </t>
        </is>
      </c>
      <c r="S1383" t="n">
        <v>5</v>
      </c>
      <c r="T1383" t="n">
        <v>5</v>
      </c>
      <c r="U1383" t="inlineStr">
        <is>
          <t>1992-03-27</t>
        </is>
      </c>
      <c r="V1383" t="inlineStr">
        <is>
          <t>1992-03-27</t>
        </is>
      </c>
      <c r="W1383" t="inlineStr">
        <is>
          <t>1992-03-23</t>
        </is>
      </c>
      <c r="X1383" t="inlineStr">
        <is>
          <t>1992-03-23</t>
        </is>
      </c>
      <c r="Y1383" t="n">
        <v>108</v>
      </c>
      <c r="Z1383" t="n">
        <v>97</v>
      </c>
      <c r="AA1383" t="n">
        <v>97</v>
      </c>
      <c r="AB1383" t="n">
        <v>3</v>
      </c>
      <c r="AC1383" t="n">
        <v>3</v>
      </c>
      <c r="AD1383" t="n">
        <v>13</v>
      </c>
      <c r="AE1383" t="n">
        <v>13</v>
      </c>
      <c r="AF1383" t="n">
        <v>3</v>
      </c>
      <c r="AG1383" t="n">
        <v>3</v>
      </c>
      <c r="AH1383" t="n">
        <v>1</v>
      </c>
      <c r="AI1383" t="n">
        <v>1</v>
      </c>
      <c r="AJ1383" t="n">
        <v>13</v>
      </c>
      <c r="AK1383" t="n">
        <v>13</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HYPERLINK("https://creighton-primo.hosted.exlibrisgroup.com/primo-explore/search?tab=default_tab&amp;search_scope=EVERYTHING&amp;vid=01CRU&amp;lang=en_US&amp;offset=0&amp;query=any,contains,991000413819702656","Catalog Record")</f>
        <v/>
      </c>
      <c r="AT1383">
        <f>HYPERLINK("http://www.worldcat.org/oclc/10723210","WorldCat Record")</f>
        <v/>
      </c>
      <c r="AU1383" t="inlineStr">
        <is>
          <t>3307678:eng</t>
        </is>
      </c>
      <c r="AV1383" t="inlineStr">
        <is>
          <t>10723210</t>
        </is>
      </c>
      <c r="AW1383" t="inlineStr">
        <is>
          <t>991000413819702656</t>
        </is>
      </c>
      <c r="AX1383" t="inlineStr">
        <is>
          <t>991000413819702656</t>
        </is>
      </c>
      <c r="AY1383" t="inlineStr">
        <is>
          <t>2255753720002656</t>
        </is>
      </c>
      <c r="AZ1383" t="inlineStr">
        <is>
          <t>BOOK</t>
        </is>
      </c>
      <c r="BB1383" t="inlineStr">
        <is>
          <t>9780818904707</t>
        </is>
      </c>
      <c r="BC1383" t="inlineStr">
        <is>
          <t>32285001014934</t>
        </is>
      </c>
      <c r="BD1383" t="inlineStr">
        <is>
          <t>893595526</t>
        </is>
      </c>
    </row>
    <row r="1384">
      <c r="A1384" t="inlineStr">
        <is>
          <t>No</t>
        </is>
      </c>
      <c r="B1384" t="inlineStr">
        <is>
          <t>BT902 .R35</t>
        </is>
      </c>
      <c r="C1384" t="inlineStr">
        <is>
          <t>0                      BT 0902000R  35</t>
        </is>
      </c>
      <c r="D1384" t="inlineStr">
        <is>
          <t>Beyond death's door / by Maurice Rawlings.</t>
        </is>
      </c>
      <c r="F1384" t="inlineStr">
        <is>
          <t>No</t>
        </is>
      </c>
      <c r="G1384" t="inlineStr">
        <is>
          <t>1</t>
        </is>
      </c>
      <c r="H1384" t="inlineStr">
        <is>
          <t>No</t>
        </is>
      </c>
      <c r="I1384" t="inlineStr">
        <is>
          <t>No</t>
        </is>
      </c>
      <c r="J1384" t="inlineStr">
        <is>
          <t>0</t>
        </is>
      </c>
      <c r="K1384" t="inlineStr">
        <is>
          <t>Rawlings, Maurice.</t>
        </is>
      </c>
      <c r="L1384" t="inlineStr">
        <is>
          <t>Nashville : T. Nelson, c1978.</t>
        </is>
      </c>
      <c r="M1384" t="inlineStr">
        <is>
          <t>1978</t>
        </is>
      </c>
      <c r="O1384" t="inlineStr">
        <is>
          <t>eng</t>
        </is>
      </c>
      <c r="P1384" t="inlineStr">
        <is>
          <t>tnu</t>
        </is>
      </c>
      <c r="R1384" t="inlineStr">
        <is>
          <t xml:space="preserve">BT </t>
        </is>
      </c>
      <c r="S1384" t="n">
        <v>4</v>
      </c>
      <c r="T1384" t="n">
        <v>4</v>
      </c>
      <c r="U1384" t="inlineStr">
        <is>
          <t>1997-02-07</t>
        </is>
      </c>
      <c r="V1384" t="inlineStr">
        <is>
          <t>1997-02-07</t>
        </is>
      </c>
      <c r="W1384" t="inlineStr">
        <is>
          <t>1990-02-19</t>
        </is>
      </c>
      <c r="X1384" t="inlineStr">
        <is>
          <t>1990-02-19</t>
        </is>
      </c>
      <c r="Y1384" t="n">
        <v>477</v>
      </c>
      <c r="Z1384" t="n">
        <v>441</v>
      </c>
      <c r="AA1384" t="n">
        <v>528</v>
      </c>
      <c r="AB1384" t="n">
        <v>3</v>
      </c>
      <c r="AC1384" t="n">
        <v>3</v>
      </c>
      <c r="AD1384" t="n">
        <v>5</v>
      </c>
      <c r="AE1384" t="n">
        <v>7</v>
      </c>
      <c r="AF1384" t="n">
        <v>1</v>
      </c>
      <c r="AG1384" t="n">
        <v>2</v>
      </c>
      <c r="AH1384" t="n">
        <v>0</v>
      </c>
      <c r="AI1384" t="n">
        <v>0</v>
      </c>
      <c r="AJ1384" t="n">
        <v>4</v>
      </c>
      <c r="AK1384" t="n">
        <v>5</v>
      </c>
      <c r="AL1384" t="n">
        <v>0</v>
      </c>
      <c r="AM1384" t="n">
        <v>0</v>
      </c>
      <c r="AN1384" t="n">
        <v>0</v>
      </c>
      <c r="AO1384" t="n">
        <v>0</v>
      </c>
      <c r="AP1384" t="inlineStr">
        <is>
          <t>No</t>
        </is>
      </c>
      <c r="AQ1384" t="inlineStr">
        <is>
          <t>Yes</t>
        </is>
      </c>
      <c r="AR1384">
        <f>HYPERLINK("http://catalog.hathitrust.org/Record/012271080","HathiTrust Record")</f>
        <v/>
      </c>
      <c r="AS1384">
        <f>HYPERLINK("https://creighton-primo.hosted.exlibrisgroup.com/primo-explore/search?tab=default_tab&amp;search_scope=EVERYTHING&amp;vid=01CRU&amp;lang=en_US&amp;offset=0&amp;query=any,contains,991004566509702656","Catalog Record")</f>
        <v/>
      </c>
      <c r="AT1384">
        <f>HYPERLINK("http://www.worldcat.org/oclc/4004635","WorldCat Record")</f>
        <v/>
      </c>
      <c r="AU1384" t="inlineStr">
        <is>
          <t>12705855:eng</t>
        </is>
      </c>
      <c r="AV1384" t="inlineStr">
        <is>
          <t>4004635</t>
        </is>
      </c>
      <c r="AW1384" t="inlineStr">
        <is>
          <t>991004566509702656</t>
        </is>
      </c>
      <c r="AX1384" t="inlineStr">
        <is>
          <t>991004566509702656</t>
        </is>
      </c>
      <c r="AY1384" t="inlineStr">
        <is>
          <t>2264862870002656</t>
        </is>
      </c>
      <c r="AZ1384" t="inlineStr">
        <is>
          <t>BOOK</t>
        </is>
      </c>
      <c r="BB1384" t="inlineStr">
        <is>
          <t>9780840751393</t>
        </is>
      </c>
      <c r="BC1384" t="inlineStr">
        <is>
          <t>32285000054709</t>
        </is>
      </c>
      <c r="BD1384" t="inlineStr">
        <is>
          <t>893895157</t>
        </is>
      </c>
    </row>
    <row r="1385">
      <c r="A1385" t="inlineStr">
        <is>
          <t>No</t>
        </is>
      </c>
      <c r="B1385" t="inlineStr">
        <is>
          <t>BT91 .F83</t>
        </is>
      </c>
      <c r="C1385" t="inlineStr">
        <is>
          <t>0                      BT 0091000F  83</t>
        </is>
      </c>
      <c r="D1385" t="inlineStr">
        <is>
          <t>Ecclesiastical office and the primacy of Rome : an evaluation of recent theological discussion of First Clement / by John Fuellenbach.</t>
        </is>
      </c>
      <c r="F1385" t="inlineStr">
        <is>
          <t>No</t>
        </is>
      </c>
      <c r="G1385" t="inlineStr">
        <is>
          <t>1</t>
        </is>
      </c>
      <c r="H1385" t="inlineStr">
        <is>
          <t>No</t>
        </is>
      </c>
      <c r="I1385" t="inlineStr">
        <is>
          <t>No</t>
        </is>
      </c>
      <c r="J1385" t="inlineStr">
        <is>
          <t>0</t>
        </is>
      </c>
      <c r="K1385" t="inlineStr">
        <is>
          <t>Fuellenbach, John.</t>
        </is>
      </c>
      <c r="L1385" t="inlineStr">
        <is>
          <t>Washington, D.C. : Catholic University of America Press, c1980.</t>
        </is>
      </c>
      <c r="M1385" t="inlineStr">
        <is>
          <t>1980</t>
        </is>
      </c>
      <c r="O1385" t="inlineStr">
        <is>
          <t>eng</t>
        </is>
      </c>
      <c r="P1385" t="inlineStr">
        <is>
          <t>dcu</t>
        </is>
      </c>
      <c r="Q1385" t="inlineStr">
        <is>
          <t>Studies in Christian antiquity ; no. 20</t>
        </is>
      </c>
      <c r="R1385" t="inlineStr">
        <is>
          <t xml:space="preserve">BT </t>
        </is>
      </c>
      <c r="S1385" t="n">
        <v>1</v>
      </c>
      <c r="T1385" t="n">
        <v>1</v>
      </c>
      <c r="U1385" t="inlineStr">
        <is>
          <t>1999-01-26</t>
        </is>
      </c>
      <c r="V1385" t="inlineStr">
        <is>
          <t>1999-01-26</t>
        </is>
      </c>
      <c r="W1385" t="inlineStr">
        <is>
          <t>1991-06-27</t>
        </is>
      </c>
      <c r="X1385" t="inlineStr">
        <is>
          <t>1991-06-27</t>
        </is>
      </c>
      <c r="Y1385" t="n">
        <v>243</v>
      </c>
      <c r="Z1385" t="n">
        <v>200</v>
      </c>
      <c r="AA1385" t="n">
        <v>200</v>
      </c>
      <c r="AB1385" t="n">
        <v>2</v>
      </c>
      <c r="AC1385" t="n">
        <v>2</v>
      </c>
      <c r="AD1385" t="n">
        <v>16</v>
      </c>
      <c r="AE1385" t="n">
        <v>16</v>
      </c>
      <c r="AF1385" t="n">
        <v>3</v>
      </c>
      <c r="AG1385" t="n">
        <v>3</v>
      </c>
      <c r="AH1385" t="n">
        <v>5</v>
      </c>
      <c r="AI1385" t="n">
        <v>5</v>
      </c>
      <c r="AJ1385" t="n">
        <v>13</v>
      </c>
      <c r="AK1385" t="n">
        <v>13</v>
      </c>
      <c r="AL1385" t="n">
        <v>0</v>
      </c>
      <c r="AM1385" t="n">
        <v>0</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HYPERLINK("https://creighton-primo.hosted.exlibrisgroup.com/primo-explore/search?tab=default_tab&amp;search_scope=EVERYTHING&amp;vid=01CRU&amp;lang=en_US&amp;offset=0&amp;query=any,contains,991004802039702656","Catalog Record")</f>
        <v/>
      </c>
      <c r="AT1385">
        <f>HYPERLINK("http://www.worldcat.org/oclc/5219398","WorldCat Record")</f>
        <v/>
      </c>
      <c r="AU1385" t="inlineStr">
        <is>
          <t>890931303:eng</t>
        </is>
      </c>
      <c r="AV1385" t="inlineStr">
        <is>
          <t>5219398</t>
        </is>
      </c>
      <c r="AW1385" t="inlineStr">
        <is>
          <t>991004802039702656</t>
        </is>
      </c>
      <c r="AX1385" t="inlineStr">
        <is>
          <t>991004802039702656</t>
        </is>
      </c>
      <c r="AY1385" t="inlineStr">
        <is>
          <t>2268268880002656</t>
        </is>
      </c>
      <c r="AZ1385" t="inlineStr">
        <is>
          <t>BOOK</t>
        </is>
      </c>
      <c r="BB1385" t="inlineStr">
        <is>
          <t>9780813205519</t>
        </is>
      </c>
      <c r="BC1385" t="inlineStr">
        <is>
          <t>32285000689900</t>
        </is>
      </c>
      <c r="BD1385" t="inlineStr">
        <is>
          <t>893254113</t>
        </is>
      </c>
    </row>
    <row r="1386">
      <c r="A1386" t="inlineStr">
        <is>
          <t>No</t>
        </is>
      </c>
      <c r="B1386" t="inlineStr">
        <is>
          <t>BT92 .F37</t>
        </is>
      </c>
      <c r="C1386" t="inlineStr">
        <is>
          <t>0                      BT 0092000F  37</t>
        </is>
      </c>
      <c r="D1386" t="inlineStr">
        <is>
          <t>The Father is very fond of me : experiences in the love of God / by Edward J. Farrell.</t>
        </is>
      </c>
      <c r="F1386" t="inlineStr">
        <is>
          <t>No</t>
        </is>
      </c>
      <c r="G1386" t="inlineStr">
        <is>
          <t>1</t>
        </is>
      </c>
      <c r="H1386" t="inlineStr">
        <is>
          <t>No</t>
        </is>
      </c>
      <c r="I1386" t="inlineStr">
        <is>
          <t>No</t>
        </is>
      </c>
      <c r="J1386" t="inlineStr">
        <is>
          <t>0</t>
        </is>
      </c>
      <c r="K1386" t="inlineStr">
        <is>
          <t>Farrell, Edward J.</t>
        </is>
      </c>
      <c r="L1386" t="inlineStr">
        <is>
          <t>Denville, N. J., Dimension Books [c1975]</t>
        </is>
      </c>
      <c r="M1386" t="inlineStr">
        <is>
          <t>1975</t>
        </is>
      </c>
      <c r="O1386" t="inlineStr">
        <is>
          <t>eng</t>
        </is>
      </c>
      <c r="P1386" t="inlineStr">
        <is>
          <t xml:space="preserve">xx </t>
        </is>
      </c>
      <c r="R1386" t="inlineStr">
        <is>
          <t xml:space="preserve">BT </t>
        </is>
      </c>
      <c r="S1386" t="n">
        <v>2</v>
      </c>
      <c r="T1386" t="n">
        <v>2</v>
      </c>
      <c r="U1386" t="inlineStr">
        <is>
          <t>2009-01-07</t>
        </is>
      </c>
      <c r="V1386" t="inlineStr">
        <is>
          <t>2009-01-07</t>
        </is>
      </c>
      <c r="W1386" t="inlineStr">
        <is>
          <t>1991-06-27</t>
        </is>
      </c>
      <c r="X1386" t="inlineStr">
        <is>
          <t>1991-06-27</t>
        </is>
      </c>
      <c r="Y1386" t="n">
        <v>113</v>
      </c>
      <c r="Z1386" t="n">
        <v>87</v>
      </c>
      <c r="AA1386" t="n">
        <v>93</v>
      </c>
      <c r="AB1386" t="n">
        <v>2</v>
      </c>
      <c r="AC1386" t="n">
        <v>2</v>
      </c>
      <c r="AD1386" t="n">
        <v>12</v>
      </c>
      <c r="AE1386" t="n">
        <v>12</v>
      </c>
      <c r="AF1386" t="n">
        <v>1</v>
      </c>
      <c r="AG1386" t="n">
        <v>1</v>
      </c>
      <c r="AH1386" t="n">
        <v>3</v>
      </c>
      <c r="AI1386" t="n">
        <v>3</v>
      </c>
      <c r="AJ1386" t="n">
        <v>9</v>
      </c>
      <c r="AK1386" t="n">
        <v>9</v>
      </c>
      <c r="AL1386" t="n">
        <v>0</v>
      </c>
      <c r="AM1386" t="n">
        <v>0</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HYPERLINK("https://creighton-primo.hosted.exlibrisgroup.com/primo-explore/search?tab=default_tab&amp;search_scope=EVERYTHING&amp;vid=01CRU&amp;lang=en_US&amp;offset=0&amp;query=any,contains,991004220329702656","Catalog Record")</f>
        <v/>
      </c>
      <c r="AT1386">
        <f>HYPERLINK("http://www.worldcat.org/oclc/2710317","WorldCat Record")</f>
        <v/>
      </c>
      <c r="AU1386" t="inlineStr">
        <is>
          <t>5860123:eng</t>
        </is>
      </c>
      <c r="AV1386" t="inlineStr">
        <is>
          <t>2710317</t>
        </is>
      </c>
      <c r="AW1386" t="inlineStr">
        <is>
          <t>991004220329702656</t>
        </is>
      </c>
      <c r="AX1386" t="inlineStr">
        <is>
          <t>991004220329702656</t>
        </is>
      </c>
      <c r="AY1386" t="inlineStr">
        <is>
          <t>2268943940002656</t>
        </is>
      </c>
      <c r="AZ1386" t="inlineStr">
        <is>
          <t>BOOK</t>
        </is>
      </c>
      <c r="BC1386" t="inlineStr">
        <is>
          <t>32285000689934</t>
        </is>
      </c>
      <c r="BD1386" t="inlineStr">
        <is>
          <t>893318944</t>
        </is>
      </c>
    </row>
    <row r="1387">
      <c r="A1387" t="inlineStr">
        <is>
          <t>No</t>
        </is>
      </c>
      <c r="B1387" t="inlineStr">
        <is>
          <t>BT921 .L167 1959</t>
        </is>
      </c>
      <c r="C1387" t="inlineStr">
        <is>
          <t>0                      BT 0921000L  167         1959</t>
        </is>
      </c>
      <c r="D1387" t="inlineStr">
        <is>
          <t>The illusion of immortality / by Corliss Lamont.</t>
        </is>
      </c>
      <c r="F1387" t="inlineStr">
        <is>
          <t>No</t>
        </is>
      </c>
      <c r="G1387" t="inlineStr">
        <is>
          <t>1</t>
        </is>
      </c>
      <c r="H1387" t="inlineStr">
        <is>
          <t>No</t>
        </is>
      </c>
      <c r="I1387" t="inlineStr">
        <is>
          <t>No</t>
        </is>
      </c>
      <c r="J1387" t="inlineStr">
        <is>
          <t>0</t>
        </is>
      </c>
      <c r="K1387" t="inlineStr">
        <is>
          <t>Lamont, Corliss, 1902-1995.</t>
        </is>
      </c>
      <c r="L1387" t="inlineStr">
        <is>
          <t>New York, Philosophical Library [1959]</t>
        </is>
      </c>
      <c r="M1387" t="inlineStr">
        <is>
          <t>1959</t>
        </is>
      </c>
      <c r="N1387" t="inlineStr">
        <is>
          <t>3d ed.</t>
        </is>
      </c>
      <c r="O1387" t="inlineStr">
        <is>
          <t>eng</t>
        </is>
      </c>
      <c r="P1387" t="inlineStr">
        <is>
          <t>nyu</t>
        </is>
      </c>
      <c r="Q1387" t="inlineStr">
        <is>
          <t>The Humanist bookshelf</t>
        </is>
      </c>
      <c r="R1387" t="inlineStr">
        <is>
          <t xml:space="preserve">BT </t>
        </is>
      </c>
      <c r="S1387" t="n">
        <v>1</v>
      </c>
      <c r="T1387" t="n">
        <v>1</v>
      </c>
      <c r="U1387" t="inlineStr">
        <is>
          <t>1992-11-23</t>
        </is>
      </c>
      <c r="V1387" t="inlineStr">
        <is>
          <t>1992-11-23</t>
        </is>
      </c>
      <c r="W1387" t="inlineStr">
        <is>
          <t>1991-10-25</t>
        </is>
      </c>
      <c r="X1387" t="inlineStr">
        <is>
          <t>1991-10-25</t>
        </is>
      </c>
      <c r="Y1387" t="n">
        <v>246</v>
      </c>
      <c r="Z1387" t="n">
        <v>206</v>
      </c>
      <c r="AA1387" t="n">
        <v>1813</v>
      </c>
      <c r="AB1387" t="n">
        <v>2</v>
      </c>
      <c r="AC1387" t="n">
        <v>18</v>
      </c>
      <c r="AD1387" t="n">
        <v>8</v>
      </c>
      <c r="AE1387" t="n">
        <v>56</v>
      </c>
      <c r="AF1387" t="n">
        <v>2</v>
      </c>
      <c r="AG1387" t="n">
        <v>22</v>
      </c>
      <c r="AH1387" t="n">
        <v>1</v>
      </c>
      <c r="AI1387" t="n">
        <v>9</v>
      </c>
      <c r="AJ1387" t="n">
        <v>5</v>
      </c>
      <c r="AK1387" t="n">
        <v>24</v>
      </c>
      <c r="AL1387" t="n">
        <v>1</v>
      </c>
      <c r="AM1387" t="n">
        <v>12</v>
      </c>
      <c r="AN1387" t="n">
        <v>0</v>
      </c>
      <c r="AO1387" t="n">
        <v>0</v>
      </c>
      <c r="AP1387" t="inlineStr">
        <is>
          <t>Yes</t>
        </is>
      </c>
      <c r="AQ1387" t="inlineStr">
        <is>
          <t>No</t>
        </is>
      </c>
      <c r="AR1387">
        <f>HYPERLINK("http://catalog.hathitrust.org/Record/001412762","HathiTrust Record")</f>
        <v/>
      </c>
      <c r="AS1387">
        <f>HYPERLINK("https://creighton-primo.hosted.exlibrisgroup.com/primo-explore/search?tab=default_tab&amp;search_scope=EVERYTHING&amp;vid=01CRU&amp;lang=en_US&amp;offset=0&amp;query=any,contains,991003515959702656","Catalog Record")</f>
        <v/>
      </c>
      <c r="AT1387">
        <f>HYPERLINK("http://www.worldcat.org/oclc/1073433","WorldCat Record")</f>
        <v/>
      </c>
      <c r="AU1387" t="inlineStr">
        <is>
          <t>141114730:eng</t>
        </is>
      </c>
      <c r="AV1387" t="inlineStr">
        <is>
          <t>1073433</t>
        </is>
      </c>
      <c r="AW1387" t="inlineStr">
        <is>
          <t>991003515959702656</t>
        </is>
      </c>
      <c r="AX1387" t="inlineStr">
        <is>
          <t>991003515959702656</t>
        </is>
      </c>
      <c r="AY1387" t="inlineStr">
        <is>
          <t>2255009600002656</t>
        </is>
      </c>
      <c r="AZ1387" t="inlineStr">
        <is>
          <t>BOOK</t>
        </is>
      </c>
      <c r="BC1387" t="inlineStr">
        <is>
          <t>32285000807692</t>
        </is>
      </c>
      <c r="BD1387" t="inlineStr">
        <is>
          <t>893422653</t>
        </is>
      </c>
    </row>
    <row r="1388">
      <c r="A1388" t="inlineStr">
        <is>
          <t>No</t>
        </is>
      </c>
      <c r="B1388" t="inlineStr">
        <is>
          <t>BT93 .C48 1995</t>
        </is>
      </c>
      <c r="C1388" t="inlineStr">
        <is>
          <t>0                      BT 0093000C  48          1995</t>
        </is>
      </c>
      <c r="D1388" t="inlineStr">
        <is>
          <t>Judaism in the New Testament : practices and beliefs / Bruce Chilton and Jacob Neusner.</t>
        </is>
      </c>
      <c r="F1388" t="inlineStr">
        <is>
          <t>No</t>
        </is>
      </c>
      <c r="G1388" t="inlineStr">
        <is>
          <t>1</t>
        </is>
      </c>
      <c r="H1388" t="inlineStr">
        <is>
          <t>No</t>
        </is>
      </c>
      <c r="I1388" t="inlineStr">
        <is>
          <t>No</t>
        </is>
      </c>
      <c r="J1388" t="inlineStr">
        <is>
          <t>0</t>
        </is>
      </c>
      <c r="K1388" t="inlineStr">
        <is>
          <t>Chilton, Bruce.</t>
        </is>
      </c>
      <c r="L1388" t="inlineStr">
        <is>
          <t>London ; New York : Routledge, 1995.</t>
        </is>
      </c>
      <c r="M1388" t="inlineStr">
        <is>
          <t>1995</t>
        </is>
      </c>
      <c r="O1388" t="inlineStr">
        <is>
          <t>eng</t>
        </is>
      </c>
      <c r="P1388" t="inlineStr">
        <is>
          <t>enk</t>
        </is>
      </c>
      <c r="R1388" t="inlineStr">
        <is>
          <t xml:space="preserve">BT </t>
        </is>
      </c>
      <c r="S1388" t="n">
        <v>3</v>
      </c>
      <c r="T1388" t="n">
        <v>3</v>
      </c>
      <c r="U1388" t="inlineStr">
        <is>
          <t>2010-07-21</t>
        </is>
      </c>
      <c r="V1388" t="inlineStr">
        <is>
          <t>2010-07-21</t>
        </is>
      </c>
      <c r="W1388" t="inlineStr">
        <is>
          <t>1996-01-17</t>
        </is>
      </c>
      <c r="X1388" t="inlineStr">
        <is>
          <t>1996-01-17</t>
        </is>
      </c>
      <c r="Y1388" t="n">
        <v>480</v>
      </c>
      <c r="Z1388" t="n">
        <v>351</v>
      </c>
      <c r="AA1388" t="n">
        <v>437</v>
      </c>
      <c r="AB1388" t="n">
        <v>3</v>
      </c>
      <c r="AC1388" t="n">
        <v>4</v>
      </c>
      <c r="AD1388" t="n">
        <v>22</v>
      </c>
      <c r="AE1388" t="n">
        <v>23</v>
      </c>
      <c r="AF1388" t="n">
        <v>9</v>
      </c>
      <c r="AG1388" t="n">
        <v>9</v>
      </c>
      <c r="AH1388" t="n">
        <v>5</v>
      </c>
      <c r="AI1388" t="n">
        <v>5</v>
      </c>
      <c r="AJ1388" t="n">
        <v>11</v>
      </c>
      <c r="AK1388" t="n">
        <v>11</v>
      </c>
      <c r="AL1388" t="n">
        <v>2</v>
      </c>
      <c r="AM1388" t="n">
        <v>3</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HYPERLINK("https://creighton-primo.hosted.exlibrisgroup.com/primo-explore/search?tab=default_tab&amp;search_scope=EVERYTHING&amp;vid=01CRU&amp;lang=en_US&amp;offset=0&amp;query=any,contains,991002441309702656","Catalog Record")</f>
        <v/>
      </c>
      <c r="AT1388">
        <f>HYPERLINK("http://www.worldcat.org/oclc/31816326","WorldCat Record")</f>
        <v/>
      </c>
      <c r="AU1388" t="inlineStr">
        <is>
          <t>802300360:eng</t>
        </is>
      </c>
      <c r="AV1388" t="inlineStr">
        <is>
          <t>31816326</t>
        </is>
      </c>
      <c r="AW1388" t="inlineStr">
        <is>
          <t>991002441309702656</t>
        </is>
      </c>
      <c r="AX1388" t="inlineStr">
        <is>
          <t>991002441309702656</t>
        </is>
      </c>
      <c r="AY1388" t="inlineStr">
        <is>
          <t>2262091630002656</t>
        </is>
      </c>
      <c r="AZ1388" t="inlineStr">
        <is>
          <t>BOOK</t>
        </is>
      </c>
      <c r="BB1388" t="inlineStr">
        <is>
          <t>9780415118439</t>
        </is>
      </c>
      <c r="BC1388" t="inlineStr">
        <is>
          <t>32285002117660</t>
        </is>
      </c>
      <c r="BD1388" t="inlineStr">
        <is>
          <t>893335314</t>
        </is>
      </c>
    </row>
    <row r="1389">
      <c r="A1389" t="inlineStr">
        <is>
          <t>No</t>
        </is>
      </c>
      <c r="B1389" t="inlineStr">
        <is>
          <t>BT93 .F37 1992</t>
        </is>
      </c>
      <c r="C1389" t="inlineStr">
        <is>
          <t>0                      BT 0093000F  37          1992</t>
        </is>
      </c>
      <c r="D1389" t="inlineStr">
        <is>
          <t>Narrative theology after Auschwitz : from alienation to ethics / Darrell J. Fasching.</t>
        </is>
      </c>
      <c r="F1389" t="inlineStr">
        <is>
          <t>No</t>
        </is>
      </c>
      <c r="G1389" t="inlineStr">
        <is>
          <t>1</t>
        </is>
      </c>
      <c r="H1389" t="inlineStr">
        <is>
          <t>No</t>
        </is>
      </c>
      <c r="I1389" t="inlineStr">
        <is>
          <t>No</t>
        </is>
      </c>
      <c r="J1389" t="inlineStr">
        <is>
          <t>0</t>
        </is>
      </c>
      <c r="K1389" t="inlineStr">
        <is>
          <t>Fasching, Darrell J., 1944-</t>
        </is>
      </c>
      <c r="L1389" t="inlineStr">
        <is>
          <t>Minneapolis : Augsburg Fortress Press, c1992.</t>
        </is>
      </c>
      <c r="M1389" t="inlineStr">
        <is>
          <t>1992</t>
        </is>
      </c>
      <c r="O1389" t="inlineStr">
        <is>
          <t>eng</t>
        </is>
      </c>
      <c r="P1389" t="inlineStr">
        <is>
          <t>mnu</t>
        </is>
      </c>
      <c r="R1389" t="inlineStr">
        <is>
          <t xml:space="preserve">BT </t>
        </is>
      </c>
      <c r="S1389" t="n">
        <v>7</v>
      </c>
      <c r="T1389" t="n">
        <v>7</v>
      </c>
      <c r="U1389" t="inlineStr">
        <is>
          <t>1995-12-07</t>
        </is>
      </c>
      <c r="V1389" t="inlineStr">
        <is>
          <t>1995-12-07</t>
        </is>
      </c>
      <c r="W1389" t="inlineStr">
        <is>
          <t>1993-09-08</t>
        </is>
      </c>
      <c r="X1389" t="inlineStr">
        <is>
          <t>1993-09-08</t>
        </is>
      </c>
      <c r="Y1389" t="n">
        <v>469</v>
      </c>
      <c r="Z1389" t="n">
        <v>419</v>
      </c>
      <c r="AA1389" t="n">
        <v>443</v>
      </c>
      <c r="AB1389" t="n">
        <v>3</v>
      </c>
      <c r="AC1389" t="n">
        <v>3</v>
      </c>
      <c r="AD1389" t="n">
        <v>35</v>
      </c>
      <c r="AE1389" t="n">
        <v>37</v>
      </c>
      <c r="AF1389" t="n">
        <v>17</v>
      </c>
      <c r="AG1389" t="n">
        <v>19</v>
      </c>
      <c r="AH1389" t="n">
        <v>7</v>
      </c>
      <c r="AI1389" t="n">
        <v>7</v>
      </c>
      <c r="AJ1389" t="n">
        <v>20</v>
      </c>
      <c r="AK1389" t="n">
        <v>20</v>
      </c>
      <c r="AL1389" t="n">
        <v>2</v>
      </c>
      <c r="AM1389" t="n">
        <v>2</v>
      </c>
      <c r="AN1389" t="n">
        <v>0</v>
      </c>
      <c r="AO1389" t="n">
        <v>0</v>
      </c>
      <c r="AP1389" t="inlineStr">
        <is>
          <t>No</t>
        </is>
      </c>
      <c r="AQ1389" t="inlineStr">
        <is>
          <t>Yes</t>
        </is>
      </c>
      <c r="AR1389">
        <f>HYPERLINK("http://catalog.hathitrust.org/Record/002645108","HathiTrust Record")</f>
        <v/>
      </c>
      <c r="AS1389">
        <f>HYPERLINK("https://creighton-primo.hosted.exlibrisgroup.com/primo-explore/search?tab=default_tab&amp;search_scope=EVERYTHING&amp;vid=01CRU&amp;lang=en_US&amp;offset=0&amp;query=any,contains,991001998199702656","Catalog Record")</f>
        <v/>
      </c>
      <c r="AT1389">
        <f>HYPERLINK("http://www.worldcat.org/oclc/25409215","WorldCat Record")</f>
        <v/>
      </c>
      <c r="AU1389" t="inlineStr">
        <is>
          <t>889907831:eng</t>
        </is>
      </c>
      <c r="AV1389" t="inlineStr">
        <is>
          <t>25409215</t>
        </is>
      </c>
      <c r="AW1389" t="inlineStr">
        <is>
          <t>991001998199702656</t>
        </is>
      </c>
      <c r="AX1389" t="inlineStr">
        <is>
          <t>991001998199702656</t>
        </is>
      </c>
      <c r="AY1389" t="inlineStr">
        <is>
          <t>2266650860002656</t>
        </is>
      </c>
      <c r="AZ1389" t="inlineStr">
        <is>
          <t>BOOK</t>
        </is>
      </c>
      <c r="BB1389" t="inlineStr">
        <is>
          <t>9780826208224</t>
        </is>
      </c>
      <c r="BC1389" t="inlineStr">
        <is>
          <t>32285001765105</t>
        </is>
      </c>
      <c r="BD1389" t="inlineStr">
        <is>
          <t>893898266</t>
        </is>
      </c>
    </row>
    <row r="1390">
      <c r="A1390" t="inlineStr">
        <is>
          <t>No</t>
        </is>
      </c>
      <c r="B1390" t="inlineStr">
        <is>
          <t>BT93 .J39 1997</t>
        </is>
      </c>
      <c r="C1390" t="inlineStr">
        <is>
          <t>0                      BT 0093000J  39          1997</t>
        </is>
      </c>
      <c r="D1390" t="inlineStr">
        <is>
          <t>Jews and Christians, rivals or partners for the kingdom of God? : in search of an alternative for the theology of substitution / [edited] by Didier Pollefeyt.</t>
        </is>
      </c>
      <c r="F1390" t="inlineStr">
        <is>
          <t>No</t>
        </is>
      </c>
      <c r="G1390" t="inlineStr">
        <is>
          <t>1</t>
        </is>
      </c>
      <c r="H1390" t="inlineStr">
        <is>
          <t>No</t>
        </is>
      </c>
      <c r="I1390" t="inlineStr">
        <is>
          <t>No</t>
        </is>
      </c>
      <c r="J1390" t="inlineStr">
        <is>
          <t>0</t>
        </is>
      </c>
      <c r="L1390" t="inlineStr">
        <is>
          <t>Louvain : Peeters Press : W.B. Eerdmans, c1997.</t>
        </is>
      </c>
      <c r="M1390" t="inlineStr">
        <is>
          <t>1997</t>
        </is>
      </c>
      <c r="O1390" t="inlineStr">
        <is>
          <t>eng</t>
        </is>
      </c>
      <c r="P1390" t="inlineStr">
        <is>
          <t xml:space="preserve">be </t>
        </is>
      </c>
      <c r="Q1390" t="inlineStr">
        <is>
          <t>Louvain theological &amp; pastoral monographs ; 21</t>
        </is>
      </c>
      <c r="R1390" t="inlineStr">
        <is>
          <t xml:space="preserve">BT </t>
        </is>
      </c>
      <c r="S1390" t="n">
        <v>8</v>
      </c>
      <c r="T1390" t="n">
        <v>8</v>
      </c>
      <c r="U1390" t="inlineStr">
        <is>
          <t>2001-04-09</t>
        </is>
      </c>
      <c r="V1390" t="inlineStr">
        <is>
          <t>2001-04-09</t>
        </is>
      </c>
      <c r="W1390" t="inlineStr">
        <is>
          <t>1998-05-28</t>
        </is>
      </c>
      <c r="X1390" t="inlineStr">
        <is>
          <t>1998-05-28</t>
        </is>
      </c>
      <c r="Y1390" t="n">
        <v>199</v>
      </c>
      <c r="Z1390" t="n">
        <v>156</v>
      </c>
      <c r="AA1390" t="n">
        <v>156</v>
      </c>
      <c r="AB1390" t="n">
        <v>1</v>
      </c>
      <c r="AC1390" t="n">
        <v>1</v>
      </c>
      <c r="AD1390" t="n">
        <v>19</v>
      </c>
      <c r="AE1390" t="n">
        <v>19</v>
      </c>
      <c r="AF1390" t="n">
        <v>9</v>
      </c>
      <c r="AG1390" t="n">
        <v>9</v>
      </c>
      <c r="AH1390" t="n">
        <v>6</v>
      </c>
      <c r="AI1390" t="n">
        <v>6</v>
      </c>
      <c r="AJ1390" t="n">
        <v>11</v>
      </c>
      <c r="AK1390" t="n">
        <v>11</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HYPERLINK("https://creighton-primo.hosted.exlibrisgroup.com/primo-explore/search?tab=default_tab&amp;search_scope=EVERYTHING&amp;vid=01CRU&amp;lang=en_US&amp;offset=0&amp;query=any,contains,991002935589702656","Catalog Record")</f>
        <v/>
      </c>
      <c r="AT1390">
        <f>HYPERLINK("http://www.worldcat.org/oclc/39048642","WorldCat Record")</f>
        <v/>
      </c>
      <c r="AU1390" t="inlineStr">
        <is>
          <t>807292073:eng</t>
        </is>
      </c>
      <c r="AV1390" t="inlineStr">
        <is>
          <t>39048642</t>
        </is>
      </c>
      <c r="AW1390" t="inlineStr">
        <is>
          <t>991002935589702656</t>
        </is>
      </c>
      <c r="AX1390" t="inlineStr">
        <is>
          <t>991002935589702656</t>
        </is>
      </c>
      <c r="AY1390" t="inlineStr">
        <is>
          <t>2271877110002656</t>
        </is>
      </c>
      <c r="AZ1390" t="inlineStr">
        <is>
          <t>BOOK</t>
        </is>
      </c>
      <c r="BB1390" t="inlineStr">
        <is>
          <t>9789068319477</t>
        </is>
      </c>
      <c r="BC1390" t="inlineStr">
        <is>
          <t>32285003412508</t>
        </is>
      </c>
      <c r="BD1390" t="inlineStr">
        <is>
          <t>893616781</t>
        </is>
      </c>
    </row>
    <row r="1391">
      <c r="A1391" t="inlineStr">
        <is>
          <t>No</t>
        </is>
      </c>
      <c r="B1391" t="inlineStr">
        <is>
          <t>BT93 .M35 1992</t>
        </is>
      </c>
      <c r="C1391" t="inlineStr">
        <is>
          <t>0                      BT 0093000M  35          1992</t>
        </is>
      </c>
      <c r="D1391" t="inlineStr">
        <is>
          <t>The broken staff : Judaism through Christian eyes / Frank E. Manuel.</t>
        </is>
      </c>
      <c r="F1391" t="inlineStr">
        <is>
          <t>No</t>
        </is>
      </c>
      <c r="G1391" t="inlineStr">
        <is>
          <t>1</t>
        </is>
      </c>
      <c r="H1391" t="inlineStr">
        <is>
          <t>No</t>
        </is>
      </c>
      <c r="I1391" t="inlineStr">
        <is>
          <t>No</t>
        </is>
      </c>
      <c r="J1391" t="inlineStr">
        <is>
          <t>0</t>
        </is>
      </c>
      <c r="K1391" t="inlineStr">
        <is>
          <t>Manuel, Frank E. (Frank Edward)</t>
        </is>
      </c>
      <c r="L1391" t="inlineStr">
        <is>
          <t>Cambridge, Mass. : Harvard University Press, 1992.</t>
        </is>
      </c>
      <c r="M1391" t="inlineStr">
        <is>
          <t>1992</t>
        </is>
      </c>
      <c r="O1391" t="inlineStr">
        <is>
          <t>eng</t>
        </is>
      </c>
      <c r="P1391" t="inlineStr">
        <is>
          <t>mau</t>
        </is>
      </c>
      <c r="R1391" t="inlineStr">
        <is>
          <t xml:space="preserve">BT </t>
        </is>
      </c>
      <c r="S1391" t="n">
        <v>4</v>
      </c>
      <c r="T1391" t="n">
        <v>4</v>
      </c>
      <c r="U1391" t="inlineStr">
        <is>
          <t>2010-03-25</t>
        </is>
      </c>
      <c r="V1391" t="inlineStr">
        <is>
          <t>2010-03-25</t>
        </is>
      </c>
      <c r="W1391" t="inlineStr">
        <is>
          <t>1993-01-05</t>
        </is>
      </c>
      <c r="X1391" t="inlineStr">
        <is>
          <t>1993-01-05</t>
        </is>
      </c>
      <c r="Y1391" t="n">
        <v>567</v>
      </c>
      <c r="Z1391" t="n">
        <v>470</v>
      </c>
      <c r="AA1391" t="n">
        <v>480</v>
      </c>
      <c r="AB1391" t="n">
        <v>2</v>
      </c>
      <c r="AC1391" t="n">
        <v>2</v>
      </c>
      <c r="AD1391" t="n">
        <v>33</v>
      </c>
      <c r="AE1391" t="n">
        <v>33</v>
      </c>
      <c r="AF1391" t="n">
        <v>14</v>
      </c>
      <c r="AG1391" t="n">
        <v>14</v>
      </c>
      <c r="AH1391" t="n">
        <v>7</v>
      </c>
      <c r="AI1391" t="n">
        <v>7</v>
      </c>
      <c r="AJ1391" t="n">
        <v>20</v>
      </c>
      <c r="AK1391" t="n">
        <v>20</v>
      </c>
      <c r="AL1391" t="n">
        <v>1</v>
      </c>
      <c r="AM1391" t="n">
        <v>1</v>
      </c>
      <c r="AN1391" t="n">
        <v>0</v>
      </c>
      <c r="AO1391" t="n">
        <v>0</v>
      </c>
      <c r="AP1391" t="inlineStr">
        <is>
          <t>No</t>
        </is>
      </c>
      <c r="AQ1391" t="inlineStr">
        <is>
          <t>Yes</t>
        </is>
      </c>
      <c r="AR1391">
        <f>HYPERLINK("http://catalog.hathitrust.org/Record/002536406","HathiTrust Record")</f>
        <v/>
      </c>
      <c r="AS1391">
        <f>HYPERLINK("https://creighton-primo.hosted.exlibrisgroup.com/primo-explore/search?tab=default_tab&amp;search_scope=EVERYTHING&amp;vid=01CRU&amp;lang=en_US&amp;offset=0&amp;query=any,contains,991001926369702656","Catalog Record")</f>
        <v/>
      </c>
      <c r="AT1391">
        <f>HYPERLINK("http://www.worldcat.org/oclc/24319988","WorldCat Record")</f>
        <v/>
      </c>
      <c r="AU1391" t="inlineStr">
        <is>
          <t>2678418:eng</t>
        </is>
      </c>
      <c r="AV1391" t="inlineStr">
        <is>
          <t>24319988</t>
        </is>
      </c>
      <c r="AW1391" t="inlineStr">
        <is>
          <t>991001926369702656</t>
        </is>
      </c>
      <c r="AX1391" t="inlineStr">
        <is>
          <t>991001926369702656</t>
        </is>
      </c>
      <c r="AY1391" t="inlineStr">
        <is>
          <t>2271991450002656</t>
        </is>
      </c>
      <c r="AZ1391" t="inlineStr">
        <is>
          <t>BOOK</t>
        </is>
      </c>
      <c r="BB1391" t="inlineStr">
        <is>
          <t>9780674083707</t>
        </is>
      </c>
      <c r="BC1391" t="inlineStr">
        <is>
          <t>32285001404937</t>
        </is>
      </c>
      <c r="BD1391" t="inlineStr">
        <is>
          <t>893773031</t>
        </is>
      </c>
    </row>
    <row r="1392">
      <c r="A1392" t="inlineStr">
        <is>
          <t>No</t>
        </is>
      </c>
      <c r="B1392" t="inlineStr">
        <is>
          <t>BT93 .P39 1989</t>
        </is>
      </c>
      <c r="C1392" t="inlineStr">
        <is>
          <t>0                      BT 0093000P  39          1989</t>
        </is>
      </c>
      <c r="D1392" t="inlineStr">
        <is>
          <t>Jesus and the theology of Israel / by John Pawlikowski.</t>
        </is>
      </c>
      <c r="F1392" t="inlineStr">
        <is>
          <t>No</t>
        </is>
      </c>
      <c r="G1392" t="inlineStr">
        <is>
          <t>1</t>
        </is>
      </c>
      <c r="H1392" t="inlineStr">
        <is>
          <t>No</t>
        </is>
      </c>
      <c r="I1392" t="inlineStr">
        <is>
          <t>No</t>
        </is>
      </c>
      <c r="J1392" t="inlineStr">
        <is>
          <t>0</t>
        </is>
      </c>
      <c r="K1392" t="inlineStr">
        <is>
          <t>Pawlikowski, John.</t>
        </is>
      </c>
      <c r="L1392" t="inlineStr">
        <is>
          <t>Wilmington, Del. : Michael Glazier, 1989.</t>
        </is>
      </c>
      <c r="M1392" t="inlineStr">
        <is>
          <t>1989</t>
        </is>
      </c>
      <c r="O1392" t="inlineStr">
        <is>
          <t>eng</t>
        </is>
      </c>
      <c r="P1392" t="inlineStr">
        <is>
          <t>deu</t>
        </is>
      </c>
      <c r="Q1392" t="inlineStr">
        <is>
          <t>Zacchaeus studies. Theology</t>
        </is>
      </c>
      <c r="R1392" t="inlineStr">
        <is>
          <t xml:space="preserve">BT </t>
        </is>
      </c>
      <c r="S1392" t="n">
        <v>2</v>
      </c>
      <c r="T1392" t="n">
        <v>2</v>
      </c>
      <c r="U1392" t="inlineStr">
        <is>
          <t>1994-06-27</t>
        </is>
      </c>
      <c r="V1392" t="inlineStr">
        <is>
          <t>1994-06-27</t>
        </is>
      </c>
      <c r="W1392" t="inlineStr">
        <is>
          <t>1991-06-27</t>
        </is>
      </c>
      <c r="X1392" t="inlineStr">
        <is>
          <t>1991-06-27</t>
        </is>
      </c>
      <c r="Y1392" t="n">
        <v>184</v>
      </c>
      <c r="Z1392" t="n">
        <v>151</v>
      </c>
      <c r="AA1392" t="n">
        <v>157</v>
      </c>
      <c r="AB1392" t="n">
        <v>1</v>
      </c>
      <c r="AC1392" t="n">
        <v>1</v>
      </c>
      <c r="AD1392" t="n">
        <v>19</v>
      </c>
      <c r="AE1392" t="n">
        <v>19</v>
      </c>
      <c r="AF1392" t="n">
        <v>6</v>
      </c>
      <c r="AG1392" t="n">
        <v>6</v>
      </c>
      <c r="AH1392" t="n">
        <v>5</v>
      </c>
      <c r="AI1392" t="n">
        <v>5</v>
      </c>
      <c r="AJ1392" t="n">
        <v>12</v>
      </c>
      <c r="AK1392" t="n">
        <v>12</v>
      </c>
      <c r="AL1392" t="n">
        <v>0</v>
      </c>
      <c r="AM1392" t="n">
        <v>0</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HYPERLINK("https://creighton-primo.hosted.exlibrisgroup.com/primo-explore/search?tab=default_tab&amp;search_scope=EVERYTHING&amp;vid=01CRU&amp;lang=en_US&amp;offset=0&amp;query=any,contains,991001469789702656","Catalog Record")</f>
        <v/>
      </c>
      <c r="AT1392">
        <f>HYPERLINK("http://www.worldcat.org/oclc/19520662","WorldCat Record")</f>
        <v/>
      </c>
      <c r="AU1392" t="inlineStr">
        <is>
          <t>9167020:eng</t>
        </is>
      </c>
      <c r="AV1392" t="inlineStr">
        <is>
          <t>19520662</t>
        </is>
      </c>
      <c r="AW1392" t="inlineStr">
        <is>
          <t>991001469789702656</t>
        </is>
      </c>
      <c r="AX1392" t="inlineStr">
        <is>
          <t>991001469789702656</t>
        </is>
      </c>
      <c r="AY1392" t="inlineStr">
        <is>
          <t>2254772120002656</t>
        </is>
      </c>
      <c r="AZ1392" t="inlineStr">
        <is>
          <t>BOOK</t>
        </is>
      </c>
      <c r="BB1392" t="inlineStr">
        <is>
          <t>9780894536830</t>
        </is>
      </c>
      <c r="BC1392" t="inlineStr">
        <is>
          <t>32285000689959</t>
        </is>
      </c>
      <c r="BD1392" t="inlineStr">
        <is>
          <t>893709305</t>
        </is>
      </c>
    </row>
    <row r="1393">
      <c r="A1393" t="inlineStr">
        <is>
          <t>No</t>
        </is>
      </c>
      <c r="B1393" t="inlineStr">
        <is>
          <t>BT93 .R84 1989</t>
        </is>
      </c>
      <c r="C1393" t="inlineStr">
        <is>
          <t>0                      BT 0093000R  84          1989</t>
        </is>
      </c>
      <c r="D1393" t="inlineStr">
        <is>
          <t>The wrath of Jonah : the crisis of religious nationalism in the Israeli-Palestinian conflict / Rosemary Radford Ruether, Herman J. Ruether.</t>
        </is>
      </c>
      <c r="F1393" t="inlineStr">
        <is>
          <t>No</t>
        </is>
      </c>
      <c r="G1393" t="inlineStr">
        <is>
          <t>1</t>
        </is>
      </c>
      <c r="H1393" t="inlineStr">
        <is>
          <t>No</t>
        </is>
      </c>
      <c r="I1393" t="inlineStr">
        <is>
          <t>No</t>
        </is>
      </c>
      <c r="J1393" t="inlineStr">
        <is>
          <t>0</t>
        </is>
      </c>
      <c r="K1393" t="inlineStr">
        <is>
          <t>Ruether, Rosemary Radford.</t>
        </is>
      </c>
      <c r="L1393" t="inlineStr">
        <is>
          <t>New York : Harper &amp; Row, c1989</t>
        </is>
      </c>
      <c r="M1393" t="inlineStr">
        <is>
          <t>1989</t>
        </is>
      </c>
      <c r="O1393" t="inlineStr">
        <is>
          <t>eng</t>
        </is>
      </c>
      <c r="P1393" t="inlineStr">
        <is>
          <t>nyu</t>
        </is>
      </c>
      <c r="R1393" t="inlineStr">
        <is>
          <t xml:space="preserve">BT </t>
        </is>
      </c>
      <c r="S1393" t="n">
        <v>5</v>
      </c>
      <c r="T1393" t="n">
        <v>5</v>
      </c>
      <c r="U1393" t="inlineStr">
        <is>
          <t>2004-06-27</t>
        </is>
      </c>
      <c r="V1393" t="inlineStr">
        <is>
          <t>2004-06-27</t>
        </is>
      </c>
      <c r="W1393" t="inlineStr">
        <is>
          <t>1990-11-27</t>
        </is>
      </c>
      <c r="X1393" t="inlineStr">
        <is>
          <t>1990-11-27</t>
        </is>
      </c>
      <c r="Y1393" t="n">
        <v>664</v>
      </c>
      <c r="Z1393" t="n">
        <v>588</v>
      </c>
      <c r="AA1393" t="n">
        <v>780</v>
      </c>
      <c r="AB1393" t="n">
        <v>3</v>
      </c>
      <c r="AC1393" t="n">
        <v>4</v>
      </c>
      <c r="AD1393" t="n">
        <v>25</v>
      </c>
      <c r="AE1393" t="n">
        <v>40</v>
      </c>
      <c r="AF1393" t="n">
        <v>8</v>
      </c>
      <c r="AG1393" t="n">
        <v>18</v>
      </c>
      <c r="AH1393" t="n">
        <v>8</v>
      </c>
      <c r="AI1393" t="n">
        <v>9</v>
      </c>
      <c r="AJ1393" t="n">
        <v>12</v>
      </c>
      <c r="AK1393" t="n">
        <v>18</v>
      </c>
      <c r="AL1393" t="n">
        <v>2</v>
      </c>
      <c r="AM1393" t="n">
        <v>3</v>
      </c>
      <c r="AN1393" t="n">
        <v>0</v>
      </c>
      <c r="AO1393" t="n">
        <v>0</v>
      </c>
      <c r="AP1393" t="inlineStr">
        <is>
          <t>No</t>
        </is>
      </c>
      <c r="AQ1393" t="inlineStr">
        <is>
          <t>Yes</t>
        </is>
      </c>
      <c r="AR1393">
        <f>HYPERLINK("http://catalog.hathitrust.org/Record/001089115","HathiTrust Record")</f>
        <v/>
      </c>
      <c r="AS1393">
        <f>HYPERLINK("https://creighton-primo.hosted.exlibrisgroup.com/primo-explore/search?tab=default_tab&amp;search_scope=EVERYTHING&amp;vid=01CRU&amp;lang=en_US&amp;offset=0&amp;query=any,contains,991001361579702656","Catalog Record")</f>
        <v/>
      </c>
      <c r="AT1393">
        <f>HYPERLINK("http://www.worldcat.org/oclc/18521688","WorldCat Record")</f>
        <v/>
      </c>
      <c r="AU1393" t="inlineStr">
        <is>
          <t>395183:eng</t>
        </is>
      </c>
      <c r="AV1393" t="inlineStr">
        <is>
          <t>18521688</t>
        </is>
      </c>
      <c r="AW1393" t="inlineStr">
        <is>
          <t>991001361579702656</t>
        </is>
      </c>
      <c r="AX1393" t="inlineStr">
        <is>
          <t>991001361579702656</t>
        </is>
      </c>
      <c r="AY1393" t="inlineStr">
        <is>
          <t>2268302650002656</t>
        </is>
      </c>
      <c r="AZ1393" t="inlineStr">
        <is>
          <t>BOOK</t>
        </is>
      </c>
      <c r="BB1393" t="inlineStr">
        <is>
          <t>9780060668372</t>
        </is>
      </c>
      <c r="BC1393" t="inlineStr">
        <is>
          <t>32285000357532</t>
        </is>
      </c>
      <c r="BD1393" t="inlineStr">
        <is>
          <t>893534522</t>
        </is>
      </c>
    </row>
    <row r="1394">
      <c r="A1394" t="inlineStr">
        <is>
          <t>No</t>
        </is>
      </c>
      <c r="B1394" t="inlineStr">
        <is>
          <t>BT93 .S35 1996</t>
        </is>
      </c>
      <c r="C1394" t="inlineStr">
        <is>
          <t>0                      BT 0093000S  35          1996</t>
        </is>
      </c>
      <c r="D1394" t="inlineStr">
        <is>
          <t>The God of Israel and Christian theology / R. Kendall Soulen.</t>
        </is>
      </c>
      <c r="F1394" t="inlineStr">
        <is>
          <t>No</t>
        </is>
      </c>
      <c r="G1394" t="inlineStr">
        <is>
          <t>1</t>
        </is>
      </c>
      <c r="H1394" t="inlineStr">
        <is>
          <t>No</t>
        </is>
      </c>
      <c r="I1394" t="inlineStr">
        <is>
          <t>No</t>
        </is>
      </c>
      <c r="J1394" t="inlineStr">
        <is>
          <t>0</t>
        </is>
      </c>
      <c r="K1394" t="inlineStr">
        <is>
          <t>Soulen, R. Kendall, 1959-</t>
        </is>
      </c>
      <c r="L1394" t="inlineStr">
        <is>
          <t>Minneapolis : Fortress Press, c1996.</t>
        </is>
      </c>
      <c r="M1394" t="inlineStr">
        <is>
          <t>1996</t>
        </is>
      </c>
      <c r="O1394" t="inlineStr">
        <is>
          <t>eng</t>
        </is>
      </c>
      <c r="P1394" t="inlineStr">
        <is>
          <t>mnu</t>
        </is>
      </c>
      <c r="R1394" t="inlineStr">
        <is>
          <t xml:space="preserve">BT </t>
        </is>
      </c>
      <c r="S1394" t="n">
        <v>5</v>
      </c>
      <c r="T1394" t="n">
        <v>5</v>
      </c>
      <c r="U1394" t="inlineStr">
        <is>
          <t>2002-09-19</t>
        </is>
      </c>
      <c r="V1394" t="inlineStr">
        <is>
          <t>2002-09-19</t>
        </is>
      </c>
      <c r="W1394" t="inlineStr">
        <is>
          <t>1996-12-16</t>
        </is>
      </c>
      <c r="X1394" t="inlineStr">
        <is>
          <t>1996-12-16</t>
        </is>
      </c>
      <c r="Y1394" t="n">
        <v>396</v>
      </c>
      <c r="Z1394" t="n">
        <v>328</v>
      </c>
      <c r="AA1394" t="n">
        <v>329</v>
      </c>
      <c r="AB1394" t="n">
        <v>4</v>
      </c>
      <c r="AC1394" t="n">
        <v>4</v>
      </c>
      <c r="AD1394" t="n">
        <v>28</v>
      </c>
      <c r="AE1394" t="n">
        <v>28</v>
      </c>
      <c r="AF1394" t="n">
        <v>11</v>
      </c>
      <c r="AG1394" t="n">
        <v>11</v>
      </c>
      <c r="AH1394" t="n">
        <v>6</v>
      </c>
      <c r="AI1394" t="n">
        <v>6</v>
      </c>
      <c r="AJ1394" t="n">
        <v>16</v>
      </c>
      <c r="AK1394" t="n">
        <v>16</v>
      </c>
      <c r="AL1394" t="n">
        <v>3</v>
      </c>
      <c r="AM1394" t="n">
        <v>3</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HYPERLINK("https://creighton-primo.hosted.exlibrisgroup.com/primo-explore/search?tab=default_tab&amp;search_scope=EVERYTHING&amp;vid=01CRU&amp;lang=en_US&amp;offset=0&amp;query=any,contains,991002576019702656","Catalog Record")</f>
        <v/>
      </c>
      <c r="AT1394">
        <f>HYPERLINK("http://www.worldcat.org/oclc/33664322","WorldCat Record")</f>
        <v/>
      </c>
      <c r="AU1394" t="inlineStr">
        <is>
          <t>20683651:eng</t>
        </is>
      </c>
      <c r="AV1394" t="inlineStr">
        <is>
          <t>33664322</t>
        </is>
      </c>
      <c r="AW1394" t="inlineStr">
        <is>
          <t>991002576019702656</t>
        </is>
      </c>
      <c r="AX1394" t="inlineStr">
        <is>
          <t>991002576019702656</t>
        </is>
      </c>
      <c r="AY1394" t="inlineStr">
        <is>
          <t>2258995740002656</t>
        </is>
      </c>
      <c r="AZ1394" t="inlineStr">
        <is>
          <t>BOOK</t>
        </is>
      </c>
      <c r="BB1394" t="inlineStr">
        <is>
          <t>9780800628833</t>
        </is>
      </c>
      <c r="BC1394" t="inlineStr">
        <is>
          <t>32285002393444</t>
        </is>
      </c>
      <c r="BD1394" t="inlineStr">
        <is>
          <t>893697970</t>
        </is>
      </c>
    </row>
    <row r="1395">
      <c r="A1395" t="inlineStr">
        <is>
          <t>No</t>
        </is>
      </c>
      <c r="B1395" t="inlineStr">
        <is>
          <t>BT93.8 .W55 1992</t>
        </is>
      </c>
      <c r="C1395" t="inlineStr">
        <is>
          <t>0                      BT 0093800W  55          1992</t>
        </is>
      </c>
      <c r="D1395" t="inlineStr">
        <is>
          <t>The land called holy : Palestine in Christian history and thought / Robert L. Wilken.</t>
        </is>
      </c>
      <c r="F1395" t="inlineStr">
        <is>
          <t>No</t>
        </is>
      </c>
      <c r="G1395" t="inlineStr">
        <is>
          <t>1</t>
        </is>
      </c>
      <c r="H1395" t="inlineStr">
        <is>
          <t>No</t>
        </is>
      </c>
      <c r="I1395" t="inlineStr">
        <is>
          <t>No</t>
        </is>
      </c>
      <c r="J1395" t="inlineStr">
        <is>
          <t>0</t>
        </is>
      </c>
      <c r="K1395" t="inlineStr">
        <is>
          <t>Wilken, Robert Louis, 1936-</t>
        </is>
      </c>
      <c r="L1395" t="inlineStr">
        <is>
          <t>New Haven : Yale University Press, c1992.</t>
        </is>
      </c>
      <c r="M1395" t="inlineStr">
        <is>
          <t>1992</t>
        </is>
      </c>
      <c r="O1395" t="inlineStr">
        <is>
          <t>eng</t>
        </is>
      </c>
      <c r="P1395" t="inlineStr">
        <is>
          <t>ctu</t>
        </is>
      </c>
      <c r="R1395" t="inlineStr">
        <is>
          <t xml:space="preserve">BT </t>
        </is>
      </c>
      <c r="S1395" t="n">
        <v>1</v>
      </c>
      <c r="T1395" t="n">
        <v>1</v>
      </c>
      <c r="U1395" t="inlineStr">
        <is>
          <t>2003-07-18</t>
        </is>
      </c>
      <c r="V1395" t="inlineStr">
        <is>
          <t>2003-07-18</t>
        </is>
      </c>
      <c r="W1395" t="inlineStr">
        <is>
          <t>1994-04-13</t>
        </is>
      </c>
      <c r="X1395" t="inlineStr">
        <is>
          <t>1994-04-13</t>
        </is>
      </c>
      <c r="Y1395" t="n">
        <v>945</v>
      </c>
      <c r="Z1395" t="n">
        <v>767</v>
      </c>
      <c r="AA1395" t="n">
        <v>900</v>
      </c>
      <c r="AB1395" t="n">
        <v>6</v>
      </c>
      <c r="AC1395" t="n">
        <v>6</v>
      </c>
      <c r="AD1395" t="n">
        <v>43</v>
      </c>
      <c r="AE1395" t="n">
        <v>48</v>
      </c>
      <c r="AF1395" t="n">
        <v>18</v>
      </c>
      <c r="AG1395" t="n">
        <v>21</v>
      </c>
      <c r="AH1395" t="n">
        <v>8</v>
      </c>
      <c r="AI1395" t="n">
        <v>10</v>
      </c>
      <c r="AJ1395" t="n">
        <v>23</v>
      </c>
      <c r="AK1395" t="n">
        <v>25</v>
      </c>
      <c r="AL1395" t="n">
        <v>5</v>
      </c>
      <c r="AM1395" t="n">
        <v>5</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HYPERLINK("https://creighton-primo.hosted.exlibrisgroup.com/primo-explore/search?tab=default_tab&amp;search_scope=EVERYTHING&amp;vid=01CRU&amp;lang=en_US&amp;offset=0&amp;query=any,contains,991002022729702656","Catalog Record")</f>
        <v/>
      </c>
      <c r="AT1395">
        <f>HYPERLINK("http://www.worldcat.org/oclc/25746289","WorldCat Record")</f>
        <v/>
      </c>
      <c r="AU1395" t="inlineStr">
        <is>
          <t>826700884:eng</t>
        </is>
      </c>
      <c r="AV1395" t="inlineStr">
        <is>
          <t>25746289</t>
        </is>
      </c>
      <c r="AW1395" t="inlineStr">
        <is>
          <t>991002022729702656</t>
        </is>
      </c>
      <c r="AX1395" t="inlineStr">
        <is>
          <t>991002022729702656</t>
        </is>
      </c>
      <c r="AY1395" t="inlineStr">
        <is>
          <t>2269598360002656</t>
        </is>
      </c>
      <c r="AZ1395" t="inlineStr">
        <is>
          <t>BOOK</t>
        </is>
      </c>
      <c r="BB1395" t="inlineStr">
        <is>
          <t>9780300054910</t>
        </is>
      </c>
      <c r="BC1395" t="inlineStr">
        <is>
          <t>32285001859882</t>
        </is>
      </c>
      <c r="BD1395" t="inlineStr">
        <is>
          <t>893603121</t>
        </is>
      </c>
    </row>
    <row r="1396">
      <c r="A1396" t="inlineStr">
        <is>
          <t>No</t>
        </is>
      </c>
      <c r="B1396" t="inlineStr">
        <is>
          <t>BT94 .B813</t>
        </is>
      </c>
      <c r="C1396" t="inlineStr">
        <is>
          <t>0                      BT 0094000B  813</t>
        </is>
      </c>
      <c r="D1396" t="inlineStr">
        <is>
          <t>Kingship of God / Martin Buber.</t>
        </is>
      </c>
      <c r="F1396" t="inlineStr">
        <is>
          <t>No</t>
        </is>
      </c>
      <c r="G1396" t="inlineStr">
        <is>
          <t>1</t>
        </is>
      </c>
      <c r="H1396" t="inlineStr">
        <is>
          <t>No</t>
        </is>
      </c>
      <c r="I1396" t="inlineStr">
        <is>
          <t>No</t>
        </is>
      </c>
      <c r="J1396" t="inlineStr">
        <is>
          <t>0</t>
        </is>
      </c>
      <c r="K1396" t="inlineStr">
        <is>
          <t>Buber, Martin, 1878-1965.</t>
        </is>
      </c>
      <c r="L1396" t="inlineStr">
        <is>
          <t>New York, Harper &amp; Row [1967]</t>
        </is>
      </c>
      <c r="M1396" t="inlineStr">
        <is>
          <t>1967</t>
        </is>
      </c>
      <c r="N1396" t="inlineStr">
        <is>
          <t>[1st American ed]</t>
        </is>
      </c>
      <c r="O1396" t="inlineStr">
        <is>
          <t>eng</t>
        </is>
      </c>
      <c r="P1396" t="inlineStr">
        <is>
          <t>___</t>
        </is>
      </c>
      <c r="R1396" t="inlineStr">
        <is>
          <t xml:space="preserve">BT </t>
        </is>
      </c>
      <c r="S1396" t="n">
        <v>3</v>
      </c>
      <c r="T1396" t="n">
        <v>3</v>
      </c>
      <c r="U1396" t="inlineStr">
        <is>
          <t>1996-11-19</t>
        </is>
      </c>
      <c r="V1396" t="inlineStr">
        <is>
          <t>1996-11-19</t>
        </is>
      </c>
      <c r="W1396" t="inlineStr">
        <is>
          <t>1991-06-27</t>
        </is>
      </c>
      <c r="X1396" t="inlineStr">
        <is>
          <t>1991-06-27</t>
        </is>
      </c>
      <c r="Y1396" t="n">
        <v>597</v>
      </c>
      <c r="Z1396" t="n">
        <v>562</v>
      </c>
      <c r="AA1396" t="n">
        <v>829</v>
      </c>
      <c r="AB1396" t="n">
        <v>5</v>
      </c>
      <c r="AC1396" t="n">
        <v>7</v>
      </c>
      <c r="AD1396" t="n">
        <v>32</v>
      </c>
      <c r="AE1396" t="n">
        <v>43</v>
      </c>
      <c r="AF1396" t="n">
        <v>15</v>
      </c>
      <c r="AG1396" t="n">
        <v>20</v>
      </c>
      <c r="AH1396" t="n">
        <v>7</v>
      </c>
      <c r="AI1396" t="n">
        <v>10</v>
      </c>
      <c r="AJ1396" t="n">
        <v>16</v>
      </c>
      <c r="AK1396" t="n">
        <v>23</v>
      </c>
      <c r="AL1396" t="n">
        <v>4</v>
      </c>
      <c r="AM1396" t="n">
        <v>4</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HYPERLINK("https://creighton-primo.hosted.exlibrisgroup.com/primo-explore/search?tab=default_tab&amp;search_scope=EVERYTHING&amp;vid=01CRU&amp;lang=en_US&amp;offset=0&amp;query=any,contains,991002643369702656","Catalog Record")</f>
        <v/>
      </c>
      <c r="AT1396">
        <f>HYPERLINK("http://www.worldcat.org/oclc/385055","WorldCat Record")</f>
        <v/>
      </c>
      <c r="AU1396" t="inlineStr">
        <is>
          <t>2260889287:eng</t>
        </is>
      </c>
      <c r="AV1396" t="inlineStr">
        <is>
          <t>385055</t>
        </is>
      </c>
      <c r="AW1396" t="inlineStr">
        <is>
          <t>991002643369702656</t>
        </is>
      </c>
      <c r="AX1396" t="inlineStr">
        <is>
          <t>991002643369702656</t>
        </is>
      </c>
      <c r="AY1396" t="inlineStr">
        <is>
          <t>2259051900002656</t>
        </is>
      </c>
      <c r="AZ1396" t="inlineStr">
        <is>
          <t>BOOK</t>
        </is>
      </c>
      <c r="BC1396" t="inlineStr">
        <is>
          <t>32285000689983</t>
        </is>
      </c>
      <c r="BD1396" t="inlineStr">
        <is>
          <t>893591595</t>
        </is>
      </c>
    </row>
    <row r="1397">
      <c r="A1397" t="inlineStr">
        <is>
          <t>No</t>
        </is>
      </c>
      <c r="B1397" t="inlineStr">
        <is>
          <t>BT94 .G7</t>
        </is>
      </c>
      <c r="C1397" t="inlineStr">
        <is>
          <t>0                      BT 0094000G  7</t>
        </is>
      </c>
      <c r="D1397" t="inlineStr">
        <is>
          <t>The Biblical doctrine of the reign of God / by John Gray.</t>
        </is>
      </c>
      <c r="F1397" t="inlineStr">
        <is>
          <t>No</t>
        </is>
      </c>
      <c r="G1397" t="inlineStr">
        <is>
          <t>1</t>
        </is>
      </c>
      <c r="H1397" t="inlineStr">
        <is>
          <t>No</t>
        </is>
      </c>
      <c r="I1397" t="inlineStr">
        <is>
          <t>No</t>
        </is>
      </c>
      <c r="J1397" t="inlineStr">
        <is>
          <t>0</t>
        </is>
      </c>
      <c r="K1397" t="inlineStr">
        <is>
          <t>Gray, John, 1913-2000.</t>
        </is>
      </c>
      <c r="L1397" t="inlineStr">
        <is>
          <t>Edinburgh : T. &amp; T. Clark, 1979.</t>
        </is>
      </c>
      <c r="M1397" t="inlineStr">
        <is>
          <t>1979</t>
        </is>
      </c>
      <c r="O1397" t="inlineStr">
        <is>
          <t>eng</t>
        </is>
      </c>
      <c r="P1397" t="inlineStr">
        <is>
          <t>stk</t>
        </is>
      </c>
      <c r="R1397" t="inlineStr">
        <is>
          <t xml:space="preserve">BT </t>
        </is>
      </c>
      <c r="S1397" t="n">
        <v>3</v>
      </c>
      <c r="T1397" t="n">
        <v>3</v>
      </c>
      <c r="U1397" t="inlineStr">
        <is>
          <t>1995-11-24</t>
        </is>
      </c>
      <c r="V1397" t="inlineStr">
        <is>
          <t>1995-11-24</t>
        </is>
      </c>
      <c r="W1397" t="inlineStr">
        <is>
          <t>1991-06-27</t>
        </is>
      </c>
      <c r="X1397" t="inlineStr">
        <is>
          <t>1991-06-27</t>
        </is>
      </c>
      <c r="Y1397" t="n">
        <v>399</v>
      </c>
      <c r="Z1397" t="n">
        <v>265</v>
      </c>
      <c r="AA1397" t="n">
        <v>267</v>
      </c>
      <c r="AB1397" t="n">
        <v>1</v>
      </c>
      <c r="AC1397" t="n">
        <v>1</v>
      </c>
      <c r="AD1397" t="n">
        <v>17</v>
      </c>
      <c r="AE1397" t="n">
        <v>18</v>
      </c>
      <c r="AF1397" t="n">
        <v>7</v>
      </c>
      <c r="AG1397" t="n">
        <v>7</v>
      </c>
      <c r="AH1397" t="n">
        <v>5</v>
      </c>
      <c r="AI1397" t="n">
        <v>5</v>
      </c>
      <c r="AJ1397" t="n">
        <v>10</v>
      </c>
      <c r="AK1397" t="n">
        <v>11</v>
      </c>
      <c r="AL1397" t="n">
        <v>0</v>
      </c>
      <c r="AM1397" t="n">
        <v>0</v>
      </c>
      <c r="AN1397" t="n">
        <v>0</v>
      </c>
      <c r="AO1397" t="n">
        <v>0</v>
      </c>
      <c r="AP1397" t="inlineStr">
        <is>
          <t>No</t>
        </is>
      </c>
      <c r="AQ1397" t="inlineStr">
        <is>
          <t>No</t>
        </is>
      </c>
      <c r="AS1397">
        <f>HYPERLINK("https://creighton-primo.hosted.exlibrisgroup.com/primo-explore/search?tab=default_tab&amp;search_scope=EVERYTHING&amp;vid=01CRU&amp;lang=en_US&amp;offset=0&amp;query=any,contains,991004950759702656","Catalog Record")</f>
        <v/>
      </c>
      <c r="AT1397">
        <f>HYPERLINK("http://www.worldcat.org/oclc/6247911","WorldCat Record")</f>
        <v/>
      </c>
      <c r="AU1397" t="inlineStr">
        <is>
          <t>137803147:eng</t>
        </is>
      </c>
      <c r="AV1397" t="inlineStr">
        <is>
          <t>6247911</t>
        </is>
      </c>
      <c r="AW1397" t="inlineStr">
        <is>
          <t>991004950759702656</t>
        </is>
      </c>
      <c r="AX1397" t="inlineStr">
        <is>
          <t>991004950759702656</t>
        </is>
      </c>
      <c r="AY1397" t="inlineStr">
        <is>
          <t>2268692690002656</t>
        </is>
      </c>
      <c r="AZ1397" t="inlineStr">
        <is>
          <t>BOOK</t>
        </is>
      </c>
      <c r="BB1397" t="inlineStr">
        <is>
          <t>9780567093004</t>
        </is>
      </c>
      <c r="BC1397" t="inlineStr">
        <is>
          <t>32285000689991</t>
        </is>
      </c>
      <c r="BD1397" t="inlineStr">
        <is>
          <t>893350539</t>
        </is>
      </c>
    </row>
    <row r="1398">
      <c r="A1398" t="inlineStr">
        <is>
          <t>No</t>
        </is>
      </c>
      <c r="B1398" t="inlineStr">
        <is>
          <t>BT965 .B6 1911</t>
        </is>
      </c>
      <c r="C1398" t="inlineStr">
        <is>
          <t>0                      BT 0965000B  6           1911</t>
        </is>
      </c>
      <c r="D1398" t="inlineStr">
        <is>
          <t>Devotion to the nine choirs of holy angels : especially to angel-guardians / translated from the French of Henri-Marie Boudon by Edward Healy Thompson.</t>
        </is>
      </c>
      <c r="F1398" t="inlineStr">
        <is>
          <t>No</t>
        </is>
      </c>
      <c r="G1398" t="inlineStr">
        <is>
          <t>1</t>
        </is>
      </c>
      <c r="H1398" t="inlineStr">
        <is>
          <t>No</t>
        </is>
      </c>
      <c r="I1398" t="inlineStr">
        <is>
          <t>No</t>
        </is>
      </c>
      <c r="J1398" t="inlineStr">
        <is>
          <t>0</t>
        </is>
      </c>
      <c r="K1398" t="inlineStr">
        <is>
          <t>Boudon, Henri-Marie, 1624-1702.</t>
        </is>
      </c>
      <c r="L1398" t="inlineStr">
        <is>
          <t>New York : Benziger, 1911.</t>
        </is>
      </c>
      <c r="M1398" t="inlineStr">
        <is>
          <t>1911</t>
        </is>
      </c>
      <c r="O1398" t="inlineStr">
        <is>
          <t>eng</t>
        </is>
      </c>
      <c r="P1398" t="inlineStr">
        <is>
          <t>nyu</t>
        </is>
      </c>
      <c r="R1398" t="inlineStr">
        <is>
          <t xml:space="preserve">BT </t>
        </is>
      </c>
      <c r="S1398" t="n">
        <v>4</v>
      </c>
      <c r="T1398" t="n">
        <v>4</v>
      </c>
      <c r="U1398" t="inlineStr">
        <is>
          <t>2007-07-23</t>
        </is>
      </c>
      <c r="V1398" t="inlineStr">
        <is>
          <t>2007-07-23</t>
        </is>
      </c>
      <c r="W1398" t="inlineStr">
        <is>
          <t>1991-10-25</t>
        </is>
      </c>
      <c r="X1398" t="inlineStr">
        <is>
          <t>1991-10-25</t>
        </is>
      </c>
      <c r="Y1398" t="n">
        <v>9</v>
      </c>
      <c r="Z1398" t="n">
        <v>8</v>
      </c>
      <c r="AA1398" t="n">
        <v>34</v>
      </c>
      <c r="AB1398" t="n">
        <v>1</v>
      </c>
      <c r="AC1398" t="n">
        <v>2</v>
      </c>
      <c r="AD1398" t="n">
        <v>2</v>
      </c>
      <c r="AE1398" t="n">
        <v>5</v>
      </c>
      <c r="AF1398" t="n">
        <v>0</v>
      </c>
      <c r="AG1398" t="n">
        <v>1</v>
      </c>
      <c r="AH1398" t="n">
        <v>0</v>
      </c>
      <c r="AI1398" t="n">
        <v>1</v>
      </c>
      <c r="AJ1398" t="n">
        <v>2</v>
      </c>
      <c r="AK1398" t="n">
        <v>3</v>
      </c>
      <c r="AL1398" t="n">
        <v>0</v>
      </c>
      <c r="AM1398" t="n">
        <v>1</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HYPERLINK("https://creighton-primo.hosted.exlibrisgroup.com/primo-explore/search?tab=default_tab&amp;search_scope=EVERYTHING&amp;vid=01CRU&amp;lang=en_US&amp;offset=0&amp;query=any,contains,991004643689702656","Catalog Record")</f>
        <v/>
      </c>
      <c r="AT1398">
        <f>HYPERLINK("http://www.worldcat.org/oclc/4482830","WorldCat Record")</f>
        <v/>
      </c>
      <c r="AU1398" t="inlineStr">
        <is>
          <t>5091146969:eng</t>
        </is>
      </c>
      <c r="AV1398" t="inlineStr">
        <is>
          <t>4482830</t>
        </is>
      </c>
      <c r="AW1398" t="inlineStr">
        <is>
          <t>991004643689702656</t>
        </is>
      </c>
      <c r="AX1398" t="inlineStr">
        <is>
          <t>991004643689702656</t>
        </is>
      </c>
      <c r="AY1398" t="inlineStr">
        <is>
          <t>2262941410002656</t>
        </is>
      </c>
      <c r="AZ1398" t="inlineStr">
        <is>
          <t>BOOK</t>
        </is>
      </c>
      <c r="BC1398" t="inlineStr">
        <is>
          <t>32285000807734</t>
        </is>
      </c>
      <c r="BD1398" t="inlineStr">
        <is>
          <t>893247805</t>
        </is>
      </c>
    </row>
    <row r="1399">
      <c r="A1399" t="inlineStr">
        <is>
          <t>No</t>
        </is>
      </c>
      <c r="B1399" t="inlineStr">
        <is>
          <t>BT966 .D312</t>
        </is>
      </c>
      <c r="C1399" t="inlineStr">
        <is>
          <t>0                      BT 0966000D  312</t>
        </is>
      </c>
      <c r="D1399" t="inlineStr">
        <is>
          <t>The angels and their mission : according to the fathers of the church / by Jean Danielou. Translated from the French by David Heimann.</t>
        </is>
      </c>
      <c r="F1399" t="inlineStr">
        <is>
          <t>No</t>
        </is>
      </c>
      <c r="G1399" t="inlineStr">
        <is>
          <t>1</t>
        </is>
      </c>
      <c r="H1399" t="inlineStr">
        <is>
          <t>No</t>
        </is>
      </c>
      <c r="I1399" t="inlineStr">
        <is>
          <t>Yes</t>
        </is>
      </c>
      <c r="J1399" t="inlineStr">
        <is>
          <t>0</t>
        </is>
      </c>
      <c r="K1399" t="inlineStr">
        <is>
          <t>Daniélou, Jean.</t>
        </is>
      </c>
      <c r="L1399" t="inlineStr">
        <is>
          <t>Westminster, Md., Newman Press [1957]</t>
        </is>
      </c>
      <c r="M1399" t="inlineStr">
        <is>
          <t>1957</t>
        </is>
      </c>
      <c r="O1399" t="inlineStr">
        <is>
          <t>eng</t>
        </is>
      </c>
      <c r="P1399" t="inlineStr">
        <is>
          <t xml:space="preserve">xx </t>
        </is>
      </c>
      <c r="R1399" t="inlineStr">
        <is>
          <t xml:space="preserve">BT </t>
        </is>
      </c>
      <c r="S1399" t="n">
        <v>0</v>
      </c>
      <c r="T1399" t="n">
        <v>0</v>
      </c>
      <c r="U1399" t="inlineStr">
        <is>
          <t>2006-04-19</t>
        </is>
      </c>
      <c r="V1399" t="inlineStr">
        <is>
          <t>2006-04-19</t>
        </is>
      </c>
      <c r="W1399" t="inlineStr">
        <is>
          <t>1990-02-12</t>
        </is>
      </c>
      <c r="X1399" t="inlineStr">
        <is>
          <t>1990-02-12</t>
        </is>
      </c>
      <c r="Y1399" t="n">
        <v>238</v>
      </c>
      <c r="Z1399" t="n">
        <v>215</v>
      </c>
      <c r="AA1399" t="n">
        <v>337</v>
      </c>
      <c r="AB1399" t="n">
        <v>2</v>
      </c>
      <c r="AC1399" t="n">
        <v>4</v>
      </c>
      <c r="AD1399" t="n">
        <v>25</v>
      </c>
      <c r="AE1399" t="n">
        <v>32</v>
      </c>
      <c r="AF1399" t="n">
        <v>9</v>
      </c>
      <c r="AG1399" t="n">
        <v>14</v>
      </c>
      <c r="AH1399" t="n">
        <v>5</v>
      </c>
      <c r="AI1399" t="n">
        <v>6</v>
      </c>
      <c r="AJ1399" t="n">
        <v>19</v>
      </c>
      <c r="AK1399" t="n">
        <v>22</v>
      </c>
      <c r="AL1399" t="n">
        <v>0</v>
      </c>
      <c r="AM1399" t="n">
        <v>1</v>
      </c>
      <c r="AN1399" t="n">
        <v>0</v>
      </c>
      <c r="AO1399" t="n">
        <v>0</v>
      </c>
      <c r="AP1399" t="inlineStr">
        <is>
          <t>No</t>
        </is>
      </c>
      <c r="AQ1399" t="inlineStr">
        <is>
          <t>No</t>
        </is>
      </c>
      <c r="AS1399">
        <f>HYPERLINK("https://creighton-primo.hosted.exlibrisgroup.com/primo-explore/search?tab=default_tab&amp;search_scope=EVERYTHING&amp;vid=01CRU&amp;lang=en_US&amp;offset=0&amp;query=any,contains,991004356489702656","Catalog Record")</f>
        <v/>
      </c>
      <c r="AT1399">
        <f>HYPERLINK("http://www.worldcat.org/oclc/3141918","WorldCat Record")</f>
        <v/>
      </c>
      <c r="AU1399" t="inlineStr">
        <is>
          <t>2863975073:eng</t>
        </is>
      </c>
      <c r="AV1399" t="inlineStr">
        <is>
          <t>3141918</t>
        </is>
      </c>
      <c r="AW1399" t="inlineStr">
        <is>
          <t>991004356489702656</t>
        </is>
      </c>
      <c r="AX1399" t="inlineStr">
        <is>
          <t>991004356489702656</t>
        </is>
      </c>
      <c r="AY1399" t="inlineStr">
        <is>
          <t>2261655580002656</t>
        </is>
      </c>
      <c r="AZ1399" t="inlineStr">
        <is>
          <t>BOOK</t>
        </is>
      </c>
      <c r="BC1399" t="inlineStr">
        <is>
          <t>32285000009810</t>
        </is>
      </c>
      <c r="BD1399" t="inlineStr">
        <is>
          <t>893700128</t>
        </is>
      </c>
    </row>
    <row r="1400">
      <c r="A1400" t="inlineStr">
        <is>
          <t>No</t>
        </is>
      </c>
      <c r="B1400" t="inlineStr">
        <is>
          <t>BT966 .H8</t>
        </is>
      </c>
      <c r="C1400" t="inlineStr">
        <is>
          <t>0                      BT 0966000H  8</t>
        </is>
      </c>
      <c r="D1400" t="inlineStr">
        <is>
          <t>The spirit world about us / [by] Joseph Husslein.</t>
        </is>
      </c>
      <c r="F1400" t="inlineStr">
        <is>
          <t>No</t>
        </is>
      </c>
      <c r="G1400" t="inlineStr">
        <is>
          <t>1</t>
        </is>
      </c>
      <c r="H1400" t="inlineStr">
        <is>
          <t>No</t>
        </is>
      </c>
      <c r="I1400" t="inlineStr">
        <is>
          <t>No</t>
        </is>
      </c>
      <c r="J1400" t="inlineStr">
        <is>
          <t>0</t>
        </is>
      </c>
      <c r="K1400" t="inlineStr">
        <is>
          <t>Husslein, Joseph, 1873-1952.</t>
        </is>
      </c>
      <c r="L1400" t="inlineStr">
        <is>
          <t>New York,Milwaukee [etc] The Bruce publishing company [c1934]</t>
        </is>
      </c>
      <c r="M1400" t="inlineStr">
        <is>
          <t>1934</t>
        </is>
      </c>
      <c r="O1400" t="inlineStr">
        <is>
          <t>eng</t>
        </is>
      </c>
      <c r="P1400" t="inlineStr">
        <is>
          <t>___</t>
        </is>
      </c>
      <c r="R1400" t="inlineStr">
        <is>
          <t xml:space="preserve">BT </t>
        </is>
      </c>
      <c r="S1400" t="n">
        <v>7</v>
      </c>
      <c r="T1400" t="n">
        <v>7</v>
      </c>
      <c r="U1400" t="inlineStr">
        <is>
          <t>2000-07-13</t>
        </is>
      </c>
      <c r="V1400" t="inlineStr">
        <is>
          <t>2000-07-13</t>
        </is>
      </c>
      <c r="W1400" t="inlineStr">
        <is>
          <t>1990-08-08</t>
        </is>
      </c>
      <c r="X1400" t="inlineStr">
        <is>
          <t>1990-08-08</t>
        </is>
      </c>
      <c r="Y1400" t="n">
        <v>79</v>
      </c>
      <c r="Z1400" t="n">
        <v>68</v>
      </c>
      <c r="AA1400" t="n">
        <v>68</v>
      </c>
      <c r="AB1400" t="n">
        <v>2</v>
      </c>
      <c r="AC1400" t="n">
        <v>2</v>
      </c>
      <c r="AD1400" t="n">
        <v>11</v>
      </c>
      <c r="AE1400" t="n">
        <v>11</v>
      </c>
      <c r="AF1400" t="n">
        <v>2</v>
      </c>
      <c r="AG1400" t="n">
        <v>2</v>
      </c>
      <c r="AH1400" t="n">
        <v>3</v>
      </c>
      <c r="AI1400" t="n">
        <v>3</v>
      </c>
      <c r="AJ1400" t="n">
        <v>9</v>
      </c>
      <c r="AK1400" t="n">
        <v>9</v>
      </c>
      <c r="AL1400" t="n">
        <v>0</v>
      </c>
      <c r="AM1400" t="n">
        <v>0</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HYPERLINK("https://creighton-primo.hosted.exlibrisgroup.com/primo-explore/search?tab=default_tab&amp;search_scope=EVERYTHING&amp;vid=01CRU&amp;lang=en_US&amp;offset=0&amp;query=any,contains,991003132179702656","Catalog Record")</f>
        <v/>
      </c>
      <c r="AT1400">
        <f>HYPERLINK("http://www.worldcat.org/oclc/675145","WorldCat Record")</f>
        <v/>
      </c>
      <c r="AU1400" t="inlineStr">
        <is>
          <t>1726988:eng</t>
        </is>
      </c>
      <c r="AV1400" t="inlineStr">
        <is>
          <t>675145</t>
        </is>
      </c>
      <c r="AW1400" t="inlineStr">
        <is>
          <t>991003132179702656</t>
        </is>
      </c>
      <c r="AX1400" t="inlineStr">
        <is>
          <t>991003132179702656</t>
        </is>
      </c>
      <c r="AY1400" t="inlineStr">
        <is>
          <t>2267088710002656</t>
        </is>
      </c>
      <c r="AZ1400" t="inlineStr">
        <is>
          <t>BOOK</t>
        </is>
      </c>
      <c r="BC1400" t="inlineStr">
        <is>
          <t>32285000269521</t>
        </is>
      </c>
      <c r="BD1400" t="inlineStr">
        <is>
          <t>893904257</t>
        </is>
      </c>
    </row>
    <row r="1401">
      <c r="A1401" t="inlineStr">
        <is>
          <t>No</t>
        </is>
      </c>
      <c r="B1401" t="inlineStr">
        <is>
          <t>BT966.2 .M25 1988</t>
        </is>
      </c>
      <c r="C1401" t="inlineStr">
        <is>
          <t>0                      BT 0966200M  25          1988</t>
        </is>
      </c>
      <c r="D1401" t="inlineStr">
        <is>
          <t>Angels : ministers of grace / Geddes MacGregor.</t>
        </is>
      </c>
      <c r="F1401" t="inlineStr">
        <is>
          <t>No</t>
        </is>
      </c>
      <c r="G1401" t="inlineStr">
        <is>
          <t>1</t>
        </is>
      </c>
      <c r="H1401" t="inlineStr">
        <is>
          <t>No</t>
        </is>
      </c>
      <c r="I1401" t="inlineStr">
        <is>
          <t>No</t>
        </is>
      </c>
      <c r="J1401" t="inlineStr">
        <is>
          <t>0</t>
        </is>
      </c>
      <c r="K1401" t="inlineStr">
        <is>
          <t>MacGregor, Geddes.</t>
        </is>
      </c>
      <c r="L1401" t="inlineStr">
        <is>
          <t>New York : Paragon House Publishers, c1988.</t>
        </is>
      </c>
      <c r="M1401" t="inlineStr">
        <is>
          <t>1988</t>
        </is>
      </c>
      <c r="N1401" t="inlineStr">
        <is>
          <t>1st ed.</t>
        </is>
      </c>
      <c r="O1401" t="inlineStr">
        <is>
          <t>eng</t>
        </is>
      </c>
      <c r="P1401" t="inlineStr">
        <is>
          <t>nyu</t>
        </is>
      </c>
      <c r="R1401" t="inlineStr">
        <is>
          <t xml:space="preserve">BT </t>
        </is>
      </c>
      <c r="S1401" t="n">
        <v>13</v>
      </c>
      <c r="T1401" t="n">
        <v>13</v>
      </c>
      <c r="U1401" t="inlineStr">
        <is>
          <t>1997-11-13</t>
        </is>
      </c>
      <c r="V1401" t="inlineStr">
        <is>
          <t>1997-11-13</t>
        </is>
      </c>
      <c r="W1401" t="inlineStr">
        <is>
          <t>1990-08-08</t>
        </is>
      </c>
      <c r="X1401" t="inlineStr">
        <is>
          <t>1990-08-08</t>
        </is>
      </c>
      <c r="Y1401" t="n">
        <v>362</v>
      </c>
      <c r="Z1401" t="n">
        <v>333</v>
      </c>
      <c r="AA1401" t="n">
        <v>346</v>
      </c>
      <c r="AB1401" t="n">
        <v>4</v>
      </c>
      <c r="AC1401" t="n">
        <v>4</v>
      </c>
      <c r="AD1401" t="n">
        <v>19</v>
      </c>
      <c r="AE1401" t="n">
        <v>19</v>
      </c>
      <c r="AF1401" t="n">
        <v>9</v>
      </c>
      <c r="AG1401" t="n">
        <v>9</v>
      </c>
      <c r="AH1401" t="n">
        <v>5</v>
      </c>
      <c r="AI1401" t="n">
        <v>5</v>
      </c>
      <c r="AJ1401" t="n">
        <v>8</v>
      </c>
      <c r="AK1401" t="n">
        <v>8</v>
      </c>
      <c r="AL1401" t="n">
        <v>3</v>
      </c>
      <c r="AM1401" t="n">
        <v>3</v>
      </c>
      <c r="AN1401" t="n">
        <v>0</v>
      </c>
      <c r="AO1401" t="n">
        <v>0</v>
      </c>
      <c r="AP1401" t="inlineStr">
        <is>
          <t>No</t>
        </is>
      </c>
      <c r="AQ1401" t="inlineStr">
        <is>
          <t>Yes</t>
        </is>
      </c>
      <c r="AR1401">
        <f>HYPERLINK("http://catalog.hathitrust.org/Record/002872704","HathiTrust Record")</f>
        <v/>
      </c>
      <c r="AS1401">
        <f>HYPERLINK("https://creighton-primo.hosted.exlibrisgroup.com/primo-explore/search?tab=default_tab&amp;search_scope=EVERYTHING&amp;vid=01CRU&amp;lang=en_US&amp;offset=0&amp;query=any,contains,991001056629702656","Catalog Record")</f>
        <v/>
      </c>
      <c r="AT1401">
        <f>HYPERLINK("http://www.worldcat.org/oclc/15696781","WorldCat Record")</f>
        <v/>
      </c>
      <c r="AU1401" t="inlineStr">
        <is>
          <t>10740309:eng</t>
        </is>
      </c>
      <c r="AV1401" t="inlineStr">
        <is>
          <t>15696781</t>
        </is>
      </c>
      <c r="AW1401" t="inlineStr">
        <is>
          <t>991001056629702656</t>
        </is>
      </c>
      <c r="AX1401" t="inlineStr">
        <is>
          <t>991001056629702656</t>
        </is>
      </c>
      <c r="AY1401" t="inlineStr">
        <is>
          <t>2260109000002656</t>
        </is>
      </c>
      <c r="AZ1401" t="inlineStr">
        <is>
          <t>BOOK</t>
        </is>
      </c>
      <c r="BB1401" t="inlineStr">
        <is>
          <t>9781557780010</t>
        </is>
      </c>
      <c r="BC1401" t="inlineStr">
        <is>
          <t>32285000269539</t>
        </is>
      </c>
      <c r="BD1401" t="inlineStr">
        <is>
          <t>893865925</t>
        </is>
      </c>
    </row>
    <row r="1402">
      <c r="A1402" t="inlineStr">
        <is>
          <t>No</t>
        </is>
      </c>
      <c r="B1402" t="inlineStr">
        <is>
          <t>BT966.2 .P3 1973</t>
        </is>
      </c>
      <c r="C1402" t="inlineStr">
        <is>
          <t>0                      BT 0966200P  3           1973</t>
        </is>
      </c>
      <c r="D1402" t="inlineStr">
        <is>
          <t>Beyond space / by Pascal P. Parente.</t>
        </is>
      </c>
      <c r="F1402" t="inlineStr">
        <is>
          <t>No</t>
        </is>
      </c>
      <c r="G1402" t="inlineStr">
        <is>
          <t>1</t>
        </is>
      </c>
      <c r="H1402" t="inlineStr">
        <is>
          <t>No</t>
        </is>
      </c>
      <c r="I1402" t="inlineStr">
        <is>
          <t>No</t>
        </is>
      </c>
      <c r="J1402" t="inlineStr">
        <is>
          <t>0</t>
        </is>
      </c>
      <c r="K1402" t="inlineStr">
        <is>
          <t>Parente, Pascal P., 1890-1971.</t>
        </is>
      </c>
      <c r="L1402" t="inlineStr">
        <is>
          <t>Rockford, Ill. : Tan Books and Publishers, 1973.</t>
        </is>
      </c>
      <c r="M1402" t="inlineStr">
        <is>
          <t>1973</t>
        </is>
      </c>
      <c r="O1402" t="inlineStr">
        <is>
          <t>eng</t>
        </is>
      </c>
      <c r="P1402" t="inlineStr">
        <is>
          <t>ilu</t>
        </is>
      </c>
      <c r="R1402" t="inlineStr">
        <is>
          <t xml:space="preserve">BT </t>
        </is>
      </c>
      <c r="S1402" t="n">
        <v>3</v>
      </c>
      <c r="T1402" t="n">
        <v>3</v>
      </c>
      <c r="U1402" t="inlineStr">
        <is>
          <t>1996-02-25</t>
        </is>
      </c>
      <c r="V1402" t="inlineStr">
        <is>
          <t>1996-02-25</t>
        </is>
      </c>
      <c r="W1402" t="inlineStr">
        <is>
          <t>1992-12-07</t>
        </is>
      </c>
      <c r="X1402" t="inlineStr">
        <is>
          <t>1992-12-07</t>
        </is>
      </c>
      <c r="Y1402" t="n">
        <v>42</v>
      </c>
      <c r="Z1402" t="n">
        <v>37</v>
      </c>
      <c r="AA1402" t="n">
        <v>101</v>
      </c>
      <c r="AB1402" t="n">
        <v>2</v>
      </c>
      <c r="AC1402" t="n">
        <v>3</v>
      </c>
      <c r="AD1402" t="n">
        <v>2</v>
      </c>
      <c r="AE1402" t="n">
        <v>11</v>
      </c>
      <c r="AF1402" t="n">
        <v>0</v>
      </c>
      <c r="AG1402" t="n">
        <v>3</v>
      </c>
      <c r="AH1402" t="n">
        <v>0</v>
      </c>
      <c r="AI1402" t="n">
        <v>2</v>
      </c>
      <c r="AJ1402" t="n">
        <v>2</v>
      </c>
      <c r="AK1402" t="n">
        <v>10</v>
      </c>
      <c r="AL1402" t="n">
        <v>0</v>
      </c>
      <c r="AM1402" t="n">
        <v>0</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HYPERLINK("https://creighton-primo.hosted.exlibrisgroup.com/primo-explore/search?tab=default_tab&amp;search_scope=EVERYTHING&amp;vid=01CRU&amp;lang=en_US&amp;offset=0&amp;query=any,contains,991001291679702656","Catalog Record")</f>
        <v/>
      </c>
      <c r="AT1402">
        <f>HYPERLINK("http://www.worldcat.org/oclc/17996375","WorldCat Record")</f>
        <v/>
      </c>
      <c r="AU1402" t="inlineStr">
        <is>
          <t>1781449:eng</t>
        </is>
      </c>
      <c r="AV1402" t="inlineStr">
        <is>
          <t>17996375</t>
        </is>
      </c>
      <c r="AW1402" t="inlineStr">
        <is>
          <t>991001291679702656</t>
        </is>
      </c>
      <c r="AX1402" t="inlineStr">
        <is>
          <t>991001291679702656</t>
        </is>
      </c>
      <c r="AY1402" t="inlineStr">
        <is>
          <t>2257780810002656</t>
        </is>
      </c>
      <c r="AZ1402" t="inlineStr">
        <is>
          <t>BOOK</t>
        </is>
      </c>
      <c r="BB1402" t="inlineStr">
        <is>
          <t>9780895550538</t>
        </is>
      </c>
      <c r="BC1402" t="inlineStr">
        <is>
          <t>32285000807817</t>
        </is>
      </c>
      <c r="BD1402" t="inlineStr">
        <is>
          <t>893684230</t>
        </is>
      </c>
    </row>
    <row r="1403">
      <c r="A1403" t="inlineStr">
        <is>
          <t>No</t>
        </is>
      </c>
      <c r="B1403" t="inlineStr">
        <is>
          <t>BT966.2 .W4713</t>
        </is>
      </c>
      <c r="C1403" t="inlineStr">
        <is>
          <t>0                      BT 0966200W  4713</t>
        </is>
      </c>
      <c r="D1403" t="inlineStr">
        <is>
          <t>God's angels need no wings / by Claus Westermann ; translated by David L. Scheidt.</t>
        </is>
      </c>
      <c r="F1403" t="inlineStr">
        <is>
          <t>No</t>
        </is>
      </c>
      <c r="G1403" t="inlineStr">
        <is>
          <t>1</t>
        </is>
      </c>
      <c r="H1403" t="inlineStr">
        <is>
          <t>No</t>
        </is>
      </c>
      <c r="I1403" t="inlineStr">
        <is>
          <t>No</t>
        </is>
      </c>
      <c r="J1403" t="inlineStr">
        <is>
          <t>0</t>
        </is>
      </c>
      <c r="K1403" t="inlineStr">
        <is>
          <t>Westermann, Claus.</t>
        </is>
      </c>
      <c r="L1403" t="inlineStr">
        <is>
          <t>Philadelphia : Fortress Press, c1979.</t>
        </is>
      </c>
      <c r="M1403" t="inlineStr">
        <is>
          <t>1979</t>
        </is>
      </c>
      <c r="O1403" t="inlineStr">
        <is>
          <t>eng</t>
        </is>
      </c>
      <c r="P1403" t="inlineStr">
        <is>
          <t>pau</t>
        </is>
      </c>
      <c r="R1403" t="inlineStr">
        <is>
          <t xml:space="preserve">BT </t>
        </is>
      </c>
      <c r="S1403" t="n">
        <v>7</v>
      </c>
      <c r="T1403" t="n">
        <v>7</v>
      </c>
      <c r="U1403" t="inlineStr">
        <is>
          <t>2002-06-26</t>
        </is>
      </c>
      <c r="V1403" t="inlineStr">
        <is>
          <t>2002-06-26</t>
        </is>
      </c>
      <c r="W1403" t="inlineStr">
        <is>
          <t>1990-02-13</t>
        </is>
      </c>
      <c r="X1403" t="inlineStr">
        <is>
          <t>1990-02-13</t>
        </is>
      </c>
      <c r="Y1403" t="n">
        <v>245</v>
      </c>
      <c r="Z1403" t="n">
        <v>212</v>
      </c>
      <c r="AA1403" t="n">
        <v>219</v>
      </c>
      <c r="AB1403" t="n">
        <v>2</v>
      </c>
      <c r="AC1403" t="n">
        <v>2</v>
      </c>
      <c r="AD1403" t="n">
        <v>12</v>
      </c>
      <c r="AE1403" t="n">
        <v>12</v>
      </c>
      <c r="AF1403" t="n">
        <v>3</v>
      </c>
      <c r="AG1403" t="n">
        <v>3</v>
      </c>
      <c r="AH1403" t="n">
        <v>3</v>
      </c>
      <c r="AI1403" t="n">
        <v>3</v>
      </c>
      <c r="AJ1403" t="n">
        <v>9</v>
      </c>
      <c r="AK1403" t="n">
        <v>9</v>
      </c>
      <c r="AL1403" t="n">
        <v>1</v>
      </c>
      <c r="AM1403" t="n">
        <v>1</v>
      </c>
      <c r="AN1403" t="n">
        <v>0</v>
      </c>
      <c r="AO1403" t="n">
        <v>0</v>
      </c>
      <c r="AP1403" t="inlineStr">
        <is>
          <t>No</t>
        </is>
      </c>
      <c r="AQ1403" t="inlineStr">
        <is>
          <t>Yes</t>
        </is>
      </c>
      <c r="AR1403">
        <f>HYPERLINK("http://catalog.hathitrust.org/Record/006017299","HathiTrust Record")</f>
        <v/>
      </c>
      <c r="AS1403">
        <f>HYPERLINK("https://creighton-primo.hosted.exlibrisgroup.com/primo-explore/search?tab=default_tab&amp;search_scope=EVERYTHING&amp;vid=01CRU&amp;lang=en_US&amp;offset=0&amp;query=any,contains,991004657739702656","Catalog Record")</f>
        <v/>
      </c>
      <c r="AT1403">
        <f>HYPERLINK("http://www.worldcat.org/oclc/4495763","WorldCat Record")</f>
        <v/>
      </c>
      <c r="AU1403" t="inlineStr">
        <is>
          <t>1847337:eng</t>
        </is>
      </c>
      <c r="AV1403" t="inlineStr">
        <is>
          <t>4495763</t>
        </is>
      </c>
      <c r="AW1403" t="inlineStr">
        <is>
          <t>991004657739702656</t>
        </is>
      </c>
      <c r="AX1403" t="inlineStr">
        <is>
          <t>991004657739702656</t>
        </is>
      </c>
      <c r="AY1403" t="inlineStr">
        <is>
          <t>2268107440002656</t>
        </is>
      </c>
      <c r="AZ1403" t="inlineStr">
        <is>
          <t>BOOK</t>
        </is>
      </c>
      <c r="BB1403" t="inlineStr">
        <is>
          <t>9780800605353</t>
        </is>
      </c>
      <c r="BC1403" t="inlineStr">
        <is>
          <t>32285000050509</t>
        </is>
      </c>
      <c r="BD1403" t="inlineStr">
        <is>
          <t>893235787</t>
        </is>
      </c>
    </row>
    <row r="1404">
      <c r="A1404" t="inlineStr">
        <is>
          <t>No</t>
        </is>
      </c>
      <c r="B1404" t="inlineStr">
        <is>
          <t>BT97 .H4 1952</t>
        </is>
      </c>
      <c r="C1404" t="inlineStr">
        <is>
          <t>0                      BT 0097000H  4           1952</t>
        </is>
      </c>
      <c r="D1404" t="inlineStr">
        <is>
          <t>Miracles / Jean Hellé. Translated by Lancelot C.Sheppard.</t>
        </is>
      </c>
      <c r="F1404" t="inlineStr">
        <is>
          <t>No</t>
        </is>
      </c>
      <c r="G1404" t="inlineStr">
        <is>
          <t>1</t>
        </is>
      </c>
      <c r="H1404" t="inlineStr">
        <is>
          <t>No</t>
        </is>
      </c>
      <c r="I1404" t="inlineStr">
        <is>
          <t>No</t>
        </is>
      </c>
      <c r="J1404" t="inlineStr">
        <is>
          <t>0</t>
        </is>
      </c>
      <c r="K1404" t="inlineStr">
        <is>
          <t>Hellé, Jean.</t>
        </is>
      </c>
      <c r="L1404" t="inlineStr">
        <is>
          <t>New York : Daniel McKay Co., [c1952]</t>
        </is>
      </c>
      <c r="M1404" t="inlineStr">
        <is>
          <t>1952</t>
        </is>
      </c>
      <c r="O1404" t="inlineStr">
        <is>
          <t>eng</t>
        </is>
      </c>
      <c r="P1404" t="inlineStr">
        <is>
          <t>|||</t>
        </is>
      </c>
      <c r="R1404" t="inlineStr">
        <is>
          <t xml:space="preserve">BT </t>
        </is>
      </c>
      <c r="S1404" t="n">
        <v>2</v>
      </c>
      <c r="T1404" t="n">
        <v>2</v>
      </c>
      <c r="U1404" t="inlineStr">
        <is>
          <t>2001-03-21</t>
        </is>
      </c>
      <c r="V1404" t="inlineStr">
        <is>
          <t>2001-03-21</t>
        </is>
      </c>
      <c r="W1404" t="inlineStr">
        <is>
          <t>1991-06-27</t>
        </is>
      </c>
      <c r="X1404" t="inlineStr">
        <is>
          <t>1991-06-27</t>
        </is>
      </c>
      <c r="Y1404" t="n">
        <v>77</v>
      </c>
      <c r="Z1404" t="n">
        <v>77</v>
      </c>
      <c r="AA1404" t="n">
        <v>87</v>
      </c>
      <c r="AB1404" t="n">
        <v>4</v>
      </c>
      <c r="AC1404" t="n">
        <v>4</v>
      </c>
      <c r="AD1404" t="n">
        <v>5</v>
      </c>
      <c r="AE1404" t="n">
        <v>6</v>
      </c>
      <c r="AF1404" t="n">
        <v>2</v>
      </c>
      <c r="AG1404" t="n">
        <v>2</v>
      </c>
      <c r="AH1404" t="n">
        <v>0</v>
      </c>
      <c r="AI1404" t="n">
        <v>1</v>
      </c>
      <c r="AJ1404" t="n">
        <v>3</v>
      </c>
      <c r="AK1404" t="n">
        <v>3</v>
      </c>
      <c r="AL1404" t="n">
        <v>1</v>
      </c>
      <c r="AM1404" t="n">
        <v>1</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HYPERLINK("https://creighton-primo.hosted.exlibrisgroup.com/primo-explore/search?tab=default_tab&amp;search_scope=EVERYTHING&amp;vid=01CRU&amp;lang=en_US&amp;offset=0&amp;query=any,contains,991003106569702656","Catalog Record")</f>
        <v/>
      </c>
      <c r="AT1404">
        <f>HYPERLINK("http://www.worldcat.org/oclc/654409","WorldCat Record")</f>
        <v/>
      </c>
      <c r="AU1404" t="inlineStr">
        <is>
          <t>2070200512:eng</t>
        </is>
      </c>
      <c r="AV1404" t="inlineStr">
        <is>
          <t>654409</t>
        </is>
      </c>
      <c r="AW1404" t="inlineStr">
        <is>
          <t>991003106569702656</t>
        </is>
      </c>
      <c r="AX1404" t="inlineStr">
        <is>
          <t>991003106569702656</t>
        </is>
      </c>
      <c r="AY1404" t="inlineStr">
        <is>
          <t>2262204890002656</t>
        </is>
      </c>
      <c r="AZ1404" t="inlineStr">
        <is>
          <t>BOOK</t>
        </is>
      </c>
      <c r="BC1404" t="inlineStr">
        <is>
          <t>32285000690080</t>
        </is>
      </c>
      <c r="BD1404" t="inlineStr">
        <is>
          <t>893880823</t>
        </is>
      </c>
    </row>
    <row r="1405">
      <c r="A1405" t="inlineStr">
        <is>
          <t>No</t>
        </is>
      </c>
      <c r="B1405" t="inlineStr">
        <is>
          <t>BT97 .J69</t>
        </is>
      </c>
      <c r="C1405" t="inlineStr">
        <is>
          <t>0                      BT 0097000J  69</t>
        </is>
      </c>
      <c r="D1405" t="inlineStr">
        <is>
          <t>The question of miracles / by G. H. Joyce.</t>
        </is>
      </c>
      <c r="F1405" t="inlineStr">
        <is>
          <t>No</t>
        </is>
      </c>
      <c r="G1405" t="inlineStr">
        <is>
          <t>1</t>
        </is>
      </c>
      <c r="H1405" t="inlineStr">
        <is>
          <t>No</t>
        </is>
      </c>
      <c r="I1405" t="inlineStr">
        <is>
          <t>No</t>
        </is>
      </c>
      <c r="J1405" t="inlineStr">
        <is>
          <t>0</t>
        </is>
      </c>
      <c r="K1405" t="inlineStr">
        <is>
          <t>Joyce, George Hayward, 1864-1943.</t>
        </is>
      </c>
      <c r="L1405" t="inlineStr">
        <is>
          <t>London, Herder, 1914.</t>
        </is>
      </c>
      <c r="M1405" t="inlineStr">
        <is>
          <t>1914</t>
        </is>
      </c>
      <c r="O1405" t="inlineStr">
        <is>
          <t>eng</t>
        </is>
      </c>
      <c r="P1405" t="inlineStr">
        <is>
          <t>___</t>
        </is>
      </c>
      <c r="R1405" t="inlineStr">
        <is>
          <t xml:space="preserve">BT </t>
        </is>
      </c>
      <c r="S1405" t="n">
        <v>1</v>
      </c>
      <c r="T1405" t="n">
        <v>1</v>
      </c>
      <c r="U1405" t="inlineStr">
        <is>
          <t>2000-11-08</t>
        </is>
      </c>
      <c r="V1405" t="inlineStr">
        <is>
          <t>2000-11-08</t>
        </is>
      </c>
      <c r="W1405" t="inlineStr">
        <is>
          <t>1991-06-27</t>
        </is>
      </c>
      <c r="X1405" t="inlineStr">
        <is>
          <t>1991-06-27</t>
        </is>
      </c>
      <c r="Y1405" t="n">
        <v>31</v>
      </c>
      <c r="Z1405" t="n">
        <v>25</v>
      </c>
      <c r="AA1405" t="n">
        <v>87</v>
      </c>
      <c r="AB1405" t="n">
        <v>1</v>
      </c>
      <c r="AC1405" t="n">
        <v>1</v>
      </c>
      <c r="AD1405" t="n">
        <v>5</v>
      </c>
      <c r="AE1405" t="n">
        <v>15</v>
      </c>
      <c r="AF1405" t="n">
        <v>0</v>
      </c>
      <c r="AG1405" t="n">
        <v>4</v>
      </c>
      <c r="AH1405" t="n">
        <v>0</v>
      </c>
      <c r="AI1405" t="n">
        <v>3</v>
      </c>
      <c r="AJ1405" t="n">
        <v>5</v>
      </c>
      <c r="AK1405" t="n">
        <v>14</v>
      </c>
      <c r="AL1405" t="n">
        <v>0</v>
      </c>
      <c r="AM1405" t="n">
        <v>0</v>
      </c>
      <c r="AN1405" t="n">
        <v>0</v>
      </c>
      <c r="AO1405" t="n">
        <v>0</v>
      </c>
      <c r="AP1405" t="inlineStr">
        <is>
          <t>Yes</t>
        </is>
      </c>
      <c r="AQ1405" t="inlineStr">
        <is>
          <t>No</t>
        </is>
      </c>
      <c r="AR1405">
        <f>HYPERLINK("http://catalog.hathitrust.org/Record/100553354","HathiTrust Record")</f>
        <v/>
      </c>
      <c r="AS1405">
        <f>HYPERLINK("https://creighton-primo.hosted.exlibrisgroup.com/primo-explore/search?tab=default_tab&amp;search_scope=EVERYTHING&amp;vid=01CRU&amp;lang=en_US&amp;offset=0&amp;query=any,contains,991003106469702656","Catalog Record")</f>
        <v/>
      </c>
      <c r="AT1405">
        <f>HYPERLINK("http://www.worldcat.org/oclc/654376","WorldCat Record")</f>
        <v/>
      </c>
      <c r="AU1405" t="inlineStr">
        <is>
          <t>1613721:eng</t>
        </is>
      </c>
      <c r="AV1405" t="inlineStr">
        <is>
          <t>654376</t>
        </is>
      </c>
      <c r="AW1405" t="inlineStr">
        <is>
          <t>991003106469702656</t>
        </is>
      </c>
      <c r="AX1405" t="inlineStr">
        <is>
          <t>991003106469702656</t>
        </is>
      </c>
      <c r="AY1405" t="inlineStr">
        <is>
          <t>2262232200002656</t>
        </is>
      </c>
      <c r="AZ1405" t="inlineStr">
        <is>
          <t>BOOK</t>
        </is>
      </c>
      <c r="BC1405" t="inlineStr">
        <is>
          <t>32285000690098</t>
        </is>
      </c>
      <c r="BD1405" t="inlineStr">
        <is>
          <t>893329969</t>
        </is>
      </c>
    </row>
    <row r="1406">
      <c r="A1406" t="inlineStr">
        <is>
          <t>No</t>
        </is>
      </c>
      <c r="B1406" t="inlineStr">
        <is>
          <t>BT97 .L4213 1922</t>
        </is>
      </c>
      <c r="C1406" t="inlineStr">
        <is>
          <t>0                      BT 0097000L  4213        1922</t>
        </is>
      </c>
      <c r="D1406" t="inlineStr">
        <is>
          <t>Medical proof of the miraculous : a clinical study / by E. Le Bec ; translated from the French, by H. E. Izard ; with an introduction by Ernest E. Ware.</t>
        </is>
      </c>
      <c r="F1406" t="inlineStr">
        <is>
          <t>No</t>
        </is>
      </c>
      <c r="G1406" t="inlineStr">
        <is>
          <t>1</t>
        </is>
      </c>
      <c r="H1406" t="inlineStr">
        <is>
          <t>No</t>
        </is>
      </c>
      <c r="I1406" t="inlineStr">
        <is>
          <t>No</t>
        </is>
      </c>
      <c r="J1406" t="inlineStr">
        <is>
          <t>0</t>
        </is>
      </c>
      <c r="K1406" t="inlineStr">
        <is>
          <t>Le Bec, Edouard, 1851-</t>
        </is>
      </c>
      <c r="L1406" t="inlineStr">
        <is>
          <t>London : Harding &amp; More, The Ambrosden Press, 1922.</t>
        </is>
      </c>
      <c r="M1406" t="inlineStr">
        <is>
          <t>1922</t>
        </is>
      </c>
      <c r="O1406" t="inlineStr">
        <is>
          <t>eng</t>
        </is>
      </c>
      <c r="P1406" t="inlineStr">
        <is>
          <t>enk</t>
        </is>
      </c>
      <c r="R1406" t="inlineStr">
        <is>
          <t xml:space="preserve">BT </t>
        </is>
      </c>
      <c r="S1406" t="n">
        <v>3</v>
      </c>
      <c r="T1406" t="n">
        <v>3</v>
      </c>
      <c r="U1406" t="inlineStr">
        <is>
          <t>2000-02-24</t>
        </is>
      </c>
      <c r="V1406" t="inlineStr">
        <is>
          <t>2000-02-24</t>
        </is>
      </c>
      <c r="W1406" t="inlineStr">
        <is>
          <t>1991-06-27</t>
        </is>
      </c>
      <c r="X1406" t="inlineStr">
        <is>
          <t>1991-06-27</t>
        </is>
      </c>
      <c r="Y1406" t="n">
        <v>52</v>
      </c>
      <c r="Z1406" t="n">
        <v>33</v>
      </c>
      <c r="AA1406" t="n">
        <v>75</v>
      </c>
      <c r="AB1406" t="n">
        <v>1</v>
      </c>
      <c r="AC1406" t="n">
        <v>1</v>
      </c>
      <c r="AD1406" t="n">
        <v>7</v>
      </c>
      <c r="AE1406" t="n">
        <v>15</v>
      </c>
      <c r="AF1406" t="n">
        <v>2</v>
      </c>
      <c r="AG1406" t="n">
        <v>3</v>
      </c>
      <c r="AH1406" t="n">
        <v>1</v>
      </c>
      <c r="AI1406" t="n">
        <v>4</v>
      </c>
      <c r="AJ1406" t="n">
        <v>6</v>
      </c>
      <c r="AK1406" t="n">
        <v>13</v>
      </c>
      <c r="AL1406" t="n">
        <v>0</v>
      </c>
      <c r="AM1406" t="n">
        <v>0</v>
      </c>
      <c r="AN1406" t="n">
        <v>0</v>
      </c>
      <c r="AO1406" t="n">
        <v>0</v>
      </c>
      <c r="AP1406" t="inlineStr">
        <is>
          <t>Yes</t>
        </is>
      </c>
      <c r="AQ1406" t="inlineStr">
        <is>
          <t>No</t>
        </is>
      </c>
      <c r="AR1406">
        <f>HYPERLINK("http://catalog.hathitrust.org/Record/006219902","HathiTrust Record")</f>
        <v/>
      </c>
      <c r="AS1406">
        <f>HYPERLINK("https://creighton-primo.hosted.exlibrisgroup.com/primo-explore/search?tab=default_tab&amp;search_scope=EVERYTHING&amp;vid=01CRU&amp;lang=en_US&amp;offset=0&amp;query=any,contains,991005122629702656","Catalog Record")</f>
        <v/>
      </c>
      <c r="AT1406">
        <f>HYPERLINK("http://www.worldcat.org/oclc/7542936","WorldCat Record")</f>
        <v/>
      </c>
      <c r="AU1406" t="inlineStr">
        <is>
          <t>2931209:eng</t>
        </is>
      </c>
      <c r="AV1406" t="inlineStr">
        <is>
          <t>7542936</t>
        </is>
      </c>
      <c r="AW1406" t="inlineStr">
        <is>
          <t>991005122629702656</t>
        </is>
      </c>
      <c r="AX1406" t="inlineStr">
        <is>
          <t>991005122629702656</t>
        </is>
      </c>
      <c r="AY1406" t="inlineStr">
        <is>
          <t>2263173340002656</t>
        </is>
      </c>
      <c r="AZ1406" t="inlineStr">
        <is>
          <t>BOOK</t>
        </is>
      </c>
      <c r="BC1406" t="inlineStr">
        <is>
          <t>32285000690114</t>
        </is>
      </c>
      <c r="BD1406" t="inlineStr">
        <is>
          <t>893446577</t>
        </is>
      </c>
    </row>
    <row r="1407">
      <c r="A1407" t="inlineStr">
        <is>
          <t>No</t>
        </is>
      </c>
      <c r="B1407" t="inlineStr">
        <is>
          <t>BT97 .T63</t>
        </is>
      </c>
      <c r="C1407" t="inlineStr">
        <is>
          <t>0                      BT 0097000T  63</t>
        </is>
      </c>
      <c r="D1407" t="inlineStr">
        <is>
          <t>Miracles / by Joseph De Tonquedec. Translated by Frank M. Oppenheim, S.J.</t>
        </is>
      </c>
      <c r="F1407" t="inlineStr">
        <is>
          <t>No</t>
        </is>
      </c>
      <c r="G1407" t="inlineStr">
        <is>
          <t>1</t>
        </is>
      </c>
      <c r="H1407" t="inlineStr">
        <is>
          <t>No</t>
        </is>
      </c>
      <c r="I1407" t="inlineStr">
        <is>
          <t>No</t>
        </is>
      </c>
      <c r="J1407" t="inlineStr">
        <is>
          <t>0</t>
        </is>
      </c>
      <c r="K1407" t="inlineStr">
        <is>
          <t>Tonquédec, Joseph de, 1868-1962.</t>
        </is>
      </c>
      <c r="L1407" t="inlineStr">
        <is>
          <t>West Baden Springs, Ind. : West Baden College [c1955]</t>
        </is>
      </c>
      <c r="M1407" t="inlineStr">
        <is>
          <t>1955</t>
        </is>
      </c>
      <c r="O1407" t="inlineStr">
        <is>
          <t>eng</t>
        </is>
      </c>
      <c r="P1407" t="inlineStr">
        <is>
          <t>___</t>
        </is>
      </c>
      <c r="R1407" t="inlineStr">
        <is>
          <t xml:space="preserve">BT </t>
        </is>
      </c>
      <c r="S1407" t="n">
        <v>2</v>
      </c>
      <c r="T1407" t="n">
        <v>2</v>
      </c>
      <c r="U1407" t="inlineStr">
        <is>
          <t>2001-11-11</t>
        </is>
      </c>
      <c r="V1407" t="inlineStr">
        <is>
          <t>2001-11-11</t>
        </is>
      </c>
      <c r="W1407" t="inlineStr">
        <is>
          <t>1991-06-28</t>
        </is>
      </c>
      <c r="X1407" t="inlineStr">
        <is>
          <t>1991-06-28</t>
        </is>
      </c>
      <c r="Y1407" t="n">
        <v>104</v>
      </c>
      <c r="Z1407" t="n">
        <v>94</v>
      </c>
      <c r="AA1407" t="n">
        <v>95</v>
      </c>
      <c r="AB1407" t="n">
        <v>1</v>
      </c>
      <c r="AC1407" t="n">
        <v>1</v>
      </c>
      <c r="AD1407" t="n">
        <v>22</v>
      </c>
      <c r="AE1407" t="n">
        <v>22</v>
      </c>
      <c r="AF1407" t="n">
        <v>5</v>
      </c>
      <c r="AG1407" t="n">
        <v>5</v>
      </c>
      <c r="AH1407" t="n">
        <v>5</v>
      </c>
      <c r="AI1407" t="n">
        <v>5</v>
      </c>
      <c r="AJ1407" t="n">
        <v>17</v>
      </c>
      <c r="AK1407" t="n">
        <v>17</v>
      </c>
      <c r="AL1407" t="n">
        <v>0</v>
      </c>
      <c r="AM1407" t="n">
        <v>0</v>
      </c>
      <c r="AN1407" t="n">
        <v>0</v>
      </c>
      <c r="AO1407" t="n">
        <v>0</v>
      </c>
      <c r="AP1407" t="inlineStr">
        <is>
          <t>No</t>
        </is>
      </c>
      <c r="AQ1407" t="inlineStr">
        <is>
          <t>Yes</t>
        </is>
      </c>
      <c r="AR1407">
        <f>HYPERLINK("http://catalog.hathitrust.org/Record/102580648","HathiTrust Record")</f>
        <v/>
      </c>
      <c r="AS1407">
        <f>HYPERLINK("https://creighton-primo.hosted.exlibrisgroup.com/primo-explore/search?tab=default_tab&amp;search_scope=EVERYTHING&amp;vid=01CRU&amp;lang=en_US&amp;offset=0&amp;query=any,contains,991003106509702656","Catalog Record")</f>
        <v/>
      </c>
      <c r="AT1407">
        <f>HYPERLINK("http://www.worldcat.org/oclc/8063335","WorldCat Record")</f>
        <v/>
      </c>
      <c r="AU1407" t="inlineStr">
        <is>
          <t>30191538:eng</t>
        </is>
      </c>
      <c r="AV1407" t="inlineStr">
        <is>
          <t>8063335</t>
        </is>
      </c>
      <c r="AW1407" t="inlineStr">
        <is>
          <t>991003106509702656</t>
        </is>
      </c>
      <c r="AX1407" t="inlineStr">
        <is>
          <t>991003106509702656</t>
        </is>
      </c>
      <c r="AY1407" t="inlineStr">
        <is>
          <t>2262231550002656</t>
        </is>
      </c>
      <c r="AZ1407" t="inlineStr">
        <is>
          <t>BOOK</t>
        </is>
      </c>
      <c r="BC1407" t="inlineStr">
        <is>
          <t>32285000690148</t>
        </is>
      </c>
      <c r="BD1407" t="inlineStr">
        <is>
          <t>893246027</t>
        </is>
      </c>
    </row>
    <row r="1408">
      <c r="A1408" t="inlineStr">
        <is>
          <t>No</t>
        </is>
      </c>
      <c r="B1408" t="inlineStr">
        <is>
          <t>BT97.2 .M5813</t>
        </is>
      </c>
      <c r="C1408" t="inlineStr">
        <is>
          <t>0                      BT 0097200M  5813</t>
        </is>
      </c>
      <c r="D1408" t="inlineStr">
        <is>
          <t>Signs and wonders : a study of the miraculous element in religion / Louis Monden. Foreword by Avery Dulles.</t>
        </is>
      </c>
      <c r="F1408" t="inlineStr">
        <is>
          <t>No</t>
        </is>
      </c>
      <c r="G1408" t="inlineStr">
        <is>
          <t>1</t>
        </is>
      </c>
      <c r="H1408" t="inlineStr">
        <is>
          <t>No</t>
        </is>
      </c>
      <c r="I1408" t="inlineStr">
        <is>
          <t>No</t>
        </is>
      </c>
      <c r="J1408" t="inlineStr">
        <is>
          <t>0</t>
        </is>
      </c>
      <c r="K1408" t="inlineStr">
        <is>
          <t>Monden, Louis.</t>
        </is>
      </c>
      <c r="L1408" t="inlineStr">
        <is>
          <t>New York, Desclee Co. [1966]</t>
        </is>
      </c>
      <c r="M1408" t="inlineStr">
        <is>
          <t>1966</t>
        </is>
      </c>
      <c r="O1408" t="inlineStr">
        <is>
          <t>eng</t>
        </is>
      </c>
      <c r="P1408" t="inlineStr">
        <is>
          <t>nyu</t>
        </is>
      </c>
      <c r="R1408" t="inlineStr">
        <is>
          <t xml:space="preserve">BT </t>
        </is>
      </c>
      <c r="S1408" t="n">
        <v>8</v>
      </c>
      <c r="T1408" t="n">
        <v>8</v>
      </c>
      <c r="U1408" t="inlineStr">
        <is>
          <t>2000-11-08</t>
        </is>
      </c>
      <c r="V1408" t="inlineStr">
        <is>
          <t>2000-11-08</t>
        </is>
      </c>
      <c r="W1408" t="inlineStr">
        <is>
          <t>1991-06-28</t>
        </is>
      </c>
      <c r="X1408" t="inlineStr">
        <is>
          <t>1991-06-28</t>
        </is>
      </c>
      <c r="Y1408" t="n">
        <v>328</v>
      </c>
      <c r="Z1408" t="n">
        <v>276</v>
      </c>
      <c r="AA1408" t="n">
        <v>278</v>
      </c>
      <c r="AB1408" t="n">
        <v>2</v>
      </c>
      <c r="AC1408" t="n">
        <v>2</v>
      </c>
      <c r="AD1408" t="n">
        <v>35</v>
      </c>
      <c r="AE1408" t="n">
        <v>35</v>
      </c>
      <c r="AF1408" t="n">
        <v>14</v>
      </c>
      <c r="AG1408" t="n">
        <v>14</v>
      </c>
      <c r="AH1408" t="n">
        <v>8</v>
      </c>
      <c r="AI1408" t="n">
        <v>8</v>
      </c>
      <c r="AJ1408" t="n">
        <v>26</v>
      </c>
      <c r="AK1408" t="n">
        <v>26</v>
      </c>
      <c r="AL1408" t="n">
        <v>0</v>
      </c>
      <c r="AM1408" t="n">
        <v>0</v>
      </c>
      <c r="AN1408" t="n">
        <v>0</v>
      </c>
      <c r="AO1408" t="n">
        <v>0</v>
      </c>
      <c r="AP1408" t="inlineStr">
        <is>
          <t>No</t>
        </is>
      </c>
      <c r="AQ1408" t="inlineStr">
        <is>
          <t>Yes</t>
        </is>
      </c>
      <c r="AR1408">
        <f>HYPERLINK("http://catalog.hathitrust.org/Record/000009435","HathiTrust Record")</f>
        <v/>
      </c>
      <c r="AS1408">
        <f>HYPERLINK("https://creighton-primo.hosted.exlibrisgroup.com/primo-explore/search?tab=default_tab&amp;search_scope=EVERYTHING&amp;vid=01CRU&amp;lang=en_US&amp;offset=0&amp;query=any,contains,991003125449702656","Catalog Record")</f>
        <v/>
      </c>
      <c r="AT1408">
        <f>HYPERLINK("http://www.worldcat.org/oclc/669969","WorldCat Record")</f>
        <v/>
      </c>
      <c r="AU1408" t="inlineStr">
        <is>
          <t>1698978:eng</t>
        </is>
      </c>
      <c r="AV1408" t="inlineStr">
        <is>
          <t>669969</t>
        </is>
      </c>
      <c r="AW1408" t="inlineStr">
        <is>
          <t>991003125449702656</t>
        </is>
      </c>
      <c r="AX1408" t="inlineStr">
        <is>
          <t>991003125449702656</t>
        </is>
      </c>
      <c r="AY1408" t="inlineStr">
        <is>
          <t>2256149850002656</t>
        </is>
      </c>
      <c r="AZ1408" t="inlineStr">
        <is>
          <t>BOOK</t>
        </is>
      </c>
      <c r="BC1408" t="inlineStr">
        <is>
          <t>32285000690213</t>
        </is>
      </c>
      <c r="BD1408" t="inlineStr">
        <is>
          <t>893617030</t>
        </is>
      </c>
    </row>
    <row r="1409">
      <c r="A1409" t="inlineStr">
        <is>
          <t>No</t>
        </is>
      </c>
      <c r="B1409" t="inlineStr">
        <is>
          <t>BT97.2 .M85 1996</t>
        </is>
      </c>
      <c r="C1409" t="inlineStr">
        <is>
          <t>0                      BT 0097200M  85          1996</t>
        </is>
      </c>
      <c r="D1409" t="inlineStr">
        <is>
          <t>Miracles and the modern religious imagination / Robert Bruce Mullin.</t>
        </is>
      </c>
      <c r="F1409" t="inlineStr">
        <is>
          <t>No</t>
        </is>
      </c>
      <c r="G1409" t="inlineStr">
        <is>
          <t>1</t>
        </is>
      </c>
      <c r="H1409" t="inlineStr">
        <is>
          <t>No</t>
        </is>
      </c>
      <c r="I1409" t="inlineStr">
        <is>
          <t>No</t>
        </is>
      </c>
      <c r="J1409" t="inlineStr">
        <is>
          <t>0</t>
        </is>
      </c>
      <c r="K1409" t="inlineStr">
        <is>
          <t>Mullin, Robert Bruce.</t>
        </is>
      </c>
      <c r="L1409" t="inlineStr">
        <is>
          <t>New Haven : Yale University Press, c1996.</t>
        </is>
      </c>
      <c r="M1409" t="inlineStr">
        <is>
          <t>1996</t>
        </is>
      </c>
      <c r="O1409" t="inlineStr">
        <is>
          <t>eng</t>
        </is>
      </c>
      <c r="P1409" t="inlineStr">
        <is>
          <t>ctu</t>
        </is>
      </c>
      <c r="R1409" t="inlineStr">
        <is>
          <t xml:space="preserve">BT </t>
        </is>
      </c>
      <c r="S1409" t="n">
        <v>7</v>
      </c>
      <c r="T1409" t="n">
        <v>7</v>
      </c>
      <c r="U1409" t="inlineStr">
        <is>
          <t>2010-03-15</t>
        </is>
      </c>
      <c r="V1409" t="inlineStr">
        <is>
          <t>2010-03-15</t>
        </is>
      </c>
      <c r="W1409" t="inlineStr">
        <is>
          <t>1997-01-17</t>
        </is>
      </c>
      <c r="X1409" t="inlineStr">
        <is>
          <t>1997-01-17</t>
        </is>
      </c>
      <c r="Y1409" t="n">
        <v>500</v>
      </c>
      <c r="Z1409" t="n">
        <v>418</v>
      </c>
      <c r="AA1409" t="n">
        <v>418</v>
      </c>
      <c r="AB1409" t="n">
        <v>4</v>
      </c>
      <c r="AC1409" t="n">
        <v>4</v>
      </c>
      <c r="AD1409" t="n">
        <v>31</v>
      </c>
      <c r="AE1409" t="n">
        <v>31</v>
      </c>
      <c r="AF1409" t="n">
        <v>10</v>
      </c>
      <c r="AG1409" t="n">
        <v>10</v>
      </c>
      <c r="AH1409" t="n">
        <v>7</v>
      </c>
      <c r="AI1409" t="n">
        <v>7</v>
      </c>
      <c r="AJ1409" t="n">
        <v>19</v>
      </c>
      <c r="AK1409" t="n">
        <v>19</v>
      </c>
      <c r="AL1409" t="n">
        <v>3</v>
      </c>
      <c r="AM1409" t="n">
        <v>3</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HYPERLINK("https://creighton-primo.hosted.exlibrisgroup.com/primo-explore/search?tab=default_tab&amp;search_scope=EVERYTHING&amp;vid=01CRU&amp;lang=en_US&amp;offset=0&amp;query=any,contains,991002626109702656","Catalog Record")</f>
        <v/>
      </c>
      <c r="AT1409">
        <f>HYPERLINK("http://www.worldcat.org/oclc/34412836","WorldCat Record")</f>
        <v/>
      </c>
      <c r="AU1409" t="inlineStr">
        <is>
          <t>2590229:eng</t>
        </is>
      </c>
      <c r="AV1409" t="inlineStr">
        <is>
          <t>34412836</t>
        </is>
      </c>
      <c r="AW1409" t="inlineStr">
        <is>
          <t>991002626109702656</t>
        </is>
      </c>
      <c r="AX1409" t="inlineStr">
        <is>
          <t>991002626109702656</t>
        </is>
      </c>
      <c r="AY1409" t="inlineStr">
        <is>
          <t>2260605200002656</t>
        </is>
      </c>
      <c r="AZ1409" t="inlineStr">
        <is>
          <t>BOOK</t>
        </is>
      </c>
      <c r="BB1409" t="inlineStr">
        <is>
          <t>9780300066968</t>
        </is>
      </c>
      <c r="BC1409" t="inlineStr">
        <is>
          <t>32285002409117</t>
        </is>
      </c>
      <c r="BD1409" t="inlineStr">
        <is>
          <t>893427800</t>
        </is>
      </c>
    </row>
    <row r="1410">
      <c r="A1410" t="inlineStr">
        <is>
          <t>No</t>
        </is>
      </c>
      <c r="B1410" t="inlineStr">
        <is>
          <t>BT97.2 .W36 1982</t>
        </is>
      </c>
      <c r="C1410" t="inlineStr">
        <is>
          <t>0                      BT 0097200W  36          1982</t>
        </is>
      </c>
      <c r="D1410" t="inlineStr">
        <is>
          <t>Miracles and the medieval mind : theory, record, and event, 1000-1215 / Benedicta Ward.</t>
        </is>
      </c>
      <c r="F1410" t="inlineStr">
        <is>
          <t>No</t>
        </is>
      </c>
      <c r="G1410" t="inlineStr">
        <is>
          <t>1</t>
        </is>
      </c>
      <c r="H1410" t="inlineStr">
        <is>
          <t>No</t>
        </is>
      </c>
      <c r="I1410" t="inlineStr">
        <is>
          <t>No</t>
        </is>
      </c>
      <c r="J1410" t="inlineStr">
        <is>
          <t>0</t>
        </is>
      </c>
      <c r="K1410" t="inlineStr">
        <is>
          <t>Ward, Benedicta, 1933-</t>
        </is>
      </c>
      <c r="L1410" t="inlineStr">
        <is>
          <t>Philadelphia : University of Pennsylvania Press, 1982.</t>
        </is>
      </c>
      <c r="M1410" t="inlineStr">
        <is>
          <t>1982</t>
        </is>
      </c>
      <c r="O1410" t="inlineStr">
        <is>
          <t>eng</t>
        </is>
      </c>
      <c r="P1410" t="inlineStr">
        <is>
          <t>pau</t>
        </is>
      </c>
      <c r="Q1410" t="inlineStr">
        <is>
          <t>The Middle Ages</t>
        </is>
      </c>
      <c r="R1410" t="inlineStr">
        <is>
          <t xml:space="preserve">BT </t>
        </is>
      </c>
      <c r="S1410" t="n">
        <v>3</v>
      </c>
      <c r="T1410" t="n">
        <v>3</v>
      </c>
      <c r="U1410" t="inlineStr">
        <is>
          <t>2010-03-15</t>
        </is>
      </c>
      <c r="V1410" t="inlineStr">
        <is>
          <t>2010-03-15</t>
        </is>
      </c>
      <c r="W1410" t="inlineStr">
        <is>
          <t>1991-06-28</t>
        </is>
      </c>
      <c r="X1410" t="inlineStr">
        <is>
          <t>1991-06-28</t>
        </is>
      </c>
      <c r="Y1410" t="n">
        <v>599</v>
      </c>
      <c r="Z1410" t="n">
        <v>534</v>
      </c>
      <c r="AA1410" t="n">
        <v>842</v>
      </c>
      <c r="AB1410" t="n">
        <v>5</v>
      </c>
      <c r="AC1410" t="n">
        <v>7</v>
      </c>
      <c r="AD1410" t="n">
        <v>30</v>
      </c>
      <c r="AE1410" t="n">
        <v>45</v>
      </c>
      <c r="AF1410" t="n">
        <v>10</v>
      </c>
      <c r="AG1410" t="n">
        <v>19</v>
      </c>
      <c r="AH1410" t="n">
        <v>7</v>
      </c>
      <c r="AI1410" t="n">
        <v>10</v>
      </c>
      <c r="AJ1410" t="n">
        <v>16</v>
      </c>
      <c r="AK1410" t="n">
        <v>22</v>
      </c>
      <c r="AL1410" t="n">
        <v>3</v>
      </c>
      <c r="AM1410" t="n">
        <v>5</v>
      </c>
      <c r="AN1410" t="n">
        <v>0</v>
      </c>
      <c r="AO1410" t="n">
        <v>0</v>
      </c>
      <c r="AP1410" t="inlineStr">
        <is>
          <t>No</t>
        </is>
      </c>
      <c r="AQ1410" t="inlineStr">
        <is>
          <t>Yes</t>
        </is>
      </c>
      <c r="AR1410">
        <f>HYPERLINK("http://catalog.hathitrust.org/Record/000231230","HathiTrust Record")</f>
        <v/>
      </c>
      <c r="AS1410">
        <f>HYPERLINK("https://creighton-primo.hosted.exlibrisgroup.com/primo-explore/search?tab=default_tab&amp;search_scope=EVERYTHING&amp;vid=01CRU&amp;lang=en_US&amp;offset=0&amp;query=any,contains,991005205239702656","Catalog Record")</f>
        <v/>
      </c>
      <c r="AT1410">
        <f>HYPERLINK("http://www.worldcat.org/oclc/8113198","WorldCat Record")</f>
        <v/>
      </c>
      <c r="AU1410" t="inlineStr">
        <is>
          <t>836700914:eng</t>
        </is>
      </c>
      <c r="AV1410" t="inlineStr">
        <is>
          <t>8113198</t>
        </is>
      </c>
      <c r="AW1410" t="inlineStr">
        <is>
          <t>991005205239702656</t>
        </is>
      </c>
      <c r="AX1410" t="inlineStr">
        <is>
          <t>991005205239702656</t>
        </is>
      </c>
      <c r="AY1410" t="inlineStr">
        <is>
          <t>2256642650002656</t>
        </is>
      </c>
      <c r="AZ1410" t="inlineStr">
        <is>
          <t>BOOK</t>
        </is>
      </c>
      <c r="BB1410" t="inlineStr">
        <is>
          <t>9780812278361</t>
        </is>
      </c>
      <c r="BC1410" t="inlineStr">
        <is>
          <t>32285000690254</t>
        </is>
      </c>
      <c r="BD1410" t="inlineStr">
        <is>
          <t>893236473</t>
        </is>
      </c>
    </row>
    <row r="1411">
      <c r="A1411" t="inlineStr">
        <is>
          <t>No</t>
        </is>
      </c>
      <c r="B1411" t="inlineStr">
        <is>
          <t>BT972 .B613</t>
        </is>
      </c>
      <c r="C1411" t="inlineStr">
        <is>
          <t>0                      BT 0972000B  613</t>
        </is>
      </c>
      <c r="D1411" t="inlineStr">
        <is>
          <t>The communion of saints : a dogmatic inquiry into the sociology of the church / Dietrich Bonhoeffer.</t>
        </is>
      </c>
      <c r="F1411" t="inlineStr">
        <is>
          <t>No</t>
        </is>
      </c>
      <c r="G1411" t="inlineStr">
        <is>
          <t>1</t>
        </is>
      </c>
      <c r="H1411" t="inlineStr">
        <is>
          <t>No</t>
        </is>
      </c>
      <c r="I1411" t="inlineStr">
        <is>
          <t>No</t>
        </is>
      </c>
      <c r="J1411" t="inlineStr">
        <is>
          <t>0</t>
        </is>
      </c>
      <c r="K1411" t="inlineStr">
        <is>
          <t>Bonhoeffer, Dietrich, 1906-1945.</t>
        </is>
      </c>
      <c r="L1411" t="inlineStr">
        <is>
          <t>New York, Harper &amp; Row [c1963]</t>
        </is>
      </c>
      <c r="M1411" t="inlineStr">
        <is>
          <t>1963</t>
        </is>
      </c>
      <c r="O1411" t="inlineStr">
        <is>
          <t>eng</t>
        </is>
      </c>
      <c r="P1411" t="inlineStr">
        <is>
          <t>nyu</t>
        </is>
      </c>
      <c r="R1411" t="inlineStr">
        <is>
          <t xml:space="preserve">BT </t>
        </is>
      </c>
      <c r="S1411" t="n">
        <v>9</v>
      </c>
      <c r="T1411" t="n">
        <v>9</v>
      </c>
      <c r="U1411" t="inlineStr">
        <is>
          <t>2006-10-23</t>
        </is>
      </c>
      <c r="V1411" t="inlineStr">
        <is>
          <t>2006-10-23</t>
        </is>
      </c>
      <c r="W1411" t="inlineStr">
        <is>
          <t>1992-09-28</t>
        </is>
      </c>
      <c r="X1411" t="inlineStr">
        <is>
          <t>1992-09-28</t>
        </is>
      </c>
      <c r="Y1411" t="n">
        <v>684</v>
      </c>
      <c r="Z1411" t="n">
        <v>649</v>
      </c>
      <c r="AA1411" t="n">
        <v>657</v>
      </c>
      <c r="AB1411" t="n">
        <v>4</v>
      </c>
      <c r="AC1411" t="n">
        <v>4</v>
      </c>
      <c r="AD1411" t="n">
        <v>37</v>
      </c>
      <c r="AE1411" t="n">
        <v>37</v>
      </c>
      <c r="AF1411" t="n">
        <v>16</v>
      </c>
      <c r="AG1411" t="n">
        <v>16</v>
      </c>
      <c r="AH1411" t="n">
        <v>7</v>
      </c>
      <c r="AI1411" t="n">
        <v>7</v>
      </c>
      <c r="AJ1411" t="n">
        <v>19</v>
      </c>
      <c r="AK1411" t="n">
        <v>19</v>
      </c>
      <c r="AL1411" t="n">
        <v>3</v>
      </c>
      <c r="AM1411" t="n">
        <v>3</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HYPERLINK("https://creighton-primo.hosted.exlibrisgroup.com/primo-explore/search?tab=default_tab&amp;search_scope=EVERYTHING&amp;vid=01CRU&amp;lang=en_US&amp;offset=0&amp;query=any,contains,991002643849702656","Catalog Record")</f>
        <v/>
      </c>
      <c r="AT1411">
        <f>HYPERLINK("http://www.worldcat.org/oclc/385130","WorldCat Record")</f>
        <v/>
      </c>
      <c r="AU1411" t="inlineStr">
        <is>
          <t>4160994619:eng</t>
        </is>
      </c>
      <c r="AV1411" t="inlineStr">
        <is>
          <t>385130</t>
        </is>
      </c>
      <c r="AW1411" t="inlineStr">
        <is>
          <t>991002643849702656</t>
        </is>
      </c>
      <c r="AX1411" t="inlineStr">
        <is>
          <t>991002643849702656</t>
        </is>
      </c>
      <c r="AY1411" t="inlineStr">
        <is>
          <t>2258866490002656</t>
        </is>
      </c>
      <c r="AZ1411" t="inlineStr">
        <is>
          <t>BOOK</t>
        </is>
      </c>
      <c r="BC1411" t="inlineStr">
        <is>
          <t>32285001321305</t>
        </is>
      </c>
      <c r="BD1411" t="inlineStr">
        <is>
          <t>893227110</t>
        </is>
      </c>
    </row>
    <row r="1412">
      <c r="A1412" t="inlineStr">
        <is>
          <t>No</t>
        </is>
      </c>
      <c r="B1412" t="inlineStr">
        <is>
          <t>BT98 .A713</t>
        </is>
      </c>
      <c r="C1412" t="inlineStr">
        <is>
          <t>0                      BT 0098000A  713</t>
        </is>
      </c>
      <c r="D1412" t="inlineStr">
        <is>
          <t>The God of the beginnings / Robert Aron. Translated from the French by Frances Frenaye.</t>
        </is>
      </c>
      <c r="F1412" t="inlineStr">
        <is>
          <t>No</t>
        </is>
      </c>
      <c r="G1412" t="inlineStr">
        <is>
          <t>1</t>
        </is>
      </c>
      <c r="H1412" t="inlineStr">
        <is>
          <t>No</t>
        </is>
      </c>
      <c r="I1412" t="inlineStr">
        <is>
          <t>No</t>
        </is>
      </c>
      <c r="J1412" t="inlineStr">
        <is>
          <t>0</t>
        </is>
      </c>
      <c r="K1412" t="inlineStr">
        <is>
          <t>Aron, Robert, 1898-1975.</t>
        </is>
      </c>
      <c r="L1412" t="inlineStr">
        <is>
          <t>New York, W. Morrow 1966.</t>
        </is>
      </c>
      <c r="M1412" t="inlineStr">
        <is>
          <t>1966</t>
        </is>
      </c>
      <c r="O1412" t="inlineStr">
        <is>
          <t>eng</t>
        </is>
      </c>
      <c r="P1412" t="inlineStr">
        <is>
          <t>nyu</t>
        </is>
      </c>
      <c r="R1412" t="inlineStr">
        <is>
          <t xml:space="preserve">BT </t>
        </is>
      </c>
      <c r="S1412" t="n">
        <v>2</v>
      </c>
      <c r="T1412" t="n">
        <v>2</v>
      </c>
      <c r="U1412" t="inlineStr">
        <is>
          <t>2006-05-03</t>
        </is>
      </c>
      <c r="V1412" t="inlineStr">
        <is>
          <t>2006-05-03</t>
        </is>
      </c>
      <c r="W1412" t="inlineStr">
        <is>
          <t>1991-06-28</t>
        </is>
      </c>
      <c r="X1412" t="inlineStr">
        <is>
          <t>1991-06-28</t>
        </is>
      </c>
      <c r="Y1412" t="n">
        <v>394</v>
      </c>
      <c r="Z1412" t="n">
        <v>363</v>
      </c>
      <c r="AA1412" t="n">
        <v>401</v>
      </c>
      <c r="AB1412" t="n">
        <v>2</v>
      </c>
      <c r="AC1412" t="n">
        <v>2</v>
      </c>
      <c r="AD1412" t="n">
        <v>21</v>
      </c>
      <c r="AE1412" t="n">
        <v>24</v>
      </c>
      <c r="AF1412" t="n">
        <v>7</v>
      </c>
      <c r="AG1412" t="n">
        <v>8</v>
      </c>
      <c r="AH1412" t="n">
        <v>6</v>
      </c>
      <c r="AI1412" t="n">
        <v>6</v>
      </c>
      <c r="AJ1412" t="n">
        <v>14</v>
      </c>
      <c r="AK1412" t="n">
        <v>17</v>
      </c>
      <c r="AL1412" t="n">
        <v>1</v>
      </c>
      <c r="AM1412" t="n">
        <v>1</v>
      </c>
      <c r="AN1412" t="n">
        <v>0</v>
      </c>
      <c r="AO1412" t="n">
        <v>0</v>
      </c>
      <c r="AP1412" t="inlineStr">
        <is>
          <t>No</t>
        </is>
      </c>
      <c r="AQ1412" t="inlineStr">
        <is>
          <t>No</t>
        </is>
      </c>
      <c r="AS1412">
        <f>HYPERLINK("https://creighton-primo.hosted.exlibrisgroup.com/primo-explore/search?tab=default_tab&amp;search_scope=EVERYTHING&amp;vid=01CRU&amp;lang=en_US&amp;offset=0&amp;query=any,contains,991003678489702656","Catalog Record")</f>
        <v/>
      </c>
      <c r="AT1412">
        <f>HYPERLINK("http://www.worldcat.org/oclc/1301913","WorldCat Record")</f>
        <v/>
      </c>
      <c r="AU1412" t="inlineStr">
        <is>
          <t>8913585476:eng</t>
        </is>
      </c>
      <c r="AV1412" t="inlineStr">
        <is>
          <t>1301913</t>
        </is>
      </c>
      <c r="AW1412" t="inlineStr">
        <is>
          <t>991003678489702656</t>
        </is>
      </c>
      <c r="AX1412" t="inlineStr">
        <is>
          <t>991003678489702656</t>
        </is>
      </c>
      <c r="AY1412" t="inlineStr">
        <is>
          <t>2266506300002656</t>
        </is>
      </c>
      <c r="AZ1412" t="inlineStr">
        <is>
          <t>BOOK</t>
        </is>
      </c>
      <c r="BC1412" t="inlineStr">
        <is>
          <t>32285000690262</t>
        </is>
      </c>
      <c r="BD1412" t="inlineStr">
        <is>
          <t>893617599</t>
        </is>
      </c>
    </row>
    <row r="1413">
      <c r="A1413" t="inlineStr">
        <is>
          <t>No</t>
        </is>
      </c>
      <c r="B1413" t="inlineStr">
        <is>
          <t>BT98 .D87 1973</t>
        </is>
      </c>
      <c r="C1413" t="inlineStr">
        <is>
          <t>0                      BT 0098000D  87          1973</t>
        </is>
      </c>
      <c r="D1413" t="inlineStr">
        <is>
          <t>Theology and intelligibility; an examination of the proposition that God is the last end of rational creatures and the doctrine that God is three persons in one substance (the doctrine of the Holy Trinity) / by Michael Durrant.</t>
        </is>
      </c>
      <c r="F1413" t="inlineStr">
        <is>
          <t>No</t>
        </is>
      </c>
      <c r="G1413" t="inlineStr">
        <is>
          <t>1</t>
        </is>
      </c>
      <c r="H1413" t="inlineStr">
        <is>
          <t>No</t>
        </is>
      </c>
      <c r="I1413" t="inlineStr">
        <is>
          <t>No</t>
        </is>
      </c>
      <c r="J1413" t="inlineStr">
        <is>
          <t>0</t>
        </is>
      </c>
      <c r="K1413" t="inlineStr">
        <is>
          <t>Durrant, Michael.</t>
        </is>
      </c>
      <c r="L1413" t="inlineStr">
        <is>
          <t>London, Boston; Routledge &amp; K. Paul [1973]</t>
        </is>
      </c>
      <c r="M1413" t="inlineStr">
        <is>
          <t>1973</t>
        </is>
      </c>
      <c r="O1413" t="inlineStr">
        <is>
          <t>eng</t>
        </is>
      </c>
      <c r="P1413" t="inlineStr">
        <is>
          <t>enk</t>
        </is>
      </c>
      <c r="Q1413" t="inlineStr">
        <is>
          <t>Studies in ethics and the philosophy of religion</t>
        </is>
      </c>
      <c r="R1413" t="inlineStr">
        <is>
          <t xml:space="preserve">BT </t>
        </is>
      </c>
      <c r="S1413" t="n">
        <v>3</v>
      </c>
      <c r="T1413" t="n">
        <v>3</v>
      </c>
      <c r="U1413" t="inlineStr">
        <is>
          <t>1993-11-10</t>
        </is>
      </c>
      <c r="V1413" t="inlineStr">
        <is>
          <t>1993-11-10</t>
        </is>
      </c>
      <c r="W1413" t="inlineStr">
        <is>
          <t>1991-06-28</t>
        </is>
      </c>
      <c r="X1413" t="inlineStr">
        <is>
          <t>1991-06-28</t>
        </is>
      </c>
      <c r="Y1413" t="n">
        <v>430</v>
      </c>
      <c r="Z1413" t="n">
        <v>303</v>
      </c>
      <c r="AA1413" t="n">
        <v>309</v>
      </c>
      <c r="AB1413" t="n">
        <v>3</v>
      </c>
      <c r="AC1413" t="n">
        <v>3</v>
      </c>
      <c r="AD1413" t="n">
        <v>17</v>
      </c>
      <c r="AE1413" t="n">
        <v>17</v>
      </c>
      <c r="AF1413" t="n">
        <v>3</v>
      </c>
      <c r="AG1413" t="n">
        <v>3</v>
      </c>
      <c r="AH1413" t="n">
        <v>5</v>
      </c>
      <c r="AI1413" t="n">
        <v>5</v>
      </c>
      <c r="AJ1413" t="n">
        <v>12</v>
      </c>
      <c r="AK1413" t="n">
        <v>12</v>
      </c>
      <c r="AL1413" t="n">
        <v>1</v>
      </c>
      <c r="AM1413" t="n">
        <v>1</v>
      </c>
      <c r="AN1413" t="n">
        <v>0</v>
      </c>
      <c r="AO1413" t="n">
        <v>0</v>
      </c>
      <c r="AP1413" t="inlineStr">
        <is>
          <t>No</t>
        </is>
      </c>
      <c r="AQ1413" t="inlineStr">
        <is>
          <t>Yes</t>
        </is>
      </c>
      <c r="AR1413">
        <f>HYPERLINK("http://catalog.hathitrust.org/Record/001411839","HathiTrust Record")</f>
        <v/>
      </c>
      <c r="AS1413">
        <f>HYPERLINK("https://creighton-primo.hosted.exlibrisgroup.com/primo-explore/search?tab=default_tab&amp;search_scope=EVERYTHING&amp;vid=01CRU&amp;lang=en_US&amp;offset=0&amp;query=any,contains,991003126849702656","Catalog Record")</f>
        <v/>
      </c>
      <c r="AT1413">
        <f>HYPERLINK("http://www.worldcat.org/oclc/670798","WorldCat Record")</f>
        <v/>
      </c>
      <c r="AU1413" t="inlineStr">
        <is>
          <t>309387935:eng</t>
        </is>
      </c>
      <c r="AV1413" t="inlineStr">
        <is>
          <t>670798</t>
        </is>
      </c>
      <c r="AW1413" t="inlineStr">
        <is>
          <t>991003126849702656</t>
        </is>
      </c>
      <c r="AX1413" t="inlineStr">
        <is>
          <t>991003126849702656</t>
        </is>
      </c>
      <c r="AY1413" t="inlineStr">
        <is>
          <t>2267751360002656</t>
        </is>
      </c>
      <c r="AZ1413" t="inlineStr">
        <is>
          <t>BOOK</t>
        </is>
      </c>
      <c r="BB1413" t="inlineStr">
        <is>
          <t>9780710074881</t>
        </is>
      </c>
      <c r="BC1413" t="inlineStr">
        <is>
          <t>32285000690312</t>
        </is>
      </c>
      <c r="BD1413" t="inlineStr">
        <is>
          <t>893880840</t>
        </is>
      </c>
    </row>
    <row r="1414">
      <c r="A1414" t="inlineStr">
        <is>
          <t>No</t>
        </is>
      </c>
      <c r="B1414" t="inlineStr">
        <is>
          <t>BT98 .F6</t>
        </is>
      </c>
      <c r="C1414" t="inlineStr">
        <is>
          <t>0                      BT 0098000F  6</t>
        </is>
      </c>
      <c r="D1414" t="inlineStr">
        <is>
          <t>The theology of God, commentary / edited by Edmund J. Fortman.</t>
        </is>
      </c>
      <c r="F1414" t="inlineStr">
        <is>
          <t>No</t>
        </is>
      </c>
      <c r="G1414" t="inlineStr">
        <is>
          <t>1</t>
        </is>
      </c>
      <c r="H1414" t="inlineStr">
        <is>
          <t>No</t>
        </is>
      </c>
      <c r="I1414" t="inlineStr">
        <is>
          <t>No</t>
        </is>
      </c>
      <c r="J1414" t="inlineStr">
        <is>
          <t>0</t>
        </is>
      </c>
      <c r="K1414" t="inlineStr">
        <is>
          <t>Fortman, Edmund J., 1901-, compiler.</t>
        </is>
      </c>
      <c r="L1414" t="inlineStr">
        <is>
          <t>Milwaukee, Bruce Pub. Co. [1967, c1968]</t>
        </is>
      </c>
      <c r="M1414" t="inlineStr">
        <is>
          <t>1968</t>
        </is>
      </c>
      <c r="O1414" t="inlineStr">
        <is>
          <t>eng</t>
        </is>
      </c>
      <c r="P1414" t="inlineStr">
        <is>
          <t>___</t>
        </is>
      </c>
      <c r="Q1414" t="inlineStr">
        <is>
          <t>Contemporary college theology series. Historical theology section</t>
        </is>
      </c>
      <c r="R1414" t="inlineStr">
        <is>
          <t xml:space="preserve">BT </t>
        </is>
      </c>
      <c r="S1414" t="n">
        <v>4</v>
      </c>
      <c r="T1414" t="n">
        <v>4</v>
      </c>
      <c r="U1414" t="inlineStr">
        <is>
          <t>1995-11-27</t>
        </is>
      </c>
      <c r="V1414" t="inlineStr">
        <is>
          <t>1995-11-27</t>
        </is>
      </c>
      <c r="W1414" t="inlineStr">
        <is>
          <t>1991-06-28</t>
        </is>
      </c>
      <c r="X1414" t="inlineStr">
        <is>
          <t>1991-06-28</t>
        </is>
      </c>
      <c r="Y1414" t="n">
        <v>229</v>
      </c>
      <c r="Z1414" t="n">
        <v>194</v>
      </c>
      <c r="AA1414" t="n">
        <v>208</v>
      </c>
      <c r="AB1414" t="n">
        <v>1</v>
      </c>
      <c r="AC1414" t="n">
        <v>1</v>
      </c>
      <c r="AD1414" t="n">
        <v>23</v>
      </c>
      <c r="AE1414" t="n">
        <v>23</v>
      </c>
      <c r="AF1414" t="n">
        <v>6</v>
      </c>
      <c r="AG1414" t="n">
        <v>6</v>
      </c>
      <c r="AH1414" t="n">
        <v>5</v>
      </c>
      <c r="AI1414" t="n">
        <v>5</v>
      </c>
      <c r="AJ1414" t="n">
        <v>16</v>
      </c>
      <c r="AK1414" t="n">
        <v>16</v>
      </c>
      <c r="AL1414" t="n">
        <v>0</v>
      </c>
      <c r="AM1414" t="n">
        <v>0</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HYPERLINK("https://creighton-primo.hosted.exlibrisgroup.com/primo-explore/search?tab=default_tab&amp;search_scope=EVERYTHING&amp;vid=01CRU&amp;lang=en_US&amp;offset=0&amp;query=any,contains,991003663789702656","Catalog Record")</f>
        <v/>
      </c>
      <c r="AT1414">
        <f>HYPERLINK("http://www.worldcat.org/oclc/1276132","WorldCat Record")</f>
        <v/>
      </c>
      <c r="AU1414" t="inlineStr">
        <is>
          <t>148426950:eng</t>
        </is>
      </c>
      <c r="AV1414" t="inlineStr">
        <is>
          <t>1276132</t>
        </is>
      </c>
      <c r="AW1414" t="inlineStr">
        <is>
          <t>991003663789702656</t>
        </is>
      </c>
      <c r="AX1414" t="inlineStr">
        <is>
          <t>991003663789702656</t>
        </is>
      </c>
      <c r="AY1414" t="inlineStr">
        <is>
          <t>2259824500002656</t>
        </is>
      </c>
      <c r="AZ1414" t="inlineStr">
        <is>
          <t>BOOK</t>
        </is>
      </c>
      <c r="BC1414" t="inlineStr">
        <is>
          <t>32285000690338</t>
        </is>
      </c>
      <c r="BD1414" t="inlineStr">
        <is>
          <t>893875013</t>
        </is>
      </c>
    </row>
    <row r="1415">
      <c r="A1415" t="inlineStr">
        <is>
          <t>No</t>
        </is>
      </c>
      <c r="B1415" t="inlineStr">
        <is>
          <t>BT98 .M8</t>
        </is>
      </c>
      <c r="C1415" t="inlineStr">
        <is>
          <t>0                      BT 0098000M  8</t>
        </is>
      </c>
      <c r="D1415" t="inlineStr">
        <is>
          <t>The problem of God, yesterday and today.</t>
        </is>
      </c>
      <c r="F1415" t="inlineStr">
        <is>
          <t>No</t>
        </is>
      </c>
      <c r="G1415" t="inlineStr">
        <is>
          <t>1</t>
        </is>
      </c>
      <c r="H1415" t="inlineStr">
        <is>
          <t>No</t>
        </is>
      </c>
      <c r="I1415" t="inlineStr">
        <is>
          <t>No</t>
        </is>
      </c>
      <c r="J1415" t="inlineStr">
        <is>
          <t>0</t>
        </is>
      </c>
      <c r="K1415" t="inlineStr">
        <is>
          <t>Murray, John Courtney.</t>
        </is>
      </c>
      <c r="L1415" t="inlineStr">
        <is>
          <t>New Haven, Yale University Press, 1964.</t>
        </is>
      </c>
      <c r="M1415" t="inlineStr">
        <is>
          <t>1964</t>
        </is>
      </c>
      <c r="O1415" t="inlineStr">
        <is>
          <t>eng</t>
        </is>
      </c>
      <c r="P1415" t="inlineStr">
        <is>
          <t>ctu</t>
        </is>
      </c>
      <c r="Q1415" t="inlineStr">
        <is>
          <t>The St. Thomas More lectures, 1</t>
        </is>
      </c>
      <c r="R1415" t="inlineStr">
        <is>
          <t xml:space="preserve">BT </t>
        </is>
      </c>
      <c r="S1415" t="n">
        <v>2</v>
      </c>
      <c r="T1415" t="n">
        <v>2</v>
      </c>
      <c r="U1415" t="inlineStr">
        <is>
          <t>2009-05-27</t>
        </is>
      </c>
      <c r="V1415" t="inlineStr">
        <is>
          <t>2009-05-27</t>
        </is>
      </c>
      <c r="W1415" t="inlineStr">
        <is>
          <t>1991-08-20</t>
        </is>
      </c>
      <c r="X1415" t="inlineStr">
        <is>
          <t>1991-08-20</t>
        </is>
      </c>
      <c r="Y1415" t="n">
        <v>1286</v>
      </c>
      <c r="Z1415" t="n">
        <v>1156</v>
      </c>
      <c r="AA1415" t="n">
        <v>1270</v>
      </c>
      <c r="AB1415" t="n">
        <v>10</v>
      </c>
      <c r="AC1415" t="n">
        <v>10</v>
      </c>
      <c r="AD1415" t="n">
        <v>50</v>
      </c>
      <c r="AE1415" t="n">
        <v>54</v>
      </c>
      <c r="AF1415" t="n">
        <v>20</v>
      </c>
      <c r="AG1415" t="n">
        <v>23</v>
      </c>
      <c r="AH1415" t="n">
        <v>9</v>
      </c>
      <c r="AI1415" t="n">
        <v>11</v>
      </c>
      <c r="AJ1415" t="n">
        <v>26</v>
      </c>
      <c r="AK1415" t="n">
        <v>27</v>
      </c>
      <c r="AL1415" t="n">
        <v>6</v>
      </c>
      <c r="AM1415" t="n">
        <v>6</v>
      </c>
      <c r="AN1415" t="n">
        <v>1</v>
      </c>
      <c r="AO1415" t="n">
        <v>1</v>
      </c>
      <c r="AP1415" t="inlineStr">
        <is>
          <t>No</t>
        </is>
      </c>
      <c r="AQ1415" t="inlineStr">
        <is>
          <t>Yes</t>
        </is>
      </c>
      <c r="AR1415">
        <f>HYPERLINK("http://catalog.hathitrust.org/Record/001411846","HathiTrust Record")</f>
        <v/>
      </c>
      <c r="AS1415">
        <f>HYPERLINK("https://creighton-primo.hosted.exlibrisgroup.com/primo-explore/search?tab=default_tab&amp;search_scope=EVERYTHING&amp;vid=01CRU&amp;lang=en_US&amp;offset=0&amp;query=any,contains,991002648369702656","Catalog Record")</f>
        <v/>
      </c>
      <c r="AT1415">
        <f>HYPERLINK("http://www.worldcat.org/oclc/386396","WorldCat Record")</f>
        <v/>
      </c>
      <c r="AU1415" t="inlineStr">
        <is>
          <t>1511349:eng</t>
        </is>
      </c>
      <c r="AV1415" t="inlineStr">
        <is>
          <t>386396</t>
        </is>
      </c>
      <c r="AW1415" t="inlineStr">
        <is>
          <t>991002648369702656</t>
        </is>
      </c>
      <c r="AX1415" t="inlineStr">
        <is>
          <t>991002648369702656</t>
        </is>
      </c>
      <c r="AY1415" t="inlineStr">
        <is>
          <t>2259423310002656</t>
        </is>
      </c>
      <c r="AZ1415" t="inlineStr">
        <is>
          <t>BOOK</t>
        </is>
      </c>
      <c r="BC1415" t="inlineStr">
        <is>
          <t>32285000690379</t>
        </is>
      </c>
      <c r="BD1415" t="inlineStr">
        <is>
          <t>893440347</t>
        </is>
      </c>
    </row>
    <row r="1416">
      <c r="A1416" t="inlineStr">
        <is>
          <t>No</t>
        </is>
      </c>
      <c r="B1416" t="inlineStr">
        <is>
          <t>BT98 .N45 1991</t>
        </is>
      </c>
      <c r="C1416" t="inlineStr">
        <is>
          <t>0                      BT 0098000N  45          1991</t>
        </is>
      </c>
      <c r="D1416" t="inlineStr">
        <is>
          <t>A grammar of consent : the existence of God in Christian tradition / Aidan Nichols.</t>
        </is>
      </c>
      <c r="F1416" t="inlineStr">
        <is>
          <t>No</t>
        </is>
      </c>
      <c r="G1416" t="inlineStr">
        <is>
          <t>1</t>
        </is>
      </c>
      <c r="H1416" t="inlineStr">
        <is>
          <t>No</t>
        </is>
      </c>
      <c r="I1416" t="inlineStr">
        <is>
          <t>No</t>
        </is>
      </c>
      <c r="J1416" t="inlineStr">
        <is>
          <t>0</t>
        </is>
      </c>
      <c r="K1416" t="inlineStr">
        <is>
          <t>Nichols, Aidan.</t>
        </is>
      </c>
      <c r="L1416" t="inlineStr">
        <is>
          <t>Notre Dame : University of Notre Dame Press, c1991.</t>
        </is>
      </c>
      <c r="M1416" t="inlineStr">
        <is>
          <t>1991</t>
        </is>
      </c>
      <c r="O1416" t="inlineStr">
        <is>
          <t>eng</t>
        </is>
      </c>
      <c r="P1416" t="inlineStr">
        <is>
          <t>inu</t>
        </is>
      </c>
      <c r="Q1416" t="inlineStr">
        <is>
          <t>Library of religious philosophy ; v. 6</t>
        </is>
      </c>
      <c r="R1416" t="inlineStr">
        <is>
          <t xml:space="preserve">BT </t>
        </is>
      </c>
      <c r="S1416" t="n">
        <v>3</v>
      </c>
      <c r="T1416" t="n">
        <v>3</v>
      </c>
      <c r="U1416" t="inlineStr">
        <is>
          <t>1995-09-26</t>
        </is>
      </c>
      <c r="V1416" t="inlineStr">
        <is>
          <t>1995-09-26</t>
        </is>
      </c>
      <c r="W1416" t="inlineStr">
        <is>
          <t>1992-01-07</t>
        </is>
      </c>
      <c r="X1416" t="inlineStr">
        <is>
          <t>1992-01-07</t>
        </is>
      </c>
      <c r="Y1416" t="n">
        <v>313</v>
      </c>
      <c r="Z1416" t="n">
        <v>266</v>
      </c>
      <c r="AA1416" t="n">
        <v>528</v>
      </c>
      <c r="AB1416" t="n">
        <v>3</v>
      </c>
      <c r="AC1416" t="n">
        <v>3</v>
      </c>
      <c r="AD1416" t="n">
        <v>29</v>
      </c>
      <c r="AE1416" t="n">
        <v>30</v>
      </c>
      <c r="AF1416" t="n">
        <v>9</v>
      </c>
      <c r="AG1416" t="n">
        <v>10</v>
      </c>
      <c r="AH1416" t="n">
        <v>9</v>
      </c>
      <c r="AI1416" t="n">
        <v>9</v>
      </c>
      <c r="AJ1416" t="n">
        <v>20</v>
      </c>
      <c r="AK1416" t="n">
        <v>20</v>
      </c>
      <c r="AL1416" t="n">
        <v>2</v>
      </c>
      <c r="AM1416" t="n">
        <v>2</v>
      </c>
      <c r="AN1416" t="n">
        <v>0</v>
      </c>
      <c r="AO1416" t="n">
        <v>0</v>
      </c>
      <c r="AP1416" t="inlineStr">
        <is>
          <t>No</t>
        </is>
      </c>
      <c r="AQ1416" t="inlineStr">
        <is>
          <t>Yes</t>
        </is>
      </c>
      <c r="AR1416">
        <f>HYPERLINK("http://catalog.hathitrust.org/Record/002952050","HathiTrust Record")</f>
        <v/>
      </c>
      <c r="AS1416">
        <f>HYPERLINK("https://creighton-primo.hosted.exlibrisgroup.com/primo-explore/search?tab=default_tab&amp;search_scope=EVERYTHING&amp;vid=01CRU&amp;lang=en_US&amp;offset=0&amp;query=any,contains,991001827899702656","Catalog Record")</f>
        <v/>
      </c>
      <c r="AT1416">
        <f>HYPERLINK("http://www.worldcat.org/oclc/22956829","WorldCat Record")</f>
        <v/>
      </c>
      <c r="AU1416" t="inlineStr">
        <is>
          <t>995036:eng</t>
        </is>
      </c>
      <c r="AV1416" t="inlineStr">
        <is>
          <t>22956829</t>
        </is>
      </c>
      <c r="AW1416" t="inlineStr">
        <is>
          <t>991001827899702656</t>
        </is>
      </c>
      <c r="AX1416" t="inlineStr">
        <is>
          <t>991001827899702656</t>
        </is>
      </c>
      <c r="AY1416" t="inlineStr">
        <is>
          <t>2260668120002656</t>
        </is>
      </c>
      <c r="AZ1416" t="inlineStr">
        <is>
          <t>BOOK</t>
        </is>
      </c>
      <c r="BB1416" t="inlineStr">
        <is>
          <t>9780268010263</t>
        </is>
      </c>
      <c r="BC1416" t="inlineStr">
        <is>
          <t>32285000863240</t>
        </is>
      </c>
      <c r="BD1416" t="inlineStr">
        <is>
          <t>893898092</t>
        </is>
      </c>
    </row>
    <row r="1417">
      <c r="A1417" t="inlineStr">
        <is>
          <t>No</t>
        </is>
      </c>
      <c r="B1417" t="inlineStr">
        <is>
          <t>BT980 .S28 1951</t>
        </is>
      </c>
      <c r="C1417" t="inlineStr">
        <is>
          <t>0                      BT 0980000S  28          1951</t>
        </is>
      </c>
      <c r="D1417" t="inlineStr">
        <is>
          <t>Satan.</t>
        </is>
      </c>
      <c r="F1417" t="inlineStr">
        <is>
          <t>No</t>
        </is>
      </c>
      <c r="G1417" t="inlineStr">
        <is>
          <t>1</t>
        </is>
      </c>
      <c r="H1417" t="inlineStr">
        <is>
          <t>No</t>
        </is>
      </c>
      <c r="I1417" t="inlineStr">
        <is>
          <t>No</t>
        </is>
      </c>
      <c r="J1417" t="inlineStr">
        <is>
          <t>0</t>
        </is>
      </c>
      <c r="L1417" t="inlineStr">
        <is>
          <t>London ; New York : Sheed and Ward, 1951, t.p. 1952.</t>
        </is>
      </c>
      <c r="M1417" t="inlineStr">
        <is>
          <t>1951</t>
        </is>
      </c>
      <c r="O1417" t="inlineStr">
        <is>
          <t>eng</t>
        </is>
      </c>
      <c r="P1417" t="inlineStr">
        <is>
          <t>enk</t>
        </is>
      </c>
      <c r="R1417" t="inlineStr">
        <is>
          <t xml:space="preserve">BT </t>
        </is>
      </c>
      <c r="S1417" t="n">
        <v>7</v>
      </c>
      <c r="T1417" t="n">
        <v>7</v>
      </c>
      <c r="U1417" t="inlineStr">
        <is>
          <t>1993-09-21</t>
        </is>
      </c>
      <c r="V1417" t="inlineStr">
        <is>
          <t>1993-09-21</t>
        </is>
      </c>
      <c r="W1417" t="inlineStr">
        <is>
          <t>1990-02-14</t>
        </is>
      </c>
      <c r="X1417" t="inlineStr">
        <is>
          <t>1990-02-14</t>
        </is>
      </c>
      <c r="Y1417" t="n">
        <v>134</v>
      </c>
      <c r="Z1417" t="n">
        <v>87</v>
      </c>
      <c r="AA1417" t="n">
        <v>339</v>
      </c>
      <c r="AB1417" t="n">
        <v>1</v>
      </c>
      <c r="AC1417" t="n">
        <v>4</v>
      </c>
      <c r="AD1417" t="n">
        <v>11</v>
      </c>
      <c r="AE1417" t="n">
        <v>39</v>
      </c>
      <c r="AF1417" t="n">
        <v>5</v>
      </c>
      <c r="AG1417" t="n">
        <v>15</v>
      </c>
      <c r="AH1417" t="n">
        <v>4</v>
      </c>
      <c r="AI1417" t="n">
        <v>8</v>
      </c>
      <c r="AJ1417" t="n">
        <v>6</v>
      </c>
      <c r="AK1417" t="n">
        <v>24</v>
      </c>
      <c r="AL1417" t="n">
        <v>0</v>
      </c>
      <c r="AM1417" t="n">
        <v>2</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HYPERLINK("https://creighton-primo.hosted.exlibrisgroup.com/primo-explore/search?tab=default_tab&amp;search_scope=EVERYTHING&amp;vid=01CRU&amp;lang=en_US&amp;offset=0&amp;query=any,contains,991004635859702656","Catalog Record")</f>
        <v/>
      </c>
      <c r="AT1417">
        <f>HYPERLINK("http://www.worldcat.org/oclc/4410709","WorldCat Record")</f>
        <v/>
      </c>
      <c r="AU1417" t="inlineStr">
        <is>
          <t>2999298341:eng</t>
        </is>
      </c>
      <c r="AV1417" t="inlineStr">
        <is>
          <t>4410709</t>
        </is>
      </c>
      <c r="AW1417" t="inlineStr">
        <is>
          <t>991004635859702656</t>
        </is>
      </c>
      <c r="AX1417" t="inlineStr">
        <is>
          <t>991004635859702656</t>
        </is>
      </c>
      <c r="AY1417" t="inlineStr">
        <is>
          <t>2269778790002656</t>
        </is>
      </c>
      <c r="AZ1417" t="inlineStr">
        <is>
          <t>BOOK</t>
        </is>
      </c>
      <c r="BC1417" t="inlineStr">
        <is>
          <t>32285000052331</t>
        </is>
      </c>
      <c r="BD1417" t="inlineStr">
        <is>
          <t>893600060</t>
        </is>
      </c>
    </row>
    <row r="1418">
      <c r="A1418" t="inlineStr">
        <is>
          <t>No</t>
        </is>
      </c>
      <c r="B1418" t="inlineStr">
        <is>
          <t>BT980 .W2 1974</t>
        </is>
      </c>
      <c r="C1418" t="inlineStr">
        <is>
          <t>0                      BT 0980000W  2           1974</t>
        </is>
      </c>
      <c r="D1418" t="inlineStr">
        <is>
          <t>Devils / by J. Charles Wall.</t>
        </is>
      </c>
      <c r="F1418" t="inlineStr">
        <is>
          <t>No</t>
        </is>
      </c>
      <c r="G1418" t="inlineStr">
        <is>
          <t>1</t>
        </is>
      </c>
      <c r="H1418" t="inlineStr">
        <is>
          <t>No</t>
        </is>
      </c>
      <c r="I1418" t="inlineStr">
        <is>
          <t>No</t>
        </is>
      </c>
      <c r="J1418" t="inlineStr">
        <is>
          <t>0</t>
        </is>
      </c>
      <c r="K1418" t="inlineStr">
        <is>
          <t>Wall, J. Charles (James Charles)</t>
        </is>
      </c>
      <c r="L1418" t="inlineStr">
        <is>
          <t>[Wakefield, Eng.] EP Pub.; [Totowa, N.J.] Rowman &amp; Littlefield, 1974.</t>
        </is>
      </c>
      <c r="M1418" t="inlineStr">
        <is>
          <t>1974</t>
        </is>
      </c>
      <c r="O1418" t="inlineStr">
        <is>
          <t>eng</t>
        </is>
      </c>
      <c r="P1418" t="inlineStr">
        <is>
          <t>enk</t>
        </is>
      </c>
      <c r="R1418" t="inlineStr">
        <is>
          <t xml:space="preserve">BT </t>
        </is>
      </c>
      <c r="S1418" t="n">
        <v>6</v>
      </c>
      <c r="T1418" t="n">
        <v>6</v>
      </c>
      <c r="U1418" t="inlineStr">
        <is>
          <t>1994-03-14</t>
        </is>
      </c>
      <c r="V1418" t="inlineStr">
        <is>
          <t>1994-03-14</t>
        </is>
      </c>
      <c r="W1418" t="inlineStr">
        <is>
          <t>1991-10-25</t>
        </is>
      </c>
      <c r="X1418" t="inlineStr">
        <is>
          <t>1991-10-25</t>
        </is>
      </c>
      <c r="Y1418" t="n">
        <v>92</v>
      </c>
      <c r="Z1418" t="n">
        <v>74</v>
      </c>
      <c r="AA1418" t="n">
        <v>421</v>
      </c>
      <c r="AB1418" t="n">
        <v>1</v>
      </c>
      <c r="AC1418" t="n">
        <v>4</v>
      </c>
      <c r="AD1418" t="n">
        <v>2</v>
      </c>
      <c r="AE1418" t="n">
        <v>11</v>
      </c>
      <c r="AF1418" t="n">
        <v>1</v>
      </c>
      <c r="AG1418" t="n">
        <v>5</v>
      </c>
      <c r="AH1418" t="n">
        <v>0</v>
      </c>
      <c r="AI1418" t="n">
        <v>0</v>
      </c>
      <c r="AJ1418" t="n">
        <v>2</v>
      </c>
      <c r="AK1418" t="n">
        <v>7</v>
      </c>
      <c r="AL1418" t="n">
        <v>0</v>
      </c>
      <c r="AM1418" t="n">
        <v>2</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HYPERLINK("https://creighton-primo.hosted.exlibrisgroup.com/primo-explore/search?tab=default_tab&amp;search_scope=EVERYTHING&amp;vid=01CRU&amp;lang=en_US&amp;offset=0&amp;query=any,contains,991004378299702656","Catalog Record")</f>
        <v/>
      </c>
      <c r="AT1418">
        <f>HYPERLINK("http://www.worldcat.org/oclc/3207499","WorldCat Record")</f>
        <v/>
      </c>
      <c r="AU1418" t="inlineStr">
        <is>
          <t>1128986:eng</t>
        </is>
      </c>
      <c r="AV1418" t="inlineStr">
        <is>
          <t>3207499</t>
        </is>
      </c>
      <c r="AW1418" t="inlineStr">
        <is>
          <t>991004378299702656</t>
        </is>
      </c>
      <c r="AX1418" t="inlineStr">
        <is>
          <t>991004378299702656</t>
        </is>
      </c>
      <c r="AY1418" t="inlineStr">
        <is>
          <t>2271988270002656</t>
        </is>
      </c>
      <c r="AZ1418" t="inlineStr">
        <is>
          <t>BOOK</t>
        </is>
      </c>
      <c r="BB1418" t="inlineStr">
        <is>
          <t>9780874714647</t>
        </is>
      </c>
      <c r="BC1418" t="inlineStr">
        <is>
          <t>32285000807833</t>
        </is>
      </c>
      <c r="BD1418" t="inlineStr">
        <is>
          <t>893229290</t>
        </is>
      </c>
    </row>
    <row r="1419">
      <c r="A1419" t="inlineStr">
        <is>
          <t>No</t>
        </is>
      </c>
      <c r="B1419" t="inlineStr">
        <is>
          <t>BT981 .A57 1974</t>
        </is>
      </c>
      <c r="C1419" t="inlineStr">
        <is>
          <t>0                      BT 0981000A  57          1974</t>
        </is>
      </c>
      <c r="D1419" t="inlineStr">
        <is>
          <t>The reality of the devil : evil in man / Ruth Nanda Anshen.</t>
        </is>
      </c>
      <c r="F1419" t="inlineStr">
        <is>
          <t>No</t>
        </is>
      </c>
      <c r="G1419" t="inlineStr">
        <is>
          <t>1</t>
        </is>
      </c>
      <c r="H1419" t="inlineStr">
        <is>
          <t>No</t>
        </is>
      </c>
      <c r="I1419" t="inlineStr">
        <is>
          <t>No</t>
        </is>
      </c>
      <c r="J1419" t="inlineStr">
        <is>
          <t>0</t>
        </is>
      </c>
      <c r="K1419" t="inlineStr">
        <is>
          <t>Anshen, Ruth Nanda.</t>
        </is>
      </c>
      <c r="L1419" t="inlineStr">
        <is>
          <t>New York : Dell Pub. Co., 1974, c1972.</t>
        </is>
      </c>
      <c r="M1419" t="inlineStr">
        <is>
          <t>1974</t>
        </is>
      </c>
      <c r="O1419" t="inlineStr">
        <is>
          <t>eng</t>
        </is>
      </c>
      <c r="P1419" t="inlineStr">
        <is>
          <t xml:space="preserve">xx </t>
        </is>
      </c>
      <c r="R1419" t="inlineStr">
        <is>
          <t xml:space="preserve">BT </t>
        </is>
      </c>
      <c r="S1419" t="n">
        <v>9</v>
      </c>
      <c r="T1419" t="n">
        <v>9</v>
      </c>
      <c r="U1419" t="inlineStr">
        <is>
          <t>2009-03-03</t>
        </is>
      </c>
      <c r="V1419" t="inlineStr">
        <is>
          <t>2009-03-03</t>
        </is>
      </c>
      <c r="W1419" t="inlineStr">
        <is>
          <t>1995-06-30</t>
        </is>
      </c>
      <c r="X1419" t="inlineStr">
        <is>
          <t>1995-06-30</t>
        </is>
      </c>
      <c r="Y1419" t="n">
        <v>37</v>
      </c>
      <c r="Z1419" t="n">
        <v>34</v>
      </c>
      <c r="AA1419" t="n">
        <v>444</v>
      </c>
      <c r="AB1419" t="n">
        <v>1</v>
      </c>
      <c r="AC1419" t="n">
        <v>3</v>
      </c>
      <c r="AD1419" t="n">
        <v>2</v>
      </c>
      <c r="AE1419" t="n">
        <v>24</v>
      </c>
      <c r="AF1419" t="n">
        <v>0</v>
      </c>
      <c r="AG1419" t="n">
        <v>9</v>
      </c>
      <c r="AH1419" t="n">
        <v>1</v>
      </c>
      <c r="AI1419" t="n">
        <v>6</v>
      </c>
      <c r="AJ1419" t="n">
        <v>1</v>
      </c>
      <c r="AK1419" t="n">
        <v>16</v>
      </c>
      <c r="AL1419" t="n">
        <v>0</v>
      </c>
      <c r="AM1419" t="n">
        <v>1</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HYPERLINK("https://creighton-primo.hosted.exlibrisgroup.com/primo-explore/search?tab=default_tab&amp;search_scope=EVERYTHING&amp;vid=01CRU&amp;lang=en_US&amp;offset=0&amp;query=any,contains,991003861779702656","Catalog Record")</f>
        <v/>
      </c>
      <c r="AT1419">
        <f>HYPERLINK("http://www.worldcat.org/oclc/1667991","WorldCat Record")</f>
        <v/>
      </c>
      <c r="AU1419" t="inlineStr">
        <is>
          <t>1460468:eng</t>
        </is>
      </c>
      <c r="AV1419" t="inlineStr">
        <is>
          <t>1667991</t>
        </is>
      </c>
      <c r="AW1419" t="inlineStr">
        <is>
          <t>991003861779702656</t>
        </is>
      </c>
      <c r="AX1419" t="inlineStr">
        <is>
          <t>991003861779702656</t>
        </is>
      </c>
      <c r="AY1419" t="inlineStr">
        <is>
          <t>2272019760002656</t>
        </is>
      </c>
      <c r="AZ1419" t="inlineStr">
        <is>
          <t>BOOK</t>
        </is>
      </c>
      <c r="BC1419" t="inlineStr">
        <is>
          <t>32285002021706</t>
        </is>
      </c>
      <c r="BD1419" t="inlineStr">
        <is>
          <t>893894255</t>
        </is>
      </c>
    </row>
    <row r="1420">
      <c r="A1420" t="inlineStr">
        <is>
          <t>No</t>
        </is>
      </c>
      <c r="B1420" t="inlineStr">
        <is>
          <t>BT981 .N669 1998</t>
        </is>
      </c>
      <c r="C1420" t="inlineStr">
        <is>
          <t>0                      BT 0981000N  669         1998</t>
        </is>
      </c>
      <c r="D1420" t="inlineStr">
        <is>
          <t>Satan the prodigal son? a family problem in the Bible / Kirsten Nielsen.</t>
        </is>
      </c>
      <c r="F1420" t="inlineStr">
        <is>
          <t>No</t>
        </is>
      </c>
      <c r="G1420" t="inlineStr">
        <is>
          <t>1</t>
        </is>
      </c>
      <c r="H1420" t="inlineStr">
        <is>
          <t>No</t>
        </is>
      </c>
      <c r="I1420" t="inlineStr">
        <is>
          <t>No</t>
        </is>
      </c>
      <c r="J1420" t="inlineStr">
        <is>
          <t>0</t>
        </is>
      </c>
      <c r="K1420" t="inlineStr">
        <is>
          <t>Nielsen, Kirsten.</t>
        </is>
      </c>
      <c r="L1420" t="inlineStr">
        <is>
          <t>Sheffield : Sheffield Academic Press, 1998.</t>
        </is>
      </c>
      <c r="M1420" t="inlineStr">
        <is>
          <t>1998</t>
        </is>
      </c>
      <c r="O1420" t="inlineStr">
        <is>
          <t>eng</t>
        </is>
      </c>
      <c r="P1420" t="inlineStr">
        <is>
          <t>enk</t>
        </is>
      </c>
      <c r="Q1420" t="inlineStr">
        <is>
          <t>Biblical seminar ; 50</t>
        </is>
      </c>
      <c r="R1420" t="inlineStr">
        <is>
          <t xml:space="preserve">BT </t>
        </is>
      </c>
      <c r="S1420" t="n">
        <v>2</v>
      </c>
      <c r="T1420" t="n">
        <v>2</v>
      </c>
      <c r="U1420" t="inlineStr">
        <is>
          <t>2001-11-13</t>
        </is>
      </c>
      <c r="V1420" t="inlineStr">
        <is>
          <t>2001-11-13</t>
        </is>
      </c>
      <c r="W1420" t="inlineStr">
        <is>
          <t>2001-01-04</t>
        </is>
      </c>
      <c r="X1420" t="inlineStr">
        <is>
          <t>2001-01-04</t>
        </is>
      </c>
      <c r="Y1420" t="n">
        <v>160</v>
      </c>
      <c r="Z1420" t="n">
        <v>105</v>
      </c>
      <c r="AA1420" t="n">
        <v>107</v>
      </c>
      <c r="AB1420" t="n">
        <v>1</v>
      </c>
      <c r="AC1420" t="n">
        <v>1</v>
      </c>
      <c r="AD1420" t="n">
        <v>10</v>
      </c>
      <c r="AE1420" t="n">
        <v>10</v>
      </c>
      <c r="AF1420" t="n">
        <v>3</v>
      </c>
      <c r="AG1420" t="n">
        <v>3</v>
      </c>
      <c r="AH1420" t="n">
        <v>2</v>
      </c>
      <c r="AI1420" t="n">
        <v>2</v>
      </c>
      <c r="AJ1420" t="n">
        <v>7</v>
      </c>
      <c r="AK1420" t="n">
        <v>7</v>
      </c>
      <c r="AL1420" t="n">
        <v>0</v>
      </c>
      <c r="AM1420" t="n">
        <v>0</v>
      </c>
      <c r="AN1420" t="n">
        <v>0</v>
      </c>
      <c r="AO1420" t="n">
        <v>0</v>
      </c>
      <c r="AP1420" t="inlineStr">
        <is>
          <t>No</t>
        </is>
      </c>
      <c r="AQ1420" t="inlineStr">
        <is>
          <t>Yes</t>
        </is>
      </c>
      <c r="AR1420">
        <f>HYPERLINK("http://catalog.hathitrust.org/Record/003976068","HathiTrust Record")</f>
        <v/>
      </c>
      <c r="AS1420">
        <f>HYPERLINK("https://creighton-primo.hosted.exlibrisgroup.com/primo-explore/search?tab=default_tab&amp;search_scope=EVERYTHING&amp;vid=01CRU&amp;lang=en_US&amp;offset=0&amp;query=any,contains,991003231879702656","Catalog Record")</f>
        <v/>
      </c>
      <c r="AT1420">
        <f>HYPERLINK("http://www.worldcat.org/oclc/38926189","WorldCat Record")</f>
        <v/>
      </c>
      <c r="AU1420" t="inlineStr">
        <is>
          <t>30307343:eng</t>
        </is>
      </c>
      <c r="AV1420" t="inlineStr">
        <is>
          <t>38926189</t>
        </is>
      </c>
      <c r="AW1420" t="inlineStr">
        <is>
          <t>991003231879702656</t>
        </is>
      </c>
      <c r="AX1420" t="inlineStr">
        <is>
          <t>991003231879702656</t>
        </is>
      </c>
      <c r="AY1420" t="inlineStr">
        <is>
          <t>2265907410002656</t>
        </is>
      </c>
      <c r="AZ1420" t="inlineStr">
        <is>
          <t>BOOK</t>
        </is>
      </c>
      <c r="BB1420" t="inlineStr">
        <is>
          <t>9781850758204</t>
        </is>
      </c>
      <c r="BC1420" t="inlineStr">
        <is>
          <t>32285004280037</t>
        </is>
      </c>
      <c r="BD1420" t="inlineStr">
        <is>
          <t>893416184</t>
        </is>
      </c>
    </row>
    <row r="1421">
      <c r="A1421" t="inlineStr">
        <is>
          <t>No</t>
        </is>
      </c>
      <c r="B1421" t="inlineStr">
        <is>
          <t>BT985 .F85 1995</t>
        </is>
      </c>
      <c r="C1421" t="inlineStr">
        <is>
          <t>0                      BT 0985000F  85          1995</t>
        </is>
      </c>
      <c r="D1421" t="inlineStr">
        <is>
          <t>Naming the Antichrist : the history of an American obsession / Robert C. Fuller.</t>
        </is>
      </c>
      <c r="F1421" t="inlineStr">
        <is>
          <t>No</t>
        </is>
      </c>
      <c r="G1421" t="inlineStr">
        <is>
          <t>1</t>
        </is>
      </c>
      <c r="H1421" t="inlineStr">
        <is>
          <t>No</t>
        </is>
      </c>
      <c r="I1421" t="inlineStr">
        <is>
          <t>No</t>
        </is>
      </c>
      <c r="J1421" t="inlineStr">
        <is>
          <t>0</t>
        </is>
      </c>
      <c r="K1421" t="inlineStr">
        <is>
          <t>Fuller, Robert C., 1952-</t>
        </is>
      </c>
      <c r="L1421" t="inlineStr">
        <is>
          <t>New York : Oxford University Press, 1995.</t>
        </is>
      </c>
      <c r="M1421" t="inlineStr">
        <is>
          <t>1995</t>
        </is>
      </c>
      <c r="O1421" t="inlineStr">
        <is>
          <t>eng</t>
        </is>
      </c>
      <c r="P1421" t="inlineStr">
        <is>
          <t>nyu</t>
        </is>
      </c>
      <c r="R1421" t="inlineStr">
        <is>
          <t xml:space="preserve">BT </t>
        </is>
      </c>
      <c r="S1421" t="n">
        <v>5</v>
      </c>
      <c r="T1421" t="n">
        <v>5</v>
      </c>
      <c r="U1421" t="inlineStr">
        <is>
          <t>2007-03-25</t>
        </is>
      </c>
      <c r="V1421" t="inlineStr">
        <is>
          <t>2007-03-25</t>
        </is>
      </c>
      <c r="W1421" t="inlineStr">
        <is>
          <t>1996-03-11</t>
        </is>
      </c>
      <c r="X1421" t="inlineStr">
        <is>
          <t>1996-03-11</t>
        </is>
      </c>
      <c r="Y1421" t="n">
        <v>788</v>
      </c>
      <c r="Z1421" t="n">
        <v>711</v>
      </c>
      <c r="AA1421" t="n">
        <v>808</v>
      </c>
      <c r="AB1421" t="n">
        <v>4</v>
      </c>
      <c r="AC1421" t="n">
        <v>5</v>
      </c>
      <c r="AD1421" t="n">
        <v>32</v>
      </c>
      <c r="AE1421" t="n">
        <v>35</v>
      </c>
      <c r="AF1421" t="n">
        <v>14</v>
      </c>
      <c r="AG1421" t="n">
        <v>15</v>
      </c>
      <c r="AH1421" t="n">
        <v>7</v>
      </c>
      <c r="AI1421" t="n">
        <v>8</v>
      </c>
      <c r="AJ1421" t="n">
        <v>17</v>
      </c>
      <c r="AK1421" t="n">
        <v>17</v>
      </c>
      <c r="AL1421" t="n">
        <v>3</v>
      </c>
      <c r="AM1421" t="n">
        <v>4</v>
      </c>
      <c r="AN1421" t="n">
        <v>0</v>
      </c>
      <c r="AO1421" t="n">
        <v>0</v>
      </c>
      <c r="AP1421" t="inlineStr">
        <is>
          <t>No</t>
        </is>
      </c>
      <c r="AQ1421" t="inlineStr">
        <is>
          <t>Yes</t>
        </is>
      </c>
      <c r="AR1421">
        <f>HYPERLINK("http://catalog.hathitrust.org/Record/002960169","HathiTrust Record")</f>
        <v/>
      </c>
      <c r="AS1421">
        <f>HYPERLINK("https://creighton-primo.hosted.exlibrisgroup.com/primo-explore/search?tab=default_tab&amp;search_scope=EVERYTHING&amp;vid=01CRU&amp;lang=en_US&amp;offset=0&amp;query=any,contains,991002337869702656","Catalog Record")</f>
        <v/>
      </c>
      <c r="AT1421">
        <f>HYPERLINK("http://www.worldcat.org/oclc/30436885","WorldCat Record")</f>
        <v/>
      </c>
      <c r="AU1421" t="inlineStr">
        <is>
          <t>801945816:eng</t>
        </is>
      </c>
      <c r="AV1421" t="inlineStr">
        <is>
          <t>30436885</t>
        </is>
      </c>
      <c r="AW1421" t="inlineStr">
        <is>
          <t>991002337869702656</t>
        </is>
      </c>
      <c r="AX1421" t="inlineStr">
        <is>
          <t>991002337869702656</t>
        </is>
      </c>
      <c r="AY1421" t="inlineStr">
        <is>
          <t>2259474520002656</t>
        </is>
      </c>
      <c r="AZ1421" t="inlineStr">
        <is>
          <t>BOOK</t>
        </is>
      </c>
      <c r="BB1421" t="inlineStr">
        <is>
          <t>9780195082449</t>
        </is>
      </c>
      <c r="BC1421" t="inlineStr">
        <is>
          <t>32285002141330</t>
        </is>
      </c>
      <c r="BD1421" t="inlineStr">
        <is>
          <t>893710162</t>
        </is>
      </c>
    </row>
    <row r="1422">
      <c r="A1422" t="inlineStr">
        <is>
          <t>No</t>
        </is>
      </c>
      <c r="B1422" t="inlineStr">
        <is>
          <t>BT99 .B28</t>
        </is>
      </c>
      <c r="C1422" t="inlineStr">
        <is>
          <t>0                      BT 0099000B  28</t>
        </is>
      </c>
      <c r="D1422" t="inlineStr">
        <is>
          <t>God exists : the Biblical record of God's self-revelation / Thomas Barrosse.</t>
        </is>
      </c>
      <c r="F1422" t="inlineStr">
        <is>
          <t>No</t>
        </is>
      </c>
      <c r="G1422" t="inlineStr">
        <is>
          <t>1</t>
        </is>
      </c>
      <c r="H1422" t="inlineStr">
        <is>
          <t>No</t>
        </is>
      </c>
      <c r="I1422" t="inlineStr">
        <is>
          <t>No</t>
        </is>
      </c>
      <c r="J1422" t="inlineStr">
        <is>
          <t>0</t>
        </is>
      </c>
      <c r="K1422" t="inlineStr">
        <is>
          <t>Barrosse, Thomas.</t>
        </is>
      </c>
      <c r="L1422" t="inlineStr">
        <is>
          <t>[Notre Dame, Ind.] University of Notre Dame Press, 1963.</t>
        </is>
      </c>
      <c r="M1422" t="inlineStr">
        <is>
          <t>1963</t>
        </is>
      </c>
      <c r="O1422" t="inlineStr">
        <is>
          <t>eng</t>
        </is>
      </c>
      <c r="P1422" t="inlineStr">
        <is>
          <t>inu</t>
        </is>
      </c>
      <c r="Q1422" t="inlineStr">
        <is>
          <t>University theology themes</t>
        </is>
      </c>
      <c r="R1422" t="inlineStr">
        <is>
          <t xml:space="preserve">BT </t>
        </is>
      </c>
      <c r="S1422" t="n">
        <v>3</v>
      </c>
      <c r="T1422" t="n">
        <v>3</v>
      </c>
      <c r="U1422" t="inlineStr">
        <is>
          <t>2005-09-08</t>
        </is>
      </c>
      <c r="V1422" t="inlineStr">
        <is>
          <t>2005-09-08</t>
        </is>
      </c>
      <c r="W1422" t="inlineStr">
        <is>
          <t>1991-06-28</t>
        </is>
      </c>
      <c r="X1422" t="inlineStr">
        <is>
          <t>1991-06-28</t>
        </is>
      </c>
      <c r="Y1422" t="n">
        <v>160</v>
      </c>
      <c r="Z1422" t="n">
        <v>138</v>
      </c>
      <c r="AA1422" t="n">
        <v>138</v>
      </c>
      <c r="AB1422" t="n">
        <v>2</v>
      </c>
      <c r="AC1422" t="n">
        <v>2</v>
      </c>
      <c r="AD1422" t="n">
        <v>22</v>
      </c>
      <c r="AE1422" t="n">
        <v>22</v>
      </c>
      <c r="AF1422" t="n">
        <v>4</v>
      </c>
      <c r="AG1422" t="n">
        <v>4</v>
      </c>
      <c r="AH1422" t="n">
        <v>7</v>
      </c>
      <c r="AI1422" t="n">
        <v>7</v>
      </c>
      <c r="AJ1422" t="n">
        <v>17</v>
      </c>
      <c r="AK1422" t="n">
        <v>17</v>
      </c>
      <c r="AL1422" t="n">
        <v>1</v>
      </c>
      <c r="AM1422" t="n">
        <v>1</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HYPERLINK("https://creighton-primo.hosted.exlibrisgroup.com/primo-explore/search?tab=default_tab&amp;search_scope=EVERYTHING&amp;vid=01CRU&amp;lang=en_US&amp;offset=0&amp;query=any,contains,991003904879702656","Catalog Record")</f>
        <v/>
      </c>
      <c r="AT1422">
        <f>HYPERLINK("http://www.worldcat.org/oclc/1834794","WorldCat Record")</f>
        <v/>
      </c>
      <c r="AU1422" t="inlineStr">
        <is>
          <t>2742368:eng</t>
        </is>
      </c>
      <c r="AV1422" t="inlineStr">
        <is>
          <t>1834794</t>
        </is>
      </c>
      <c r="AW1422" t="inlineStr">
        <is>
          <t>991003904879702656</t>
        </is>
      </c>
      <c r="AX1422" t="inlineStr">
        <is>
          <t>991003904879702656</t>
        </is>
      </c>
      <c r="AY1422" t="inlineStr">
        <is>
          <t>2258647560002656</t>
        </is>
      </c>
      <c r="AZ1422" t="inlineStr">
        <is>
          <t>BOOK</t>
        </is>
      </c>
      <c r="BC1422" t="inlineStr">
        <is>
          <t>32285000690411</t>
        </is>
      </c>
      <c r="BD1422" t="inlineStr">
        <is>
          <t>893775373</t>
        </is>
      </c>
    </row>
    <row r="1423">
      <c r="A1423" t="inlineStr">
        <is>
          <t>No</t>
        </is>
      </c>
      <c r="B1423" t="inlineStr">
        <is>
          <t>BT990.C48 A33 1989</t>
        </is>
      </c>
      <c r="C1423" t="inlineStr">
        <is>
          <t>0                      BT 0990000C  48                 A  33          1989</t>
        </is>
      </c>
      <c r="D1423" t="inlineStr">
        <is>
          <t>The Churches speak on AIDS : official statements from religious bodies and ecumenical organizations / J. Gordon Melton.</t>
        </is>
      </c>
      <c r="F1423" t="inlineStr">
        <is>
          <t>No</t>
        </is>
      </c>
      <c r="G1423" t="inlineStr">
        <is>
          <t>1</t>
        </is>
      </c>
      <c r="H1423" t="inlineStr">
        <is>
          <t>Yes</t>
        </is>
      </c>
      <c r="I1423" t="inlineStr">
        <is>
          <t>Yes</t>
        </is>
      </c>
      <c r="J1423" t="inlineStr">
        <is>
          <t>0</t>
        </is>
      </c>
      <c r="L1423" t="inlineStr">
        <is>
          <t>Detroit : Gale Research, c1989.</t>
        </is>
      </c>
      <c r="M1423" t="inlineStr">
        <is>
          <t>1989</t>
        </is>
      </c>
      <c r="O1423" t="inlineStr">
        <is>
          <t>eng</t>
        </is>
      </c>
      <c r="P1423" t="inlineStr">
        <is>
          <t>miu</t>
        </is>
      </c>
      <c r="Q1423" t="inlineStr">
        <is>
          <t>The Churches speak series, 1043-9609</t>
        </is>
      </c>
      <c r="R1423" t="inlineStr">
        <is>
          <t xml:space="preserve">BT </t>
        </is>
      </c>
      <c r="S1423" t="n">
        <v>1</v>
      </c>
      <c r="T1423" t="n">
        <v>11</v>
      </c>
      <c r="V1423" t="inlineStr">
        <is>
          <t>1998-11-15</t>
        </is>
      </c>
      <c r="W1423" t="inlineStr">
        <is>
          <t>1991-04-03</t>
        </is>
      </c>
      <c r="X1423" t="inlineStr">
        <is>
          <t>1991-04-03</t>
        </is>
      </c>
      <c r="Y1423" t="n">
        <v>440</v>
      </c>
      <c r="Z1423" t="n">
        <v>394</v>
      </c>
      <c r="AA1423" t="n">
        <v>555</v>
      </c>
      <c r="AB1423" t="n">
        <v>6</v>
      </c>
      <c r="AC1423" t="n">
        <v>7</v>
      </c>
      <c r="AD1423" t="n">
        <v>15</v>
      </c>
      <c r="AE1423" t="n">
        <v>23</v>
      </c>
      <c r="AF1423" t="n">
        <v>5</v>
      </c>
      <c r="AG1423" t="n">
        <v>8</v>
      </c>
      <c r="AH1423" t="n">
        <v>2</v>
      </c>
      <c r="AI1423" t="n">
        <v>5</v>
      </c>
      <c r="AJ1423" t="n">
        <v>8</v>
      </c>
      <c r="AK1423" t="n">
        <v>11</v>
      </c>
      <c r="AL1423" t="n">
        <v>2</v>
      </c>
      <c r="AM1423" t="n">
        <v>3</v>
      </c>
      <c r="AN1423" t="n">
        <v>1</v>
      </c>
      <c r="AO1423" t="n">
        <v>1</v>
      </c>
      <c r="AP1423" t="inlineStr">
        <is>
          <t>No</t>
        </is>
      </c>
      <c r="AQ1423" t="inlineStr">
        <is>
          <t>Yes</t>
        </is>
      </c>
      <c r="AR1423">
        <f>HYPERLINK("http://catalog.hathitrust.org/Record/009801270","HathiTrust Record")</f>
        <v/>
      </c>
      <c r="AS1423">
        <f>HYPERLINK("https://creighton-primo.hosted.exlibrisgroup.com/primo-explore/search?tab=default_tab&amp;search_scope=EVERYTHING&amp;vid=01CRU&amp;lang=en_US&amp;offset=0&amp;query=any,contains,991001689269702656","Catalog Record")</f>
        <v/>
      </c>
      <c r="AT1423">
        <f>HYPERLINK("http://www.worldcat.org/oclc/20688329","WorldCat Record")</f>
        <v/>
      </c>
      <c r="AU1423" t="inlineStr">
        <is>
          <t>152300056:eng</t>
        </is>
      </c>
      <c r="AV1423" t="inlineStr">
        <is>
          <t>20688329</t>
        </is>
      </c>
      <c r="AW1423" t="inlineStr">
        <is>
          <t>991001689269702656</t>
        </is>
      </c>
      <c r="AX1423" t="inlineStr">
        <is>
          <t>991001689269702656</t>
        </is>
      </c>
      <c r="AY1423" t="inlineStr">
        <is>
          <t>2258333120002656</t>
        </is>
      </c>
      <c r="AZ1423" t="inlineStr">
        <is>
          <t>BOOK</t>
        </is>
      </c>
      <c r="BB1423" t="inlineStr">
        <is>
          <t>9780810372184</t>
        </is>
      </c>
      <c r="BC1423" t="inlineStr">
        <is>
          <t>32285000565308</t>
        </is>
      </c>
      <c r="BD1423" t="inlineStr">
        <is>
          <t>893226033</t>
        </is>
      </c>
    </row>
    <row r="1424">
      <c r="A1424" t="inlineStr">
        <is>
          <t>No</t>
        </is>
      </c>
      <c r="B1424" t="inlineStr">
        <is>
          <t>BT992 .T4413 1988</t>
        </is>
      </c>
      <c r="C1424" t="inlineStr">
        <is>
          <t>0                      BT 0992000T  4413        1988</t>
        </is>
      </c>
      <c r="D1424" t="inlineStr">
        <is>
          <t>The sermon-conferences of St. Thomas Aquinas on the Apostles' creed / translated from the Leonine Edition and edited and introduced by Nicholas Ayo.</t>
        </is>
      </c>
      <c r="F1424" t="inlineStr">
        <is>
          <t>No</t>
        </is>
      </c>
      <c r="G1424" t="inlineStr">
        <is>
          <t>1</t>
        </is>
      </c>
      <c r="H1424" t="inlineStr">
        <is>
          <t>No</t>
        </is>
      </c>
      <c r="I1424" t="inlineStr">
        <is>
          <t>No</t>
        </is>
      </c>
      <c r="J1424" t="inlineStr">
        <is>
          <t>0</t>
        </is>
      </c>
      <c r="K1424" t="inlineStr">
        <is>
          <t>Thomas, Aquinas, Saint, 1225?-1274.</t>
        </is>
      </c>
      <c r="L1424" t="inlineStr">
        <is>
          <t>Notre Dame, Ind. : University of Notre Dame Press, c1988.</t>
        </is>
      </c>
      <c r="M1424" t="inlineStr">
        <is>
          <t>1988</t>
        </is>
      </c>
      <c r="O1424" t="inlineStr">
        <is>
          <t>eng</t>
        </is>
      </c>
      <c r="P1424" t="inlineStr">
        <is>
          <t>inu</t>
        </is>
      </c>
      <c r="R1424" t="inlineStr">
        <is>
          <t xml:space="preserve">BT </t>
        </is>
      </c>
      <c r="S1424" t="n">
        <v>5</v>
      </c>
      <c r="T1424" t="n">
        <v>5</v>
      </c>
      <c r="U1424" t="inlineStr">
        <is>
          <t>2005-07-28</t>
        </is>
      </c>
      <c r="V1424" t="inlineStr">
        <is>
          <t>2005-07-28</t>
        </is>
      </c>
      <c r="W1424" t="inlineStr">
        <is>
          <t>1993-09-28</t>
        </is>
      </c>
      <c r="X1424" t="inlineStr">
        <is>
          <t>1993-09-28</t>
        </is>
      </c>
      <c r="Y1424" t="n">
        <v>294</v>
      </c>
      <c r="Z1424" t="n">
        <v>245</v>
      </c>
      <c r="AA1424" t="n">
        <v>261</v>
      </c>
      <c r="AB1424" t="n">
        <v>4</v>
      </c>
      <c r="AC1424" t="n">
        <v>4</v>
      </c>
      <c r="AD1424" t="n">
        <v>24</v>
      </c>
      <c r="AE1424" t="n">
        <v>24</v>
      </c>
      <c r="AF1424" t="n">
        <v>10</v>
      </c>
      <c r="AG1424" t="n">
        <v>10</v>
      </c>
      <c r="AH1424" t="n">
        <v>6</v>
      </c>
      <c r="AI1424" t="n">
        <v>6</v>
      </c>
      <c r="AJ1424" t="n">
        <v>16</v>
      </c>
      <c r="AK1424" t="n">
        <v>16</v>
      </c>
      <c r="AL1424" t="n">
        <v>1</v>
      </c>
      <c r="AM1424" t="n">
        <v>1</v>
      </c>
      <c r="AN1424" t="n">
        <v>0</v>
      </c>
      <c r="AO1424" t="n">
        <v>0</v>
      </c>
      <c r="AP1424" t="inlineStr">
        <is>
          <t>No</t>
        </is>
      </c>
      <c r="AQ1424" t="inlineStr">
        <is>
          <t>Yes</t>
        </is>
      </c>
      <c r="AR1424">
        <f>HYPERLINK("http://catalog.hathitrust.org/Record/001093716","HathiTrust Record")</f>
        <v/>
      </c>
      <c r="AS1424">
        <f>HYPERLINK("https://creighton-primo.hosted.exlibrisgroup.com/primo-explore/search?tab=default_tab&amp;search_scope=EVERYTHING&amp;vid=01CRU&amp;lang=en_US&amp;offset=0&amp;query=any,contains,991001310839702656","Catalog Record")</f>
        <v/>
      </c>
      <c r="AT1424">
        <f>HYPERLINK("http://www.worldcat.org/oclc/18136706","WorldCat Record")</f>
        <v/>
      </c>
      <c r="AU1424" t="inlineStr">
        <is>
          <t>16963701:eng</t>
        </is>
      </c>
      <c r="AV1424" t="inlineStr">
        <is>
          <t>18136706</t>
        </is>
      </c>
      <c r="AW1424" t="inlineStr">
        <is>
          <t>991001310839702656</t>
        </is>
      </c>
      <c r="AX1424" t="inlineStr">
        <is>
          <t>991001310839702656</t>
        </is>
      </c>
      <c r="AY1424" t="inlineStr">
        <is>
          <t>2268057250002656</t>
        </is>
      </c>
      <c r="AZ1424" t="inlineStr">
        <is>
          <t>BOOK</t>
        </is>
      </c>
      <c r="BB1424" t="inlineStr">
        <is>
          <t>9780268017286</t>
        </is>
      </c>
      <c r="BC1424" t="inlineStr">
        <is>
          <t>32285001768869</t>
        </is>
      </c>
      <c r="BD1424" t="inlineStr">
        <is>
          <t>893778714</t>
        </is>
      </c>
    </row>
    <row r="1425">
      <c r="A1425" t="inlineStr">
        <is>
          <t>No</t>
        </is>
      </c>
      <c r="B1425" t="inlineStr">
        <is>
          <t>BT993 .B32 1962</t>
        </is>
      </c>
      <c r="C1425" t="inlineStr">
        <is>
          <t>0                      BT 0993000B  32          1962</t>
        </is>
      </c>
      <c r="D1425" t="inlineStr">
        <is>
          <t>Credo / by Karl Barth ; with a foreword by Robert McAfee Brown.</t>
        </is>
      </c>
      <c r="F1425" t="inlineStr">
        <is>
          <t>No</t>
        </is>
      </c>
      <c r="G1425" t="inlineStr">
        <is>
          <t>1</t>
        </is>
      </c>
      <c r="H1425" t="inlineStr">
        <is>
          <t>No</t>
        </is>
      </c>
      <c r="I1425" t="inlineStr">
        <is>
          <t>No</t>
        </is>
      </c>
      <c r="J1425" t="inlineStr">
        <is>
          <t>0</t>
        </is>
      </c>
      <c r="K1425" t="inlineStr">
        <is>
          <t>Barth, Karl, 1886-1968.</t>
        </is>
      </c>
      <c r="L1425" t="inlineStr">
        <is>
          <t>New York : Scribner, [1962]</t>
        </is>
      </c>
      <c r="M1425" t="inlineStr">
        <is>
          <t>1962</t>
        </is>
      </c>
      <c r="O1425" t="inlineStr">
        <is>
          <t>eng</t>
        </is>
      </c>
      <c r="P1425" t="inlineStr">
        <is>
          <t>___</t>
        </is>
      </c>
      <c r="R1425" t="inlineStr">
        <is>
          <t xml:space="preserve">BT </t>
        </is>
      </c>
      <c r="S1425" t="n">
        <v>4</v>
      </c>
      <c r="T1425" t="n">
        <v>4</v>
      </c>
      <c r="U1425" t="inlineStr">
        <is>
          <t>1998-11-25</t>
        </is>
      </c>
      <c r="V1425" t="inlineStr">
        <is>
          <t>1998-11-25</t>
        </is>
      </c>
      <c r="W1425" t="inlineStr">
        <is>
          <t>1991-10-25</t>
        </is>
      </c>
      <c r="X1425" t="inlineStr">
        <is>
          <t>1991-10-25</t>
        </is>
      </c>
      <c r="Y1425" t="n">
        <v>571</v>
      </c>
      <c r="Z1425" t="n">
        <v>520</v>
      </c>
      <c r="AA1425" t="n">
        <v>542</v>
      </c>
      <c r="AB1425" t="n">
        <v>7</v>
      </c>
      <c r="AC1425" t="n">
        <v>7</v>
      </c>
      <c r="AD1425" t="n">
        <v>27</v>
      </c>
      <c r="AE1425" t="n">
        <v>27</v>
      </c>
      <c r="AF1425" t="n">
        <v>6</v>
      </c>
      <c r="AG1425" t="n">
        <v>6</v>
      </c>
      <c r="AH1425" t="n">
        <v>6</v>
      </c>
      <c r="AI1425" t="n">
        <v>6</v>
      </c>
      <c r="AJ1425" t="n">
        <v>14</v>
      </c>
      <c r="AK1425" t="n">
        <v>14</v>
      </c>
      <c r="AL1425" t="n">
        <v>5</v>
      </c>
      <c r="AM1425" t="n">
        <v>5</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HYPERLINK("https://creighton-primo.hosted.exlibrisgroup.com/primo-explore/search?tab=default_tab&amp;search_scope=EVERYTHING&amp;vid=01CRU&amp;lang=en_US&amp;offset=0&amp;query=any,contains,991000964329702656","Catalog Record")</f>
        <v/>
      </c>
      <c r="AT1425">
        <f>HYPERLINK("http://www.worldcat.org/oclc/170138","WorldCat Record")</f>
        <v/>
      </c>
      <c r="AU1425" t="inlineStr">
        <is>
          <t>10278617334:eng</t>
        </is>
      </c>
      <c r="AV1425" t="inlineStr">
        <is>
          <t>170138</t>
        </is>
      </c>
      <c r="AW1425" t="inlineStr">
        <is>
          <t>991000964329702656</t>
        </is>
      </c>
      <c r="AX1425" t="inlineStr">
        <is>
          <t>991000964329702656</t>
        </is>
      </c>
      <c r="AY1425" t="inlineStr">
        <is>
          <t>2269450490002656</t>
        </is>
      </c>
      <c r="AZ1425" t="inlineStr">
        <is>
          <t>BOOK</t>
        </is>
      </c>
      <c r="BC1425" t="inlineStr">
        <is>
          <t>32285000807957</t>
        </is>
      </c>
      <c r="BD1425" t="inlineStr">
        <is>
          <t>893778434</t>
        </is>
      </c>
    </row>
    <row r="1426">
      <c r="A1426" t="inlineStr">
        <is>
          <t>No</t>
        </is>
      </c>
      <c r="B1426" t="inlineStr">
        <is>
          <t>BT993 .R65</t>
        </is>
      </c>
      <c r="C1426" t="inlineStr">
        <is>
          <t>0                      BT 0993000R  65</t>
        </is>
      </c>
      <c r="D1426" t="inlineStr">
        <is>
          <t>Explanation of the Apostles' Creed : a thorough exposition of Catholic faith / adapted from the original of Rev. H. Rolfus, with a reflection, practice, and prayer on each article of the Creed, by Ferreol Girardey.</t>
        </is>
      </c>
      <c r="F1426" t="inlineStr">
        <is>
          <t>No</t>
        </is>
      </c>
      <c r="G1426" t="inlineStr">
        <is>
          <t>1</t>
        </is>
      </c>
      <c r="H1426" t="inlineStr">
        <is>
          <t>No</t>
        </is>
      </c>
      <c r="I1426" t="inlineStr">
        <is>
          <t>No</t>
        </is>
      </c>
      <c r="J1426" t="inlineStr">
        <is>
          <t>0</t>
        </is>
      </c>
      <c r="K1426" t="inlineStr">
        <is>
          <t>Rolfus, H. (Hermann), 1821-1896.</t>
        </is>
      </c>
      <c r="L1426" t="inlineStr">
        <is>
          <t>New York : Benziger, 1902.</t>
        </is>
      </c>
      <c r="M1426" t="inlineStr">
        <is>
          <t>1902</t>
        </is>
      </c>
      <c r="O1426" t="inlineStr">
        <is>
          <t>eng</t>
        </is>
      </c>
      <c r="P1426" t="inlineStr">
        <is>
          <t>nyu</t>
        </is>
      </c>
      <c r="R1426" t="inlineStr">
        <is>
          <t xml:space="preserve">BT </t>
        </is>
      </c>
      <c r="S1426" t="n">
        <v>4</v>
      </c>
      <c r="T1426" t="n">
        <v>4</v>
      </c>
      <c r="U1426" t="inlineStr">
        <is>
          <t>2002-04-23</t>
        </is>
      </c>
      <c r="V1426" t="inlineStr">
        <is>
          <t>2002-04-23</t>
        </is>
      </c>
      <c r="W1426" t="inlineStr">
        <is>
          <t>1991-10-25</t>
        </is>
      </c>
      <c r="X1426" t="inlineStr">
        <is>
          <t>1991-10-25</t>
        </is>
      </c>
      <c r="Y1426" t="n">
        <v>41</v>
      </c>
      <c r="Z1426" t="n">
        <v>39</v>
      </c>
      <c r="AA1426" t="n">
        <v>56</v>
      </c>
      <c r="AB1426" t="n">
        <v>2</v>
      </c>
      <c r="AC1426" t="n">
        <v>2</v>
      </c>
      <c r="AD1426" t="n">
        <v>10</v>
      </c>
      <c r="AE1426" t="n">
        <v>10</v>
      </c>
      <c r="AF1426" t="n">
        <v>1</v>
      </c>
      <c r="AG1426" t="n">
        <v>1</v>
      </c>
      <c r="AH1426" t="n">
        <v>4</v>
      </c>
      <c r="AI1426" t="n">
        <v>4</v>
      </c>
      <c r="AJ1426" t="n">
        <v>7</v>
      </c>
      <c r="AK1426" t="n">
        <v>7</v>
      </c>
      <c r="AL1426" t="n">
        <v>0</v>
      </c>
      <c r="AM1426" t="n">
        <v>0</v>
      </c>
      <c r="AN1426" t="n">
        <v>0</v>
      </c>
      <c r="AO1426" t="n">
        <v>0</v>
      </c>
      <c r="AP1426" t="inlineStr">
        <is>
          <t>Yes</t>
        </is>
      </c>
      <c r="AQ1426" t="inlineStr">
        <is>
          <t>No</t>
        </is>
      </c>
      <c r="AR1426">
        <f>HYPERLINK("http://catalog.hathitrust.org/Record/100435854","HathiTrust Record")</f>
        <v/>
      </c>
      <c r="AS1426">
        <f>HYPERLINK("https://creighton-primo.hosted.exlibrisgroup.com/primo-explore/search?tab=default_tab&amp;search_scope=EVERYTHING&amp;vid=01CRU&amp;lang=en_US&amp;offset=0&amp;query=any,contains,991005019319702656","Catalog Record")</f>
        <v/>
      </c>
      <c r="AT1426">
        <f>HYPERLINK("http://www.worldcat.org/oclc/6646469","WorldCat Record")</f>
        <v/>
      </c>
      <c r="AU1426" t="inlineStr">
        <is>
          <t>198215287:eng</t>
        </is>
      </c>
      <c r="AV1426" t="inlineStr">
        <is>
          <t>6646469</t>
        </is>
      </c>
      <c r="AW1426" t="inlineStr">
        <is>
          <t>991005019319702656</t>
        </is>
      </c>
      <c r="AX1426" t="inlineStr">
        <is>
          <t>991005019319702656</t>
        </is>
      </c>
      <c r="AY1426" t="inlineStr">
        <is>
          <t>2265218220002656</t>
        </is>
      </c>
      <c r="AZ1426" t="inlineStr">
        <is>
          <t>BOOK</t>
        </is>
      </c>
      <c r="BC1426" t="inlineStr">
        <is>
          <t>32285000807973</t>
        </is>
      </c>
      <c r="BD1426" t="inlineStr">
        <is>
          <t>893526775</t>
        </is>
      </c>
    </row>
    <row r="1427">
      <c r="A1427" t="inlineStr">
        <is>
          <t>No</t>
        </is>
      </c>
      <c r="B1427" t="inlineStr">
        <is>
          <t>BT993.2 .A94 1989</t>
        </is>
      </c>
      <c r="C1427" t="inlineStr">
        <is>
          <t>0                      BT 0993200A  94          1989</t>
        </is>
      </c>
      <c r="D1427" t="inlineStr">
        <is>
          <t>The creed as symbol / Nicholas Ayo.</t>
        </is>
      </c>
      <c r="F1427" t="inlineStr">
        <is>
          <t>No</t>
        </is>
      </c>
      <c r="G1427" t="inlineStr">
        <is>
          <t>1</t>
        </is>
      </c>
      <c r="H1427" t="inlineStr">
        <is>
          <t>No</t>
        </is>
      </c>
      <c r="I1427" t="inlineStr">
        <is>
          <t>No</t>
        </is>
      </c>
      <c r="J1427" t="inlineStr">
        <is>
          <t>0</t>
        </is>
      </c>
      <c r="K1427" t="inlineStr">
        <is>
          <t>Ayo, Nicholas.</t>
        </is>
      </c>
      <c r="L1427" t="inlineStr">
        <is>
          <t>Notre Dame, Ind. : University of Notre Dame Press, c1989.</t>
        </is>
      </c>
      <c r="M1427" t="inlineStr">
        <is>
          <t>1989</t>
        </is>
      </c>
      <c r="O1427" t="inlineStr">
        <is>
          <t>eng</t>
        </is>
      </c>
      <c r="P1427" t="inlineStr">
        <is>
          <t>inu</t>
        </is>
      </c>
      <c r="R1427" t="inlineStr">
        <is>
          <t xml:space="preserve">BT </t>
        </is>
      </c>
      <c r="S1427" t="n">
        <v>4</v>
      </c>
      <c r="T1427" t="n">
        <v>4</v>
      </c>
      <c r="U1427" t="inlineStr">
        <is>
          <t>1997-02-24</t>
        </is>
      </c>
      <c r="V1427" t="inlineStr">
        <is>
          <t>1997-02-24</t>
        </is>
      </c>
      <c r="W1427" t="inlineStr">
        <is>
          <t>1990-08-08</t>
        </is>
      </c>
      <c r="X1427" t="inlineStr">
        <is>
          <t>1990-08-08</t>
        </is>
      </c>
      <c r="Y1427" t="n">
        <v>310</v>
      </c>
      <c r="Z1427" t="n">
        <v>265</v>
      </c>
      <c r="AA1427" t="n">
        <v>275</v>
      </c>
      <c r="AB1427" t="n">
        <v>1</v>
      </c>
      <c r="AC1427" t="n">
        <v>1</v>
      </c>
      <c r="AD1427" t="n">
        <v>21</v>
      </c>
      <c r="AE1427" t="n">
        <v>21</v>
      </c>
      <c r="AF1427" t="n">
        <v>9</v>
      </c>
      <c r="AG1427" t="n">
        <v>9</v>
      </c>
      <c r="AH1427" t="n">
        <v>5</v>
      </c>
      <c r="AI1427" t="n">
        <v>5</v>
      </c>
      <c r="AJ1427" t="n">
        <v>15</v>
      </c>
      <c r="AK1427" t="n">
        <v>15</v>
      </c>
      <c r="AL1427" t="n">
        <v>0</v>
      </c>
      <c r="AM1427" t="n">
        <v>0</v>
      </c>
      <c r="AN1427" t="n">
        <v>0</v>
      </c>
      <c r="AO1427" t="n">
        <v>0</v>
      </c>
      <c r="AP1427" t="inlineStr">
        <is>
          <t>No</t>
        </is>
      </c>
      <c r="AQ1427" t="inlineStr">
        <is>
          <t>Yes</t>
        </is>
      </c>
      <c r="AR1427">
        <f>HYPERLINK("http://catalog.hathitrust.org/Record/001292045","HathiTrust Record")</f>
        <v/>
      </c>
      <c r="AS1427">
        <f>HYPERLINK("https://creighton-primo.hosted.exlibrisgroup.com/primo-explore/search?tab=default_tab&amp;search_scope=EVERYTHING&amp;vid=01CRU&amp;lang=en_US&amp;offset=0&amp;query=any,contains,991001347189702656","Catalog Record")</f>
        <v/>
      </c>
      <c r="AT1427">
        <f>HYPERLINK("http://www.worldcat.org/oclc/18415403","WorldCat Record")</f>
        <v/>
      </c>
      <c r="AU1427" t="inlineStr">
        <is>
          <t>17472720:eng</t>
        </is>
      </c>
      <c r="AV1427" t="inlineStr">
        <is>
          <t>18415403</t>
        </is>
      </c>
      <c r="AW1427" t="inlineStr">
        <is>
          <t>991001347189702656</t>
        </is>
      </c>
      <c r="AX1427" t="inlineStr">
        <is>
          <t>991001347189702656</t>
        </is>
      </c>
      <c r="AY1427" t="inlineStr">
        <is>
          <t>2258796220002656</t>
        </is>
      </c>
      <c r="AZ1427" t="inlineStr">
        <is>
          <t>BOOK</t>
        </is>
      </c>
      <c r="BB1427" t="inlineStr">
        <is>
          <t>9780268007690</t>
        </is>
      </c>
      <c r="BC1427" t="inlineStr">
        <is>
          <t>32285000269596</t>
        </is>
      </c>
      <c r="BD1427" t="inlineStr">
        <is>
          <t>893872478</t>
        </is>
      </c>
    </row>
    <row r="1428">
      <c r="A1428" t="inlineStr">
        <is>
          <t>No</t>
        </is>
      </c>
      <c r="B1428" t="inlineStr">
        <is>
          <t>BT993.2 .E913 1967</t>
        </is>
      </c>
      <c r="C1428" t="inlineStr">
        <is>
          <t>0                      BT 0993200E  913         1967</t>
        </is>
      </c>
      <c r="D1428" t="inlineStr">
        <is>
          <t>Credo / Louis Evely. Translated by Rosemary Sheed.</t>
        </is>
      </c>
      <c r="F1428" t="inlineStr">
        <is>
          <t>No</t>
        </is>
      </c>
      <c r="G1428" t="inlineStr">
        <is>
          <t>1</t>
        </is>
      </c>
      <c r="H1428" t="inlineStr">
        <is>
          <t>No</t>
        </is>
      </c>
      <c r="I1428" t="inlineStr">
        <is>
          <t>No</t>
        </is>
      </c>
      <c r="J1428" t="inlineStr">
        <is>
          <t>0</t>
        </is>
      </c>
      <c r="K1428" t="inlineStr">
        <is>
          <t>Évely, Louis, 1910-1985.</t>
        </is>
      </c>
      <c r="L1428" t="inlineStr">
        <is>
          <t>Notre Dame, Ind. : Fides, [1967]</t>
        </is>
      </c>
      <c r="M1428" t="inlineStr">
        <is>
          <t>1967</t>
        </is>
      </c>
      <c r="N1428" t="inlineStr">
        <is>
          <t>[American ed.]</t>
        </is>
      </c>
      <c r="O1428" t="inlineStr">
        <is>
          <t>eng</t>
        </is>
      </c>
      <c r="P1428" t="inlineStr">
        <is>
          <t>inu</t>
        </is>
      </c>
      <c r="R1428" t="inlineStr">
        <is>
          <t xml:space="preserve">BT </t>
        </is>
      </c>
      <c r="S1428" t="n">
        <v>4</v>
      </c>
      <c r="T1428" t="n">
        <v>4</v>
      </c>
      <c r="U1428" t="inlineStr">
        <is>
          <t>2005-08-05</t>
        </is>
      </c>
      <c r="V1428" t="inlineStr">
        <is>
          <t>2005-08-05</t>
        </is>
      </c>
      <c r="W1428" t="inlineStr">
        <is>
          <t>1991-10-25</t>
        </is>
      </c>
      <c r="X1428" t="inlineStr">
        <is>
          <t>1991-10-25</t>
        </is>
      </c>
      <c r="Y1428" t="n">
        <v>223</v>
      </c>
      <c r="Z1428" t="n">
        <v>214</v>
      </c>
      <c r="AA1428" t="n">
        <v>234</v>
      </c>
      <c r="AB1428" t="n">
        <v>4</v>
      </c>
      <c r="AC1428" t="n">
        <v>4</v>
      </c>
      <c r="AD1428" t="n">
        <v>31</v>
      </c>
      <c r="AE1428" t="n">
        <v>31</v>
      </c>
      <c r="AF1428" t="n">
        <v>8</v>
      </c>
      <c r="AG1428" t="n">
        <v>8</v>
      </c>
      <c r="AH1428" t="n">
        <v>8</v>
      </c>
      <c r="AI1428" t="n">
        <v>8</v>
      </c>
      <c r="AJ1428" t="n">
        <v>24</v>
      </c>
      <c r="AK1428" t="n">
        <v>24</v>
      </c>
      <c r="AL1428" t="n">
        <v>2</v>
      </c>
      <c r="AM1428" t="n">
        <v>2</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HYPERLINK("https://creighton-primo.hosted.exlibrisgroup.com/primo-explore/search?tab=default_tab&amp;search_scope=EVERYTHING&amp;vid=01CRU&amp;lang=en_US&amp;offset=0&amp;query=any,contains,991003658009702656","Catalog Record")</f>
        <v/>
      </c>
      <c r="AT1428">
        <f>HYPERLINK("http://www.worldcat.org/oclc/1264271","WorldCat Record")</f>
        <v/>
      </c>
      <c r="AU1428" t="inlineStr">
        <is>
          <t>2189045:eng</t>
        </is>
      </c>
      <c r="AV1428" t="inlineStr">
        <is>
          <t>1264271</t>
        </is>
      </c>
      <c r="AW1428" t="inlineStr">
        <is>
          <t>991003658009702656</t>
        </is>
      </c>
      <c r="AX1428" t="inlineStr">
        <is>
          <t>991003658009702656</t>
        </is>
      </c>
      <c r="AY1428" t="inlineStr">
        <is>
          <t>2264265140002656</t>
        </is>
      </c>
      <c r="AZ1428" t="inlineStr">
        <is>
          <t>BOOK</t>
        </is>
      </c>
      <c r="BC1428" t="inlineStr">
        <is>
          <t>32285000807981</t>
        </is>
      </c>
      <c r="BD1428" t="inlineStr">
        <is>
          <t>893252592</t>
        </is>
      </c>
    </row>
    <row r="1429">
      <c r="A1429" t="inlineStr">
        <is>
          <t>No</t>
        </is>
      </c>
      <c r="B1429" t="inlineStr">
        <is>
          <t>BT993.2 .H37</t>
        </is>
      </c>
      <c r="C1429" t="inlineStr">
        <is>
          <t>0                      BT 0993200H  37</t>
        </is>
      </c>
      <c r="D1429" t="inlineStr">
        <is>
          <t>Creed and personal identity : the meaning of the Apostles' Creed / David Baily Harned.</t>
        </is>
      </c>
      <c r="F1429" t="inlineStr">
        <is>
          <t>No</t>
        </is>
      </c>
      <c r="G1429" t="inlineStr">
        <is>
          <t>1</t>
        </is>
      </c>
      <c r="H1429" t="inlineStr">
        <is>
          <t>No</t>
        </is>
      </c>
      <c r="I1429" t="inlineStr">
        <is>
          <t>No</t>
        </is>
      </c>
      <c r="J1429" t="inlineStr">
        <is>
          <t>0</t>
        </is>
      </c>
      <c r="K1429" t="inlineStr">
        <is>
          <t>Harned, David Baily.</t>
        </is>
      </c>
      <c r="L1429" t="inlineStr">
        <is>
          <t>Philadelphia : Fortress Press, c1981.</t>
        </is>
      </c>
      <c r="M1429" t="inlineStr">
        <is>
          <t>1981</t>
        </is>
      </c>
      <c r="O1429" t="inlineStr">
        <is>
          <t>eng</t>
        </is>
      </c>
      <c r="P1429" t="inlineStr">
        <is>
          <t>pau</t>
        </is>
      </c>
      <c r="R1429" t="inlineStr">
        <is>
          <t xml:space="preserve">BT </t>
        </is>
      </c>
      <c r="S1429" t="n">
        <v>7</v>
      </c>
      <c r="T1429" t="n">
        <v>7</v>
      </c>
      <c r="U1429" t="inlineStr">
        <is>
          <t>1998-11-18</t>
        </is>
      </c>
      <c r="V1429" t="inlineStr">
        <is>
          <t>1998-11-18</t>
        </is>
      </c>
      <c r="W1429" t="inlineStr">
        <is>
          <t>1991-10-25</t>
        </is>
      </c>
      <c r="X1429" t="inlineStr">
        <is>
          <t>1991-10-25</t>
        </is>
      </c>
      <c r="Y1429" t="n">
        <v>290</v>
      </c>
      <c r="Z1429" t="n">
        <v>256</v>
      </c>
      <c r="AA1429" t="n">
        <v>283</v>
      </c>
      <c r="AB1429" t="n">
        <v>3</v>
      </c>
      <c r="AC1429" t="n">
        <v>4</v>
      </c>
      <c r="AD1429" t="n">
        <v>17</v>
      </c>
      <c r="AE1429" t="n">
        <v>19</v>
      </c>
      <c r="AF1429" t="n">
        <v>6</v>
      </c>
      <c r="AG1429" t="n">
        <v>7</v>
      </c>
      <c r="AH1429" t="n">
        <v>3</v>
      </c>
      <c r="AI1429" t="n">
        <v>4</v>
      </c>
      <c r="AJ1429" t="n">
        <v>11</v>
      </c>
      <c r="AK1429" t="n">
        <v>11</v>
      </c>
      <c r="AL1429" t="n">
        <v>2</v>
      </c>
      <c r="AM1429" t="n">
        <v>3</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HYPERLINK("https://creighton-primo.hosted.exlibrisgroup.com/primo-explore/search?tab=default_tab&amp;search_scope=EVERYTHING&amp;vid=01CRU&amp;lang=en_US&amp;offset=0&amp;query=any,contains,991005004509702656","Catalog Record")</f>
        <v/>
      </c>
      <c r="AT1429">
        <f>HYPERLINK("http://www.worldcat.org/oclc/6555870","WorldCat Record")</f>
        <v/>
      </c>
      <c r="AU1429" t="inlineStr">
        <is>
          <t>836657815:eng</t>
        </is>
      </c>
      <c r="AV1429" t="inlineStr">
        <is>
          <t>6555870</t>
        </is>
      </c>
      <c r="AW1429" t="inlineStr">
        <is>
          <t>991005004509702656</t>
        </is>
      </c>
      <c r="AX1429" t="inlineStr">
        <is>
          <t>991005004509702656</t>
        </is>
      </c>
      <c r="AY1429" t="inlineStr">
        <is>
          <t>2255098380002656</t>
        </is>
      </c>
      <c r="AZ1429" t="inlineStr">
        <is>
          <t>BOOK</t>
        </is>
      </c>
      <c r="BB1429" t="inlineStr">
        <is>
          <t>9780800606459</t>
        </is>
      </c>
      <c r="BC1429" t="inlineStr">
        <is>
          <t>32285000807999</t>
        </is>
      </c>
      <c r="BD1429" t="inlineStr">
        <is>
          <t>893513891</t>
        </is>
      </c>
    </row>
    <row r="1430">
      <c r="A1430" t="inlineStr">
        <is>
          <t>No</t>
        </is>
      </c>
      <c r="B1430" t="inlineStr">
        <is>
          <t>BT993.2 .K4513 1986</t>
        </is>
      </c>
      <c r="C1430" t="inlineStr">
        <is>
          <t>0                      BT 0993200K  4513        1986</t>
        </is>
      </c>
      <c r="D1430" t="inlineStr">
        <is>
          <t>The creed in the Gospels / by Alfons Kemmer ; translated by Urban Schnaus.</t>
        </is>
      </c>
      <c r="F1430" t="inlineStr">
        <is>
          <t>No</t>
        </is>
      </c>
      <c r="G1430" t="inlineStr">
        <is>
          <t>1</t>
        </is>
      </c>
      <c r="H1430" t="inlineStr">
        <is>
          <t>No</t>
        </is>
      </c>
      <c r="I1430" t="inlineStr">
        <is>
          <t>No</t>
        </is>
      </c>
      <c r="J1430" t="inlineStr">
        <is>
          <t>0</t>
        </is>
      </c>
      <c r="K1430" t="inlineStr">
        <is>
          <t>Kemmer, Alfons, 1911-</t>
        </is>
      </c>
      <c r="L1430" t="inlineStr">
        <is>
          <t>New York : Paulist Press, c1986.</t>
        </is>
      </c>
      <c r="M1430" t="inlineStr">
        <is>
          <t>1986</t>
        </is>
      </c>
      <c r="O1430" t="inlineStr">
        <is>
          <t>eng</t>
        </is>
      </c>
      <c r="P1430" t="inlineStr">
        <is>
          <t>nyu</t>
        </is>
      </c>
      <c r="R1430" t="inlineStr">
        <is>
          <t xml:space="preserve">BT </t>
        </is>
      </c>
      <c r="S1430" t="n">
        <v>7</v>
      </c>
      <c r="T1430" t="n">
        <v>7</v>
      </c>
      <c r="U1430" t="inlineStr">
        <is>
          <t>1995-09-30</t>
        </is>
      </c>
      <c r="V1430" t="inlineStr">
        <is>
          <t>1995-09-30</t>
        </is>
      </c>
      <c r="W1430" t="inlineStr">
        <is>
          <t>1990-08-08</t>
        </is>
      </c>
      <c r="X1430" t="inlineStr">
        <is>
          <t>1990-08-08</t>
        </is>
      </c>
      <c r="Y1430" t="n">
        <v>144</v>
      </c>
      <c r="Z1430" t="n">
        <v>123</v>
      </c>
      <c r="AA1430" t="n">
        <v>124</v>
      </c>
      <c r="AB1430" t="n">
        <v>2</v>
      </c>
      <c r="AC1430" t="n">
        <v>2</v>
      </c>
      <c r="AD1430" t="n">
        <v>11</v>
      </c>
      <c r="AE1430" t="n">
        <v>11</v>
      </c>
      <c r="AF1430" t="n">
        <v>2</v>
      </c>
      <c r="AG1430" t="n">
        <v>2</v>
      </c>
      <c r="AH1430" t="n">
        <v>5</v>
      </c>
      <c r="AI1430" t="n">
        <v>5</v>
      </c>
      <c r="AJ1430" t="n">
        <v>6</v>
      </c>
      <c r="AK1430" t="n">
        <v>6</v>
      </c>
      <c r="AL1430" t="n">
        <v>1</v>
      </c>
      <c r="AM1430" t="n">
        <v>1</v>
      </c>
      <c r="AN1430" t="n">
        <v>0</v>
      </c>
      <c r="AO1430" t="n">
        <v>0</v>
      </c>
      <c r="AP1430" t="inlineStr">
        <is>
          <t>No</t>
        </is>
      </c>
      <c r="AQ1430" t="inlineStr">
        <is>
          <t>Yes</t>
        </is>
      </c>
      <c r="AR1430">
        <f>HYPERLINK("http://catalog.hathitrust.org/Record/000816939","HathiTrust Record")</f>
        <v/>
      </c>
      <c r="AS1430">
        <f>HYPERLINK("https://creighton-primo.hosted.exlibrisgroup.com/primo-explore/search?tab=default_tab&amp;search_scope=EVERYTHING&amp;vid=01CRU&amp;lang=en_US&amp;offset=0&amp;query=any,contains,991000859169702656","Catalog Record")</f>
        <v/>
      </c>
      <c r="AT1430">
        <f>HYPERLINK("http://www.worldcat.org/oclc/13669477","WorldCat Record")</f>
        <v/>
      </c>
      <c r="AU1430" t="inlineStr">
        <is>
          <t>1151314683:eng</t>
        </is>
      </c>
      <c r="AV1430" t="inlineStr">
        <is>
          <t>13669477</t>
        </is>
      </c>
      <c r="AW1430" t="inlineStr">
        <is>
          <t>991000859169702656</t>
        </is>
      </c>
      <c r="AX1430" t="inlineStr">
        <is>
          <t>991000859169702656</t>
        </is>
      </c>
      <c r="AY1430" t="inlineStr">
        <is>
          <t>2264942620002656</t>
        </is>
      </c>
      <c r="AZ1430" t="inlineStr">
        <is>
          <t>BOOK</t>
        </is>
      </c>
      <c r="BB1430" t="inlineStr">
        <is>
          <t>9780809128303</t>
        </is>
      </c>
      <c r="BC1430" t="inlineStr">
        <is>
          <t>32285000269604</t>
        </is>
      </c>
      <c r="BD1430" t="inlineStr">
        <is>
          <t>893225381</t>
        </is>
      </c>
    </row>
    <row r="1431">
      <c r="A1431" t="inlineStr">
        <is>
          <t>No</t>
        </is>
      </c>
      <c r="B1431" t="inlineStr">
        <is>
          <t>BT993.2 .K8613 1993</t>
        </is>
      </c>
      <c r="C1431" t="inlineStr">
        <is>
          <t>0                      BT 0993200K  8613        1993</t>
        </is>
      </c>
      <c r="D1431" t="inlineStr">
        <is>
          <t>Credo : the Apostles' Creed explained for today / Hans Küng.</t>
        </is>
      </c>
      <c r="F1431" t="inlineStr">
        <is>
          <t>No</t>
        </is>
      </c>
      <c r="G1431" t="inlineStr">
        <is>
          <t>1</t>
        </is>
      </c>
      <c r="H1431" t="inlineStr">
        <is>
          <t>No</t>
        </is>
      </c>
      <c r="I1431" t="inlineStr">
        <is>
          <t>No</t>
        </is>
      </c>
      <c r="J1431" t="inlineStr">
        <is>
          <t>0</t>
        </is>
      </c>
      <c r="K1431" t="inlineStr">
        <is>
          <t>Küng, Hans, 1928-</t>
        </is>
      </c>
      <c r="L1431" t="inlineStr">
        <is>
          <t>New York : Doubleday, 1993.</t>
        </is>
      </c>
      <c r="M1431" t="inlineStr">
        <is>
          <t>1993</t>
        </is>
      </c>
      <c r="N1431" t="inlineStr">
        <is>
          <t>1st ed. in the U.S.</t>
        </is>
      </c>
      <c r="O1431" t="inlineStr">
        <is>
          <t>eng</t>
        </is>
      </c>
      <c r="P1431" t="inlineStr">
        <is>
          <t>nyu</t>
        </is>
      </c>
      <c r="R1431" t="inlineStr">
        <is>
          <t xml:space="preserve">BT </t>
        </is>
      </c>
      <c r="S1431" t="n">
        <v>4</v>
      </c>
      <c r="T1431" t="n">
        <v>4</v>
      </c>
      <c r="U1431" t="inlineStr">
        <is>
          <t>1996-05-14</t>
        </is>
      </c>
      <c r="V1431" t="inlineStr">
        <is>
          <t>1996-05-14</t>
        </is>
      </c>
      <c r="W1431" t="inlineStr">
        <is>
          <t>1995-01-09</t>
        </is>
      </c>
      <c r="X1431" t="inlineStr">
        <is>
          <t>1995-01-09</t>
        </is>
      </c>
      <c r="Y1431" t="n">
        <v>291</v>
      </c>
      <c r="Z1431" t="n">
        <v>251</v>
      </c>
      <c r="AA1431" t="n">
        <v>296</v>
      </c>
      <c r="AB1431" t="n">
        <v>2</v>
      </c>
      <c r="AC1431" t="n">
        <v>2</v>
      </c>
      <c r="AD1431" t="n">
        <v>25</v>
      </c>
      <c r="AE1431" t="n">
        <v>28</v>
      </c>
      <c r="AF1431" t="n">
        <v>8</v>
      </c>
      <c r="AG1431" t="n">
        <v>8</v>
      </c>
      <c r="AH1431" t="n">
        <v>7</v>
      </c>
      <c r="AI1431" t="n">
        <v>8</v>
      </c>
      <c r="AJ1431" t="n">
        <v>14</v>
      </c>
      <c r="AK1431" t="n">
        <v>17</v>
      </c>
      <c r="AL1431" t="n">
        <v>1</v>
      </c>
      <c r="AM1431" t="n">
        <v>1</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HYPERLINK("https://creighton-primo.hosted.exlibrisgroup.com/primo-explore/search?tab=default_tab&amp;search_scope=EVERYTHING&amp;vid=01CRU&amp;lang=en_US&amp;offset=0&amp;query=any,contains,991002160109702656","Catalog Record")</f>
        <v/>
      </c>
      <c r="AT1431">
        <f>HYPERLINK("http://www.worldcat.org/oclc/27812981","WorldCat Record")</f>
        <v/>
      </c>
      <c r="AU1431" t="inlineStr">
        <is>
          <t>3943799831:eng</t>
        </is>
      </c>
      <c r="AV1431" t="inlineStr">
        <is>
          <t>27812981</t>
        </is>
      </c>
      <c r="AW1431" t="inlineStr">
        <is>
          <t>991002160109702656</t>
        </is>
      </c>
      <c r="AX1431" t="inlineStr">
        <is>
          <t>991002160109702656</t>
        </is>
      </c>
      <c r="AY1431" t="inlineStr">
        <is>
          <t>2258133040002656</t>
        </is>
      </c>
      <c r="AZ1431" t="inlineStr">
        <is>
          <t>BOOK</t>
        </is>
      </c>
      <c r="BB1431" t="inlineStr">
        <is>
          <t>9780385471817</t>
        </is>
      </c>
      <c r="BC1431" t="inlineStr">
        <is>
          <t>32285001991461</t>
        </is>
      </c>
      <c r="BD1431" t="inlineStr">
        <is>
          <t>893238700</t>
        </is>
      </c>
    </row>
    <row r="1432">
      <c r="A1432" t="inlineStr">
        <is>
          <t>No</t>
        </is>
      </c>
      <c r="B1432" t="inlineStr">
        <is>
          <t>BT993.2 .M3</t>
        </is>
      </c>
      <c r="C1432" t="inlineStr">
        <is>
          <t>0                      BT 0993200M  3</t>
        </is>
      </c>
      <c r="D1432" t="inlineStr">
        <is>
          <t>Beyond questions and answers; the creed for today's Catholic / by Timothy S. McDermott.</t>
        </is>
      </c>
      <c r="F1432" t="inlineStr">
        <is>
          <t>No</t>
        </is>
      </c>
      <c r="G1432" t="inlineStr">
        <is>
          <t>1</t>
        </is>
      </c>
      <c r="H1432" t="inlineStr">
        <is>
          <t>No</t>
        </is>
      </c>
      <c r="I1432" t="inlineStr">
        <is>
          <t>No</t>
        </is>
      </c>
      <c r="J1432" t="inlineStr">
        <is>
          <t>0</t>
        </is>
      </c>
      <c r="K1432" t="inlineStr">
        <is>
          <t>McDermott, Timothy S.</t>
        </is>
      </c>
      <c r="L1432" t="inlineStr">
        <is>
          <t>New York : Herder and Herder, 1968.</t>
        </is>
      </c>
      <c r="M1432" t="inlineStr">
        <is>
          <t>1968</t>
        </is>
      </c>
      <c r="O1432" t="inlineStr">
        <is>
          <t>eng</t>
        </is>
      </c>
      <c r="P1432" t="inlineStr">
        <is>
          <t>nyu</t>
        </is>
      </c>
      <c r="R1432" t="inlineStr">
        <is>
          <t xml:space="preserve">BT </t>
        </is>
      </c>
      <c r="S1432" t="n">
        <v>7</v>
      </c>
      <c r="T1432" t="n">
        <v>7</v>
      </c>
      <c r="U1432" t="inlineStr">
        <is>
          <t>2004-11-09</t>
        </is>
      </c>
      <c r="V1432" t="inlineStr">
        <is>
          <t>2004-11-09</t>
        </is>
      </c>
      <c r="W1432" t="inlineStr">
        <is>
          <t>1991-10-25</t>
        </is>
      </c>
      <c r="X1432" t="inlineStr">
        <is>
          <t>1991-10-25</t>
        </is>
      </c>
      <c r="Y1432" t="n">
        <v>106</v>
      </c>
      <c r="Z1432" t="n">
        <v>89</v>
      </c>
      <c r="AA1432" t="n">
        <v>94</v>
      </c>
      <c r="AB1432" t="n">
        <v>2</v>
      </c>
      <c r="AC1432" t="n">
        <v>2</v>
      </c>
      <c r="AD1432" t="n">
        <v>15</v>
      </c>
      <c r="AE1432" t="n">
        <v>15</v>
      </c>
      <c r="AF1432" t="n">
        <v>6</v>
      </c>
      <c r="AG1432" t="n">
        <v>6</v>
      </c>
      <c r="AH1432" t="n">
        <v>3</v>
      </c>
      <c r="AI1432" t="n">
        <v>3</v>
      </c>
      <c r="AJ1432" t="n">
        <v>11</v>
      </c>
      <c r="AK1432" t="n">
        <v>11</v>
      </c>
      <c r="AL1432" t="n">
        <v>0</v>
      </c>
      <c r="AM1432" t="n">
        <v>0</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HYPERLINK("https://creighton-primo.hosted.exlibrisgroup.com/primo-explore/search?tab=default_tab&amp;search_scope=EVERYTHING&amp;vid=01CRU&amp;lang=en_US&amp;offset=0&amp;query=any,contains,991002783279702656","Catalog Record")</f>
        <v/>
      </c>
      <c r="AT1432">
        <f>HYPERLINK("http://www.worldcat.org/oclc/440938","WorldCat Record")</f>
        <v/>
      </c>
      <c r="AU1432" t="inlineStr">
        <is>
          <t>1567434:eng</t>
        </is>
      </c>
      <c r="AV1432" t="inlineStr">
        <is>
          <t>440938</t>
        </is>
      </c>
      <c r="AW1432" t="inlineStr">
        <is>
          <t>991002783279702656</t>
        </is>
      </c>
      <c r="AX1432" t="inlineStr">
        <is>
          <t>991002783279702656</t>
        </is>
      </c>
      <c r="AY1432" t="inlineStr">
        <is>
          <t>2257047000002656</t>
        </is>
      </c>
      <c r="AZ1432" t="inlineStr">
        <is>
          <t>BOOK</t>
        </is>
      </c>
      <c r="BC1432" t="inlineStr">
        <is>
          <t>32285000808013</t>
        </is>
      </c>
      <c r="BD1432" t="inlineStr">
        <is>
          <t>893341849</t>
        </is>
      </c>
    </row>
    <row r="1433">
      <c r="A1433" t="inlineStr">
        <is>
          <t>No</t>
        </is>
      </c>
      <c r="B1433" t="inlineStr">
        <is>
          <t>BT993.2 .P3513</t>
        </is>
      </c>
      <c r="C1433" t="inlineStr">
        <is>
          <t>0                      BT 0993200P  3513</t>
        </is>
      </c>
      <c r="D1433" t="inlineStr">
        <is>
          <t>The Apostles' Creed in the light of today's questions / Wolfhart Pannenberg. [Translated from the German by Margaret Kohl]</t>
        </is>
      </c>
      <c r="F1433" t="inlineStr">
        <is>
          <t>No</t>
        </is>
      </c>
      <c r="G1433" t="inlineStr">
        <is>
          <t>1</t>
        </is>
      </c>
      <c r="H1433" t="inlineStr">
        <is>
          <t>No</t>
        </is>
      </c>
      <c r="I1433" t="inlineStr">
        <is>
          <t>No</t>
        </is>
      </c>
      <c r="J1433" t="inlineStr">
        <is>
          <t>0</t>
        </is>
      </c>
      <c r="K1433" t="inlineStr">
        <is>
          <t>Pannenberg, Wolfhart, 1928-2014.</t>
        </is>
      </c>
      <c r="L1433" t="inlineStr">
        <is>
          <t>Philadelphia, Westminster Press [1972]</t>
        </is>
      </c>
      <c r="M1433" t="inlineStr">
        <is>
          <t>1972</t>
        </is>
      </c>
      <c r="O1433" t="inlineStr">
        <is>
          <t>eng</t>
        </is>
      </c>
      <c r="P1433" t="inlineStr">
        <is>
          <t>pau</t>
        </is>
      </c>
      <c r="R1433" t="inlineStr">
        <is>
          <t xml:space="preserve">BT </t>
        </is>
      </c>
      <c r="S1433" t="n">
        <v>6</v>
      </c>
      <c r="T1433" t="n">
        <v>6</v>
      </c>
      <c r="U1433" t="inlineStr">
        <is>
          <t>2005-07-28</t>
        </is>
      </c>
      <c r="V1433" t="inlineStr">
        <is>
          <t>2005-07-28</t>
        </is>
      </c>
      <c r="W1433" t="inlineStr">
        <is>
          <t>1990-05-24</t>
        </is>
      </c>
      <c r="X1433" t="inlineStr">
        <is>
          <t>1990-05-24</t>
        </is>
      </c>
      <c r="Y1433" t="n">
        <v>641</v>
      </c>
      <c r="Z1433" t="n">
        <v>593</v>
      </c>
      <c r="AA1433" t="n">
        <v>644</v>
      </c>
      <c r="AB1433" t="n">
        <v>7</v>
      </c>
      <c r="AC1433" t="n">
        <v>7</v>
      </c>
      <c r="AD1433" t="n">
        <v>43</v>
      </c>
      <c r="AE1433" t="n">
        <v>45</v>
      </c>
      <c r="AF1433" t="n">
        <v>18</v>
      </c>
      <c r="AG1433" t="n">
        <v>18</v>
      </c>
      <c r="AH1433" t="n">
        <v>8</v>
      </c>
      <c r="AI1433" t="n">
        <v>9</v>
      </c>
      <c r="AJ1433" t="n">
        <v>21</v>
      </c>
      <c r="AK1433" t="n">
        <v>23</v>
      </c>
      <c r="AL1433" t="n">
        <v>5</v>
      </c>
      <c r="AM1433" t="n">
        <v>5</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HYPERLINK("https://creighton-primo.hosted.exlibrisgroup.com/primo-explore/search?tab=default_tab&amp;search_scope=EVERYTHING&amp;vid=01CRU&amp;lang=en_US&amp;offset=0&amp;query=any,contains,991002464749702656","Catalog Record")</f>
        <v/>
      </c>
      <c r="AT1433">
        <f>HYPERLINK("http://www.worldcat.org/oclc/357102","WorldCat Record")</f>
        <v/>
      </c>
      <c r="AU1433" t="inlineStr">
        <is>
          <t>10228708:eng</t>
        </is>
      </c>
      <c r="AV1433" t="inlineStr">
        <is>
          <t>357102</t>
        </is>
      </c>
      <c r="AW1433" t="inlineStr">
        <is>
          <t>991002464749702656</t>
        </is>
      </c>
      <c r="AX1433" t="inlineStr">
        <is>
          <t>991002464749702656</t>
        </is>
      </c>
      <c r="AY1433" t="inlineStr">
        <is>
          <t>2263066110002656</t>
        </is>
      </c>
      <c r="AZ1433" t="inlineStr">
        <is>
          <t>BOOK</t>
        </is>
      </c>
      <c r="BB1433" t="inlineStr">
        <is>
          <t>9780664209476</t>
        </is>
      </c>
      <c r="BC1433" t="inlineStr">
        <is>
          <t>32285000166370</t>
        </is>
      </c>
      <c r="BD1433" t="inlineStr">
        <is>
          <t>893591378</t>
        </is>
      </c>
    </row>
    <row r="1434">
      <c r="A1434" t="inlineStr">
        <is>
          <t>No</t>
        </is>
      </c>
      <c r="B1434" t="inlineStr">
        <is>
          <t>BT993.2 .T543</t>
        </is>
      </c>
      <c r="C1434" t="inlineStr">
        <is>
          <t>0                      BT 0993200T  543</t>
        </is>
      </c>
      <c r="D1434" t="inlineStr">
        <is>
          <t>I believe : the Christian's creed / by Helmut Thiekicke. Translated by John W. Doberstein and H. George Anderson.</t>
        </is>
      </c>
      <c r="F1434" t="inlineStr">
        <is>
          <t>No</t>
        </is>
      </c>
      <c r="G1434" t="inlineStr">
        <is>
          <t>1</t>
        </is>
      </c>
      <c r="H1434" t="inlineStr">
        <is>
          <t>No</t>
        </is>
      </c>
      <c r="I1434" t="inlineStr">
        <is>
          <t>No</t>
        </is>
      </c>
      <c r="J1434" t="inlineStr">
        <is>
          <t>0</t>
        </is>
      </c>
      <c r="K1434" t="inlineStr">
        <is>
          <t>Thielicke, Helmut, 1908-1986.</t>
        </is>
      </c>
      <c r="L1434" t="inlineStr">
        <is>
          <t>Philadelphia, Fortress Press [1968]</t>
        </is>
      </c>
      <c r="M1434" t="inlineStr">
        <is>
          <t>1968</t>
        </is>
      </c>
      <c r="O1434" t="inlineStr">
        <is>
          <t>eng</t>
        </is>
      </c>
      <c r="P1434" t="inlineStr">
        <is>
          <t>pau</t>
        </is>
      </c>
      <c r="R1434" t="inlineStr">
        <is>
          <t xml:space="preserve">BT </t>
        </is>
      </c>
      <c r="S1434" t="n">
        <v>3</v>
      </c>
      <c r="T1434" t="n">
        <v>3</v>
      </c>
      <c r="U1434" t="inlineStr">
        <is>
          <t>1999-02-01</t>
        </is>
      </c>
      <c r="V1434" t="inlineStr">
        <is>
          <t>1999-02-01</t>
        </is>
      </c>
      <c r="W1434" t="inlineStr">
        <is>
          <t>1991-10-25</t>
        </is>
      </c>
      <c r="X1434" t="inlineStr">
        <is>
          <t>1991-10-25</t>
        </is>
      </c>
      <c r="Y1434" t="n">
        <v>394</v>
      </c>
      <c r="Z1434" t="n">
        <v>343</v>
      </c>
      <c r="AA1434" t="n">
        <v>363</v>
      </c>
      <c r="AB1434" t="n">
        <v>7</v>
      </c>
      <c r="AC1434" t="n">
        <v>7</v>
      </c>
      <c r="AD1434" t="n">
        <v>22</v>
      </c>
      <c r="AE1434" t="n">
        <v>25</v>
      </c>
      <c r="AF1434" t="n">
        <v>10</v>
      </c>
      <c r="AG1434" t="n">
        <v>11</v>
      </c>
      <c r="AH1434" t="n">
        <v>2</v>
      </c>
      <c r="AI1434" t="n">
        <v>3</v>
      </c>
      <c r="AJ1434" t="n">
        <v>9</v>
      </c>
      <c r="AK1434" t="n">
        <v>11</v>
      </c>
      <c r="AL1434" t="n">
        <v>5</v>
      </c>
      <c r="AM1434" t="n">
        <v>5</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HYPERLINK("https://creighton-primo.hosted.exlibrisgroup.com/primo-explore/search?tab=default_tab&amp;search_scope=EVERYTHING&amp;vid=01CRU&amp;lang=en_US&amp;offset=0&amp;query=any,contains,991002790699702656","Catalog Record")</f>
        <v/>
      </c>
      <c r="AT1434">
        <f>HYPERLINK("http://www.worldcat.org/oclc/443234","WorldCat Record")</f>
        <v/>
      </c>
      <c r="AU1434" t="inlineStr">
        <is>
          <t>3927363576:eng</t>
        </is>
      </c>
      <c r="AV1434" t="inlineStr">
        <is>
          <t>443234</t>
        </is>
      </c>
      <c r="AW1434" t="inlineStr">
        <is>
          <t>991002790699702656</t>
        </is>
      </c>
      <c r="AX1434" t="inlineStr">
        <is>
          <t>991002790699702656</t>
        </is>
      </c>
      <c r="AY1434" t="inlineStr">
        <is>
          <t>2264532360002656</t>
        </is>
      </c>
      <c r="AZ1434" t="inlineStr">
        <is>
          <t>BOOK</t>
        </is>
      </c>
      <c r="BC1434" t="inlineStr">
        <is>
          <t>32285000808039</t>
        </is>
      </c>
      <c r="BD1434" t="inlineStr">
        <is>
          <t>893233417</t>
        </is>
      </c>
    </row>
    <row r="1435">
      <c r="A1435" t="inlineStr">
        <is>
          <t>No</t>
        </is>
      </c>
      <c r="B1435" t="inlineStr">
        <is>
          <t>BT995 .K4</t>
        </is>
      </c>
      <c r="C1435" t="inlineStr">
        <is>
          <t>0                      BT 0995000K  4</t>
        </is>
      </c>
      <c r="D1435" t="inlineStr">
        <is>
          <t>The Athanasian Creed / by J.N.D. Kelly.</t>
        </is>
      </c>
      <c r="F1435" t="inlineStr">
        <is>
          <t>No</t>
        </is>
      </c>
      <c r="G1435" t="inlineStr">
        <is>
          <t>1</t>
        </is>
      </c>
      <c r="H1435" t="inlineStr">
        <is>
          <t>No</t>
        </is>
      </c>
      <c r="I1435" t="inlineStr">
        <is>
          <t>No</t>
        </is>
      </c>
      <c r="J1435" t="inlineStr">
        <is>
          <t>0</t>
        </is>
      </c>
      <c r="K1435" t="inlineStr">
        <is>
          <t>Kelly, J. N. D. (John Norman Davidson)</t>
        </is>
      </c>
      <c r="L1435" t="inlineStr">
        <is>
          <t>London. Adam and Charles Black, [c1964]</t>
        </is>
      </c>
      <c r="M1435" t="inlineStr">
        <is>
          <t>1964</t>
        </is>
      </c>
      <c r="N1435" t="inlineStr">
        <is>
          <t>[1st ed.]</t>
        </is>
      </c>
      <c r="O1435" t="inlineStr">
        <is>
          <t>eng</t>
        </is>
      </c>
      <c r="P1435" t="inlineStr">
        <is>
          <t>___</t>
        </is>
      </c>
      <c r="Q1435" t="inlineStr">
        <is>
          <t>The Paddock lectures, 1962-3</t>
        </is>
      </c>
      <c r="R1435" t="inlineStr">
        <is>
          <t xml:space="preserve">BT </t>
        </is>
      </c>
      <c r="S1435" t="n">
        <v>5</v>
      </c>
      <c r="T1435" t="n">
        <v>5</v>
      </c>
      <c r="U1435" t="inlineStr">
        <is>
          <t>1995-03-19</t>
        </is>
      </c>
      <c r="V1435" t="inlineStr">
        <is>
          <t>1995-03-19</t>
        </is>
      </c>
      <c r="W1435" t="inlineStr">
        <is>
          <t>1991-10-25</t>
        </is>
      </c>
      <c r="X1435" t="inlineStr">
        <is>
          <t>1991-10-25</t>
        </is>
      </c>
      <c r="Y1435" t="n">
        <v>245</v>
      </c>
      <c r="Z1435" t="n">
        <v>147</v>
      </c>
      <c r="AA1435" t="n">
        <v>425</v>
      </c>
      <c r="AB1435" t="n">
        <v>2</v>
      </c>
      <c r="AC1435" t="n">
        <v>3</v>
      </c>
      <c r="AD1435" t="n">
        <v>11</v>
      </c>
      <c r="AE1435" t="n">
        <v>29</v>
      </c>
      <c r="AF1435" t="n">
        <v>2</v>
      </c>
      <c r="AG1435" t="n">
        <v>9</v>
      </c>
      <c r="AH1435" t="n">
        <v>3</v>
      </c>
      <c r="AI1435" t="n">
        <v>5</v>
      </c>
      <c r="AJ1435" t="n">
        <v>8</v>
      </c>
      <c r="AK1435" t="n">
        <v>21</v>
      </c>
      <c r="AL1435" t="n">
        <v>1</v>
      </c>
      <c r="AM1435" t="n">
        <v>2</v>
      </c>
      <c r="AN1435" t="n">
        <v>0</v>
      </c>
      <c r="AO1435" t="n">
        <v>0</v>
      </c>
      <c r="AP1435" t="inlineStr">
        <is>
          <t>No</t>
        </is>
      </c>
      <c r="AQ1435" t="inlineStr">
        <is>
          <t>Yes</t>
        </is>
      </c>
      <c r="AR1435">
        <f>HYPERLINK("http://catalog.hathitrust.org/Record/006762655","HathiTrust Record")</f>
        <v/>
      </c>
      <c r="AS1435">
        <f>HYPERLINK("https://creighton-primo.hosted.exlibrisgroup.com/primo-explore/search?tab=default_tab&amp;search_scope=EVERYTHING&amp;vid=01CRU&amp;lang=en_US&amp;offset=0&amp;query=any,contains,991003150889702656","Catalog Record")</f>
        <v/>
      </c>
      <c r="AT1435">
        <f>HYPERLINK("http://www.worldcat.org/oclc/690291","WorldCat Record")</f>
        <v/>
      </c>
      <c r="AU1435" t="inlineStr">
        <is>
          <t>115673458:eng</t>
        </is>
      </c>
      <c r="AV1435" t="inlineStr">
        <is>
          <t>690291</t>
        </is>
      </c>
      <c r="AW1435" t="inlineStr">
        <is>
          <t>991003150889702656</t>
        </is>
      </c>
      <c r="AX1435" t="inlineStr">
        <is>
          <t>991003150889702656</t>
        </is>
      </c>
      <c r="AY1435" t="inlineStr">
        <is>
          <t>2260667710002656</t>
        </is>
      </c>
      <c r="AZ1435" t="inlineStr">
        <is>
          <t>BOOK</t>
        </is>
      </c>
      <c r="BC1435" t="inlineStr">
        <is>
          <t>32285000808047</t>
        </is>
      </c>
      <c r="BD1435" t="inlineStr">
        <is>
          <t>893704962</t>
        </is>
      </c>
    </row>
    <row r="1436">
      <c r="A1436" t="inlineStr">
        <is>
          <t>No</t>
        </is>
      </c>
      <c r="B1436" t="inlineStr">
        <is>
          <t>BT999 .B37</t>
        </is>
      </c>
      <c r="C1436" t="inlineStr">
        <is>
          <t>0                      BT 0999000B  37</t>
        </is>
      </c>
      <c r="D1436" t="inlineStr">
        <is>
          <t>And would you believe it! : Thoughts about the Creed / Bernard Basset.</t>
        </is>
      </c>
      <c r="F1436" t="inlineStr">
        <is>
          <t>No</t>
        </is>
      </c>
      <c r="G1436" t="inlineStr">
        <is>
          <t>1</t>
        </is>
      </c>
      <c r="H1436" t="inlineStr">
        <is>
          <t>No</t>
        </is>
      </c>
      <c r="I1436" t="inlineStr">
        <is>
          <t>No</t>
        </is>
      </c>
      <c r="J1436" t="inlineStr">
        <is>
          <t>0</t>
        </is>
      </c>
      <c r="K1436" t="inlineStr">
        <is>
          <t>Basset, Bernard.</t>
        </is>
      </c>
      <c r="L1436" t="inlineStr">
        <is>
          <t>Garden City, N.Y. : Doubleday, 1976.</t>
        </is>
      </c>
      <c r="M1436" t="inlineStr">
        <is>
          <t>1976</t>
        </is>
      </c>
      <c r="N1436" t="inlineStr">
        <is>
          <t>1st ed.</t>
        </is>
      </c>
      <c r="O1436" t="inlineStr">
        <is>
          <t>eng</t>
        </is>
      </c>
      <c r="P1436" t="inlineStr">
        <is>
          <t>nyu</t>
        </is>
      </c>
      <c r="R1436" t="inlineStr">
        <is>
          <t xml:space="preserve">BT </t>
        </is>
      </c>
      <c r="S1436" t="n">
        <v>7</v>
      </c>
      <c r="T1436" t="n">
        <v>7</v>
      </c>
      <c r="U1436" t="inlineStr">
        <is>
          <t>1995-10-10</t>
        </is>
      </c>
      <c r="V1436" t="inlineStr">
        <is>
          <t>1995-10-10</t>
        </is>
      </c>
      <c r="W1436" t="inlineStr">
        <is>
          <t>1991-10-25</t>
        </is>
      </c>
      <c r="X1436" t="inlineStr">
        <is>
          <t>1991-10-25</t>
        </is>
      </c>
      <c r="Y1436" t="n">
        <v>186</v>
      </c>
      <c r="Z1436" t="n">
        <v>174</v>
      </c>
      <c r="AA1436" t="n">
        <v>197</v>
      </c>
      <c r="AB1436" t="n">
        <v>3</v>
      </c>
      <c r="AC1436" t="n">
        <v>3</v>
      </c>
      <c r="AD1436" t="n">
        <v>9</v>
      </c>
      <c r="AE1436" t="n">
        <v>10</v>
      </c>
      <c r="AF1436" t="n">
        <v>2</v>
      </c>
      <c r="AG1436" t="n">
        <v>2</v>
      </c>
      <c r="AH1436" t="n">
        <v>0</v>
      </c>
      <c r="AI1436" t="n">
        <v>0</v>
      </c>
      <c r="AJ1436" t="n">
        <v>7</v>
      </c>
      <c r="AK1436" t="n">
        <v>8</v>
      </c>
      <c r="AL1436" t="n">
        <v>1</v>
      </c>
      <c r="AM1436" t="n">
        <v>1</v>
      </c>
      <c r="AN1436" t="n">
        <v>0</v>
      </c>
      <c r="AO1436" t="n">
        <v>0</v>
      </c>
      <c r="AP1436" t="inlineStr">
        <is>
          <t>No</t>
        </is>
      </c>
      <c r="AQ1436" t="inlineStr">
        <is>
          <t>Yes</t>
        </is>
      </c>
      <c r="AR1436">
        <f>HYPERLINK("http://catalog.hathitrust.org/Record/102378442","HathiTrust Record")</f>
        <v/>
      </c>
      <c r="AS1436">
        <f>HYPERLINK("https://creighton-primo.hosted.exlibrisgroup.com/primo-explore/search?tab=default_tab&amp;search_scope=EVERYTHING&amp;vid=01CRU&amp;lang=en_US&amp;offset=0&amp;query=any,contains,991004083849702656","Catalog Record")</f>
        <v/>
      </c>
      <c r="AT1436">
        <f>HYPERLINK("http://www.worldcat.org/oclc/2331486","WorldCat Record")</f>
        <v/>
      </c>
      <c r="AU1436" t="inlineStr">
        <is>
          <t>3943681038:eng</t>
        </is>
      </c>
      <c r="AV1436" t="inlineStr">
        <is>
          <t>2331486</t>
        </is>
      </c>
      <c r="AW1436" t="inlineStr">
        <is>
          <t>991004083849702656</t>
        </is>
      </c>
      <c r="AX1436" t="inlineStr">
        <is>
          <t>991004083849702656</t>
        </is>
      </c>
      <c r="AY1436" t="inlineStr">
        <is>
          <t>2264280100002656</t>
        </is>
      </c>
      <c r="AZ1436" t="inlineStr">
        <is>
          <t>BOOK</t>
        </is>
      </c>
      <c r="BB1436" t="inlineStr">
        <is>
          <t>9780385121644</t>
        </is>
      </c>
      <c r="BC1436" t="inlineStr">
        <is>
          <t>32285000808054</t>
        </is>
      </c>
      <c r="BD1436" t="inlineStr">
        <is>
          <t>893882045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