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40"/>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CB104 .R67 1997</t>
        </is>
      </c>
      <c r="E2" t="inlineStr">
        <is>
          <t>0                      CB 0104000R  67          1997</t>
        </is>
      </c>
      <c r="F2" t="inlineStr">
        <is>
          <t>El sentido de la cultura / Bruno Rosario Candelier.</t>
        </is>
      </c>
      <c r="H2" t="inlineStr">
        <is>
          <t>No</t>
        </is>
      </c>
      <c r="I2" t="inlineStr">
        <is>
          <t>1</t>
        </is>
      </c>
      <c r="J2" t="inlineStr">
        <is>
          <t>No</t>
        </is>
      </c>
      <c r="K2" t="inlineStr">
        <is>
          <t>No</t>
        </is>
      </c>
      <c r="L2" t="inlineStr">
        <is>
          <t>0</t>
        </is>
      </c>
      <c r="M2" t="inlineStr">
        <is>
          <t>Rosario Candelier, Bruno, 1941-</t>
        </is>
      </c>
      <c r="N2" t="inlineStr">
        <is>
          <t>Santo Domingo, República Dominicana : Comisión Permanente de la Feria Nacional del Libro, 1997.</t>
        </is>
      </c>
      <c r="O2" t="inlineStr">
        <is>
          <t>1997</t>
        </is>
      </c>
      <c r="P2" t="inlineStr">
        <is>
          <t>1. ed.</t>
        </is>
      </c>
      <c r="Q2" t="inlineStr">
        <is>
          <t>spa</t>
        </is>
      </c>
      <c r="R2" t="inlineStr">
        <is>
          <t xml:space="preserve">dr </t>
        </is>
      </c>
      <c r="T2" t="inlineStr">
        <is>
          <t xml:space="preserve">CB </t>
        </is>
      </c>
      <c r="U2" t="n">
        <v>1</v>
      </c>
      <c r="V2" t="n">
        <v>1</v>
      </c>
      <c r="W2" t="inlineStr">
        <is>
          <t>2007-12-06</t>
        </is>
      </c>
      <c r="X2" t="inlineStr">
        <is>
          <t>2007-12-06</t>
        </is>
      </c>
      <c r="Y2" t="inlineStr">
        <is>
          <t>1998-06-17</t>
        </is>
      </c>
      <c r="Z2" t="inlineStr">
        <is>
          <t>1998-06-17</t>
        </is>
      </c>
      <c r="AA2" t="n">
        <v>16</v>
      </c>
      <c r="AB2" t="n">
        <v>16</v>
      </c>
      <c r="AC2" t="n">
        <v>18</v>
      </c>
      <c r="AD2" t="n">
        <v>1</v>
      </c>
      <c r="AE2" t="n">
        <v>1</v>
      </c>
      <c r="AF2" t="n">
        <v>0</v>
      </c>
      <c r="AG2" t="n">
        <v>0</v>
      </c>
      <c r="AH2" t="n">
        <v>0</v>
      </c>
      <c r="AI2" t="n">
        <v>0</v>
      </c>
      <c r="AJ2" t="n">
        <v>0</v>
      </c>
      <c r="AK2" t="n">
        <v>0</v>
      </c>
      <c r="AL2" t="n">
        <v>0</v>
      </c>
      <c r="AM2" t="n">
        <v>0</v>
      </c>
      <c r="AN2" t="n">
        <v>0</v>
      </c>
      <c r="AO2" t="n">
        <v>0</v>
      </c>
      <c r="AP2" t="n">
        <v>0</v>
      </c>
      <c r="AQ2" t="n">
        <v>0</v>
      </c>
      <c r="AR2" t="inlineStr">
        <is>
          <t>No</t>
        </is>
      </c>
      <c r="AS2" t="inlineStr">
        <is>
          <t>Yes</t>
        </is>
      </c>
      <c r="AT2">
        <f>HYPERLINK("http://catalog.hathitrust.org/Record/003269962","HathiTrust Record")</f>
        <v/>
      </c>
      <c r="AU2">
        <f>HYPERLINK("https://creighton-primo.hosted.exlibrisgroup.com/primo-explore/search?tab=default_tab&amp;search_scope=EVERYTHING&amp;vid=01CRU&amp;lang=en_US&amp;offset=0&amp;query=any,contains,991002928259702656","Catalog Record")</f>
        <v/>
      </c>
      <c r="AV2">
        <f>HYPERLINK("http://www.worldcat.org/oclc/38925483","WorldCat Record")</f>
        <v/>
      </c>
      <c r="AW2" t="inlineStr">
        <is>
          <t>477579030:spa</t>
        </is>
      </c>
      <c r="AX2" t="inlineStr">
        <is>
          <t>38925483</t>
        </is>
      </c>
      <c r="AY2" t="inlineStr">
        <is>
          <t>991002928259702656</t>
        </is>
      </c>
      <c r="AZ2" t="inlineStr">
        <is>
          <t>991002928259702656</t>
        </is>
      </c>
      <c r="BA2" t="inlineStr">
        <is>
          <t>2264412070002656</t>
        </is>
      </c>
      <c r="BB2" t="inlineStr">
        <is>
          <t>BOOK</t>
        </is>
      </c>
      <c r="BD2" t="inlineStr">
        <is>
          <t>9788489539532</t>
        </is>
      </c>
      <c r="BE2" t="inlineStr">
        <is>
          <t>32285003421814</t>
        </is>
      </c>
      <c r="BF2" t="inlineStr">
        <is>
          <t>893809737</t>
        </is>
      </c>
    </row>
    <row r="3">
      <c r="B3" t="inlineStr">
        <is>
          <t>CURAL</t>
        </is>
      </c>
      <c r="C3" t="inlineStr">
        <is>
          <t>SHELVES</t>
        </is>
      </c>
      <c r="D3" t="inlineStr">
        <is>
          <t>CB151 .B66 1998</t>
        </is>
      </c>
      <c r="E3" t="inlineStr">
        <is>
          <t>0                      CB 0151000B  66          1998</t>
        </is>
      </c>
      <c r="F3" t="inlineStr">
        <is>
          <t>The seekers : the story of man's continuing quest to understand his world / Daniel J. Boorstin.</t>
        </is>
      </c>
      <c r="H3" t="inlineStr">
        <is>
          <t>No</t>
        </is>
      </c>
      <c r="I3" t="inlineStr">
        <is>
          <t>1</t>
        </is>
      </c>
      <c r="J3" t="inlineStr">
        <is>
          <t>No</t>
        </is>
      </c>
      <c r="K3" t="inlineStr">
        <is>
          <t>No</t>
        </is>
      </c>
      <c r="L3" t="inlineStr">
        <is>
          <t>0</t>
        </is>
      </c>
      <c r="M3" t="inlineStr">
        <is>
          <t>Boorstin, Daniel J. (Daniel Joseph), 1914-2004.</t>
        </is>
      </c>
      <c r="N3" t="inlineStr">
        <is>
          <t>New York : Random House, c1998.</t>
        </is>
      </c>
      <c r="O3" t="inlineStr">
        <is>
          <t>1998</t>
        </is>
      </c>
      <c r="P3" t="inlineStr">
        <is>
          <t>1st ed.</t>
        </is>
      </c>
      <c r="Q3" t="inlineStr">
        <is>
          <t>eng</t>
        </is>
      </c>
      <c r="R3" t="inlineStr">
        <is>
          <t>nyu</t>
        </is>
      </c>
      <c r="T3" t="inlineStr">
        <is>
          <t xml:space="preserve">CB </t>
        </is>
      </c>
      <c r="U3" t="n">
        <v>5</v>
      </c>
      <c r="V3" t="n">
        <v>5</v>
      </c>
      <c r="W3" t="inlineStr">
        <is>
          <t>1999-09-07</t>
        </is>
      </c>
      <c r="X3" t="inlineStr">
        <is>
          <t>1999-09-07</t>
        </is>
      </c>
      <c r="Y3" t="inlineStr">
        <is>
          <t>1998-10-07</t>
        </is>
      </c>
      <c r="Z3" t="inlineStr">
        <is>
          <t>1998-10-07</t>
        </is>
      </c>
      <c r="AA3" t="n">
        <v>1796</v>
      </c>
      <c r="AB3" t="n">
        <v>1697</v>
      </c>
      <c r="AC3" t="n">
        <v>1842</v>
      </c>
      <c r="AD3" t="n">
        <v>11</v>
      </c>
      <c r="AE3" t="n">
        <v>12</v>
      </c>
      <c r="AF3" t="n">
        <v>39</v>
      </c>
      <c r="AG3" t="n">
        <v>45</v>
      </c>
      <c r="AH3" t="n">
        <v>17</v>
      </c>
      <c r="AI3" t="n">
        <v>20</v>
      </c>
      <c r="AJ3" t="n">
        <v>6</v>
      </c>
      <c r="AK3" t="n">
        <v>8</v>
      </c>
      <c r="AL3" t="n">
        <v>18</v>
      </c>
      <c r="AM3" t="n">
        <v>20</v>
      </c>
      <c r="AN3" t="n">
        <v>7</v>
      </c>
      <c r="AO3" t="n">
        <v>8</v>
      </c>
      <c r="AP3" t="n">
        <v>0</v>
      </c>
      <c r="AQ3" t="n">
        <v>0</v>
      </c>
      <c r="AR3" t="inlineStr">
        <is>
          <t>No</t>
        </is>
      </c>
      <c r="AS3" t="inlineStr">
        <is>
          <t>Yes</t>
        </is>
      </c>
      <c r="AT3">
        <f>HYPERLINK("http://catalog.hathitrust.org/Record/003999145","HathiTrust Record")</f>
        <v/>
      </c>
      <c r="AU3">
        <f>HYPERLINK("https://creighton-primo.hosted.exlibrisgroup.com/primo-explore/search?tab=default_tab&amp;search_scope=EVERYTHING&amp;vid=01CRU&amp;lang=en_US&amp;offset=0&amp;query=any,contains,991002917739702656","Catalog Record")</f>
        <v/>
      </c>
      <c r="AV3">
        <f>HYPERLINK("http://www.worldcat.org/oclc/38580254","WorldCat Record")</f>
        <v/>
      </c>
      <c r="AW3" t="inlineStr">
        <is>
          <t>193036430:eng</t>
        </is>
      </c>
      <c r="AX3" t="inlineStr">
        <is>
          <t>38580254</t>
        </is>
      </c>
      <c r="AY3" t="inlineStr">
        <is>
          <t>991002917739702656</t>
        </is>
      </c>
      <c r="AZ3" t="inlineStr">
        <is>
          <t>991002917739702656</t>
        </is>
      </c>
      <c r="BA3" t="inlineStr">
        <is>
          <t>2256522780002656</t>
        </is>
      </c>
      <c r="BB3" t="inlineStr">
        <is>
          <t>BOOK</t>
        </is>
      </c>
      <c r="BD3" t="inlineStr">
        <is>
          <t>9780679434450</t>
        </is>
      </c>
      <c r="BE3" t="inlineStr">
        <is>
          <t>32285003473385</t>
        </is>
      </c>
      <c r="BF3" t="inlineStr">
        <is>
          <t>893721711</t>
        </is>
      </c>
    </row>
    <row r="4">
      <c r="B4" t="inlineStr">
        <is>
          <t>CURAL</t>
        </is>
      </c>
      <c r="C4" t="inlineStr">
        <is>
          <t>SHELVES</t>
        </is>
      </c>
      <c r="D4" t="inlineStr">
        <is>
          <t>CB151 .F47 2001</t>
        </is>
      </c>
      <c r="E4" t="inlineStr">
        <is>
          <t>0                      CB 0151000F  47          2001</t>
        </is>
      </c>
      <c r="F4" t="inlineStr">
        <is>
          <t>Civilizations : culture, ambition, and the transformation of nature / Felipe Fernández-Armesto.</t>
        </is>
      </c>
      <c r="H4" t="inlineStr">
        <is>
          <t>No</t>
        </is>
      </c>
      <c r="I4" t="inlineStr">
        <is>
          <t>1</t>
        </is>
      </c>
      <c r="J4" t="inlineStr">
        <is>
          <t>No</t>
        </is>
      </c>
      <c r="K4" t="inlineStr">
        <is>
          <t>No</t>
        </is>
      </c>
      <c r="L4" t="inlineStr">
        <is>
          <t>0</t>
        </is>
      </c>
      <c r="M4" t="inlineStr">
        <is>
          <t>Fernández-Armesto, Felipe.</t>
        </is>
      </c>
      <c r="N4" t="inlineStr">
        <is>
          <t>New York : Free Press, c2001.</t>
        </is>
      </c>
      <c r="O4" t="inlineStr">
        <is>
          <t>2001</t>
        </is>
      </c>
      <c r="Q4" t="inlineStr">
        <is>
          <t>eng</t>
        </is>
      </c>
      <c r="R4" t="inlineStr">
        <is>
          <t>nyu</t>
        </is>
      </c>
      <c r="T4" t="inlineStr">
        <is>
          <t xml:space="preserve">CB </t>
        </is>
      </c>
      <c r="U4" t="n">
        <v>1</v>
      </c>
      <c r="V4" t="n">
        <v>1</v>
      </c>
      <c r="W4" t="inlineStr">
        <is>
          <t>2004-01-23</t>
        </is>
      </c>
      <c r="X4" t="inlineStr">
        <is>
          <t>2004-01-23</t>
        </is>
      </c>
      <c r="Y4" t="inlineStr">
        <is>
          <t>2001-06-12</t>
        </is>
      </c>
      <c r="Z4" t="inlineStr">
        <is>
          <t>2001-06-12</t>
        </is>
      </c>
      <c r="AA4" t="n">
        <v>738</v>
      </c>
      <c r="AB4" t="n">
        <v>674</v>
      </c>
      <c r="AC4" t="n">
        <v>791</v>
      </c>
      <c r="AD4" t="n">
        <v>5</v>
      </c>
      <c r="AE4" t="n">
        <v>6</v>
      </c>
      <c r="AF4" t="n">
        <v>17</v>
      </c>
      <c r="AG4" t="n">
        <v>22</v>
      </c>
      <c r="AH4" t="n">
        <v>6</v>
      </c>
      <c r="AI4" t="n">
        <v>7</v>
      </c>
      <c r="AJ4" t="n">
        <v>4</v>
      </c>
      <c r="AK4" t="n">
        <v>6</v>
      </c>
      <c r="AL4" t="n">
        <v>7</v>
      </c>
      <c r="AM4" t="n">
        <v>9</v>
      </c>
      <c r="AN4" t="n">
        <v>3</v>
      </c>
      <c r="AO4" t="n">
        <v>4</v>
      </c>
      <c r="AP4" t="n">
        <v>0</v>
      </c>
      <c r="AQ4" t="n">
        <v>0</v>
      </c>
      <c r="AR4" t="inlineStr">
        <is>
          <t>No</t>
        </is>
      </c>
      <c r="AS4" t="inlineStr">
        <is>
          <t>Yes</t>
        </is>
      </c>
      <c r="AT4">
        <f>HYPERLINK("http://catalog.hathitrust.org/Record/004173155","HathiTrust Record")</f>
        <v/>
      </c>
      <c r="AU4">
        <f>HYPERLINK("https://creighton-primo.hosted.exlibrisgroup.com/primo-explore/search?tab=default_tab&amp;search_scope=EVERYTHING&amp;vid=01CRU&amp;lang=en_US&amp;offset=0&amp;query=any,contains,991003540939702656","Catalog Record")</f>
        <v/>
      </c>
      <c r="AV4">
        <f>HYPERLINK("http://www.worldcat.org/oclc/45799376","WorldCat Record")</f>
        <v/>
      </c>
      <c r="AW4" t="inlineStr">
        <is>
          <t>34353903:eng</t>
        </is>
      </c>
      <c r="AX4" t="inlineStr">
        <is>
          <t>45799376</t>
        </is>
      </c>
      <c r="AY4" t="inlineStr">
        <is>
          <t>991003540939702656</t>
        </is>
      </c>
      <c r="AZ4" t="inlineStr">
        <is>
          <t>991003540939702656</t>
        </is>
      </c>
      <c r="BA4" t="inlineStr">
        <is>
          <t>2256168720002656</t>
        </is>
      </c>
      <c r="BB4" t="inlineStr">
        <is>
          <t>BOOK</t>
        </is>
      </c>
      <c r="BD4" t="inlineStr">
        <is>
          <t>9780743202480</t>
        </is>
      </c>
      <c r="BE4" t="inlineStr">
        <is>
          <t>32285004326517</t>
        </is>
      </c>
      <c r="BF4" t="inlineStr">
        <is>
          <t>893324171</t>
        </is>
      </c>
    </row>
    <row r="5">
      <c r="B5" t="inlineStr">
        <is>
          <t>CURAL</t>
        </is>
      </c>
      <c r="C5" t="inlineStr">
        <is>
          <t>SHELVES</t>
        </is>
      </c>
      <c r="D5" t="inlineStr">
        <is>
          <t>CB151 .P53 1962</t>
        </is>
      </c>
      <c r="E5" t="inlineStr">
        <is>
          <t>0                      CB 0151000P  53          1962</t>
        </is>
      </c>
      <c r="F5" t="inlineStr">
        <is>
          <t>Science in the cause of man.</t>
        </is>
      </c>
      <c r="H5" t="inlineStr">
        <is>
          <t>No</t>
        </is>
      </c>
      <c r="I5" t="inlineStr">
        <is>
          <t>1</t>
        </is>
      </c>
      <c r="J5" t="inlineStr">
        <is>
          <t>No</t>
        </is>
      </c>
      <c r="K5" t="inlineStr">
        <is>
          <t>No</t>
        </is>
      </c>
      <c r="L5" t="inlineStr">
        <is>
          <t>0</t>
        </is>
      </c>
      <c r="M5" t="inlineStr">
        <is>
          <t>Piel, Gerard.</t>
        </is>
      </c>
      <c r="N5" t="inlineStr">
        <is>
          <t>New York, Knopf, 1962.</t>
        </is>
      </c>
      <c r="O5" t="inlineStr">
        <is>
          <t>1962</t>
        </is>
      </c>
      <c r="P5" t="inlineStr">
        <is>
          <t>2d ed., rev. and enl.</t>
        </is>
      </c>
      <c r="Q5" t="inlineStr">
        <is>
          <t>eng</t>
        </is>
      </c>
      <c r="R5" t="inlineStr">
        <is>
          <t xml:space="preserve">xx </t>
        </is>
      </c>
      <c r="T5" t="inlineStr">
        <is>
          <t xml:space="preserve">CB </t>
        </is>
      </c>
      <c r="U5" t="n">
        <v>2</v>
      </c>
      <c r="V5" t="n">
        <v>2</v>
      </c>
      <c r="W5" t="inlineStr">
        <is>
          <t>1998-06-30</t>
        </is>
      </c>
      <c r="X5" t="inlineStr">
        <is>
          <t>1998-06-30</t>
        </is>
      </c>
      <c r="Y5" t="inlineStr">
        <is>
          <t>1996-08-14</t>
        </is>
      </c>
      <c r="Z5" t="inlineStr">
        <is>
          <t>1996-08-14</t>
        </is>
      </c>
      <c r="AA5" t="n">
        <v>603</v>
      </c>
      <c r="AB5" t="n">
        <v>569</v>
      </c>
      <c r="AC5" t="n">
        <v>894</v>
      </c>
      <c r="AD5" t="n">
        <v>4</v>
      </c>
      <c r="AE5" t="n">
        <v>4</v>
      </c>
      <c r="AF5" t="n">
        <v>22</v>
      </c>
      <c r="AG5" t="n">
        <v>34</v>
      </c>
      <c r="AH5" t="n">
        <v>10</v>
      </c>
      <c r="AI5" t="n">
        <v>14</v>
      </c>
      <c r="AJ5" t="n">
        <v>3</v>
      </c>
      <c r="AK5" t="n">
        <v>6</v>
      </c>
      <c r="AL5" t="n">
        <v>10</v>
      </c>
      <c r="AM5" t="n">
        <v>19</v>
      </c>
      <c r="AN5" t="n">
        <v>3</v>
      </c>
      <c r="AO5" t="n">
        <v>3</v>
      </c>
      <c r="AP5" t="n">
        <v>0</v>
      </c>
      <c r="AQ5" t="n">
        <v>0</v>
      </c>
      <c r="AR5" t="inlineStr">
        <is>
          <t>No</t>
        </is>
      </c>
      <c r="AS5" t="inlineStr">
        <is>
          <t>No</t>
        </is>
      </c>
      <c r="AT5">
        <f>HYPERLINK("http://catalog.hathitrust.org/Record/001603687","HathiTrust Record")</f>
        <v/>
      </c>
      <c r="AU5">
        <f>HYPERLINK("https://creighton-primo.hosted.exlibrisgroup.com/primo-explore/search?tab=default_tab&amp;search_scope=EVERYTHING&amp;vid=01CRU&amp;lang=en_US&amp;offset=0&amp;query=any,contains,991002742589702656","Catalog Record")</f>
        <v/>
      </c>
      <c r="AV5">
        <f>HYPERLINK("http://www.worldcat.org/oclc/421651","WorldCat Record")</f>
        <v/>
      </c>
      <c r="AW5" t="inlineStr">
        <is>
          <t>1505307:eng</t>
        </is>
      </c>
      <c r="AX5" t="inlineStr">
        <is>
          <t>421651</t>
        </is>
      </c>
      <c r="AY5" t="inlineStr">
        <is>
          <t>991002742589702656</t>
        </is>
      </c>
      <c r="AZ5" t="inlineStr">
        <is>
          <t>991002742589702656</t>
        </is>
      </c>
      <c r="BA5" t="inlineStr">
        <is>
          <t>2267628860002656</t>
        </is>
      </c>
      <c r="BB5" t="inlineStr">
        <is>
          <t>BOOK</t>
        </is>
      </c>
      <c r="BE5" t="inlineStr">
        <is>
          <t>32285002264199</t>
        </is>
      </c>
      <c r="BF5" t="inlineStr">
        <is>
          <t>893804968</t>
        </is>
      </c>
    </row>
    <row r="6">
      <c r="B6" t="inlineStr">
        <is>
          <t>CURAL</t>
        </is>
      </c>
      <c r="C6" t="inlineStr">
        <is>
          <t>SHELVES</t>
        </is>
      </c>
      <c r="D6" t="inlineStr">
        <is>
          <t>CB155 .A69 1963</t>
        </is>
      </c>
      <c r="E6" t="inlineStr">
        <is>
          <t>0                      CB 0155000A  69          1963</t>
        </is>
      </c>
      <c r="F6" t="inlineStr">
        <is>
          <t>Between past and future; six exercises in political thought.</t>
        </is>
      </c>
      <c r="H6" t="inlineStr">
        <is>
          <t>No</t>
        </is>
      </c>
      <c r="I6" t="inlineStr">
        <is>
          <t>1</t>
        </is>
      </c>
      <c r="J6" t="inlineStr">
        <is>
          <t>No</t>
        </is>
      </c>
      <c r="K6" t="inlineStr">
        <is>
          <t>No</t>
        </is>
      </c>
      <c r="L6" t="inlineStr">
        <is>
          <t>0</t>
        </is>
      </c>
      <c r="M6" t="inlineStr">
        <is>
          <t>Arendt, Hannah, 1906-1975.</t>
        </is>
      </c>
      <c r="N6" t="inlineStr">
        <is>
          <t>Cleveland, World Pub. Co. [1963, c1961]</t>
        </is>
      </c>
      <c r="O6" t="inlineStr">
        <is>
          <t>1963</t>
        </is>
      </c>
      <c r="Q6" t="inlineStr">
        <is>
          <t>eng</t>
        </is>
      </c>
      <c r="R6" t="inlineStr">
        <is>
          <t>ohu</t>
        </is>
      </c>
      <c r="S6" t="inlineStr">
        <is>
          <t>Meridian books</t>
        </is>
      </c>
      <c r="T6" t="inlineStr">
        <is>
          <t xml:space="preserve">CB </t>
        </is>
      </c>
      <c r="U6" t="n">
        <v>1</v>
      </c>
      <c r="V6" t="n">
        <v>1</v>
      </c>
      <c r="W6" t="inlineStr">
        <is>
          <t>2009-04-06</t>
        </is>
      </c>
      <c r="X6" t="inlineStr">
        <is>
          <t>2009-04-06</t>
        </is>
      </c>
      <c r="Y6" t="inlineStr">
        <is>
          <t>1996-08-14</t>
        </is>
      </c>
      <c r="Z6" t="inlineStr">
        <is>
          <t>1996-08-14</t>
        </is>
      </c>
      <c r="AA6" t="n">
        <v>77</v>
      </c>
      <c r="AB6" t="n">
        <v>67</v>
      </c>
      <c r="AC6" t="n">
        <v>723</v>
      </c>
      <c r="AD6" t="n">
        <v>1</v>
      </c>
      <c r="AE6" t="n">
        <v>4</v>
      </c>
      <c r="AF6" t="n">
        <v>5</v>
      </c>
      <c r="AG6" t="n">
        <v>33</v>
      </c>
      <c r="AH6" t="n">
        <v>1</v>
      </c>
      <c r="AI6" t="n">
        <v>13</v>
      </c>
      <c r="AJ6" t="n">
        <v>0</v>
      </c>
      <c r="AK6" t="n">
        <v>6</v>
      </c>
      <c r="AL6" t="n">
        <v>4</v>
      </c>
      <c r="AM6" t="n">
        <v>15</v>
      </c>
      <c r="AN6" t="n">
        <v>0</v>
      </c>
      <c r="AO6" t="n">
        <v>3</v>
      </c>
      <c r="AP6" t="n">
        <v>1</v>
      </c>
      <c r="AQ6" t="n">
        <v>1</v>
      </c>
      <c r="AR6" t="inlineStr">
        <is>
          <t>No</t>
        </is>
      </c>
      <c r="AS6" t="inlineStr">
        <is>
          <t>No</t>
        </is>
      </c>
      <c r="AU6">
        <f>HYPERLINK("https://creighton-primo.hosted.exlibrisgroup.com/primo-explore/search?tab=default_tab&amp;search_scope=EVERYTHING&amp;vid=01CRU&amp;lang=en_US&amp;offset=0&amp;query=any,contains,991005051909702656","Catalog Record")</f>
        <v/>
      </c>
      <c r="AV6">
        <f>HYPERLINK("http://www.worldcat.org/oclc/6869886","WorldCat Record")</f>
        <v/>
      </c>
      <c r="AW6" t="inlineStr">
        <is>
          <t>4094446705:eng</t>
        </is>
      </c>
      <c r="AX6" t="inlineStr">
        <is>
          <t>6869886</t>
        </is>
      </c>
      <c r="AY6" t="inlineStr">
        <is>
          <t>991005051909702656</t>
        </is>
      </c>
      <c r="AZ6" t="inlineStr">
        <is>
          <t>991005051909702656</t>
        </is>
      </c>
      <c r="BA6" t="inlineStr">
        <is>
          <t>2259621210002656</t>
        </is>
      </c>
      <c r="BB6" t="inlineStr">
        <is>
          <t>BOOK</t>
        </is>
      </c>
      <c r="BE6" t="inlineStr">
        <is>
          <t>32285002264272</t>
        </is>
      </c>
      <c r="BF6" t="inlineStr">
        <is>
          <t>893713371</t>
        </is>
      </c>
    </row>
    <row r="7">
      <c r="B7" t="inlineStr">
        <is>
          <t>CURAL</t>
        </is>
      </c>
      <c r="C7" t="inlineStr">
        <is>
          <t>SHELVES</t>
        </is>
      </c>
      <c r="D7" t="inlineStr">
        <is>
          <t>CB156 .M52 1977</t>
        </is>
      </c>
      <c r="E7" t="inlineStr">
        <is>
          <t>0                      CB 0156000M  52          1977</t>
        </is>
      </c>
      <c r="F7" t="inlineStr">
        <is>
          <t>The once and future star / George Michanowsky. --</t>
        </is>
      </c>
      <c r="H7" t="inlineStr">
        <is>
          <t>No</t>
        </is>
      </c>
      <c r="I7" t="inlineStr">
        <is>
          <t>1</t>
        </is>
      </c>
      <c r="J7" t="inlineStr">
        <is>
          <t>No</t>
        </is>
      </c>
      <c r="K7" t="inlineStr">
        <is>
          <t>No</t>
        </is>
      </c>
      <c r="L7" t="inlineStr">
        <is>
          <t>0</t>
        </is>
      </c>
      <c r="M7" t="inlineStr">
        <is>
          <t>Michanowsky, George.</t>
        </is>
      </c>
      <c r="N7" t="inlineStr">
        <is>
          <t>New York : Hawthorn Books, c1977.</t>
        </is>
      </c>
      <c r="O7" t="inlineStr">
        <is>
          <t>1977</t>
        </is>
      </c>
      <c r="Q7" t="inlineStr">
        <is>
          <t>eng</t>
        </is>
      </c>
      <c r="R7" t="inlineStr">
        <is>
          <t>nyu</t>
        </is>
      </c>
      <c r="T7" t="inlineStr">
        <is>
          <t xml:space="preserve">CB </t>
        </is>
      </c>
      <c r="U7" t="n">
        <v>3</v>
      </c>
      <c r="V7" t="n">
        <v>3</v>
      </c>
      <c r="W7" t="inlineStr">
        <is>
          <t>1995-03-31</t>
        </is>
      </c>
      <c r="X7" t="inlineStr">
        <is>
          <t>1995-03-31</t>
        </is>
      </c>
      <c r="Y7" t="inlineStr">
        <is>
          <t>1992-04-30</t>
        </is>
      </c>
      <c r="Z7" t="inlineStr">
        <is>
          <t>1992-04-30</t>
        </is>
      </c>
      <c r="AA7" t="n">
        <v>195</v>
      </c>
      <c r="AB7" t="n">
        <v>181</v>
      </c>
      <c r="AC7" t="n">
        <v>200</v>
      </c>
      <c r="AD7" t="n">
        <v>2</v>
      </c>
      <c r="AE7" t="n">
        <v>2</v>
      </c>
      <c r="AF7" t="n">
        <v>4</v>
      </c>
      <c r="AG7" t="n">
        <v>5</v>
      </c>
      <c r="AH7" t="n">
        <v>2</v>
      </c>
      <c r="AI7" t="n">
        <v>3</v>
      </c>
      <c r="AJ7" t="n">
        <v>0</v>
      </c>
      <c r="AK7" t="n">
        <v>0</v>
      </c>
      <c r="AL7" t="n">
        <v>3</v>
      </c>
      <c r="AM7" t="n">
        <v>3</v>
      </c>
      <c r="AN7" t="n">
        <v>1</v>
      </c>
      <c r="AO7" t="n">
        <v>1</v>
      </c>
      <c r="AP7" t="n">
        <v>0</v>
      </c>
      <c r="AQ7" t="n">
        <v>0</v>
      </c>
      <c r="AR7" t="inlineStr">
        <is>
          <t>No</t>
        </is>
      </c>
      <c r="AS7" t="inlineStr">
        <is>
          <t>No</t>
        </is>
      </c>
      <c r="AU7">
        <f>HYPERLINK("https://creighton-primo.hosted.exlibrisgroup.com/primo-explore/search?tab=default_tab&amp;search_scope=EVERYTHING&amp;vid=01CRU&amp;lang=en_US&amp;offset=0&amp;query=any,contains,991004449879702656","Catalog Record")</f>
        <v/>
      </c>
      <c r="AV7">
        <f>HYPERLINK("http://www.worldcat.org/oclc/3504533","WorldCat Record")</f>
        <v/>
      </c>
      <c r="AW7" t="inlineStr">
        <is>
          <t>10390781:eng</t>
        </is>
      </c>
      <c r="AX7" t="inlineStr">
        <is>
          <t>3504533</t>
        </is>
      </c>
      <c r="AY7" t="inlineStr">
        <is>
          <t>991004449879702656</t>
        </is>
      </c>
      <c r="AZ7" t="inlineStr">
        <is>
          <t>991004449879702656</t>
        </is>
      </c>
      <c r="BA7" t="inlineStr">
        <is>
          <t>2256509770002656</t>
        </is>
      </c>
      <c r="BB7" t="inlineStr">
        <is>
          <t>BOOK</t>
        </is>
      </c>
      <c r="BD7" t="inlineStr">
        <is>
          <t>9780801555053</t>
        </is>
      </c>
      <c r="BE7" t="inlineStr">
        <is>
          <t>32285001104859</t>
        </is>
      </c>
      <c r="BF7" t="inlineStr">
        <is>
          <t>893259741</t>
        </is>
      </c>
    </row>
    <row r="8">
      <c r="B8" t="inlineStr">
        <is>
          <t>CURAL</t>
        </is>
      </c>
      <c r="C8" t="inlineStr">
        <is>
          <t>SHELVES</t>
        </is>
      </c>
      <c r="D8" t="inlineStr">
        <is>
          <t>CB158 .D83 1991</t>
        </is>
      </c>
      <c r="E8" t="inlineStr">
        <is>
          <t>0                      CB 0158000D  83          1991</t>
        </is>
      </c>
      <c r="F8" t="inlineStr">
        <is>
          <t>Futurehype : the tyranny of prophecy / Max Dublin.</t>
        </is>
      </c>
      <c r="H8" t="inlineStr">
        <is>
          <t>No</t>
        </is>
      </c>
      <c r="I8" t="inlineStr">
        <is>
          <t>1</t>
        </is>
      </c>
      <c r="J8" t="inlineStr">
        <is>
          <t>No</t>
        </is>
      </c>
      <c r="K8" t="inlineStr">
        <is>
          <t>No</t>
        </is>
      </c>
      <c r="L8" t="inlineStr">
        <is>
          <t>0</t>
        </is>
      </c>
      <c r="M8" t="inlineStr">
        <is>
          <t>Dublin, Max, 1947-</t>
        </is>
      </c>
      <c r="N8" t="inlineStr">
        <is>
          <t>New York, N.Y., U.S.A. : Dutton, 1991.</t>
        </is>
      </c>
      <c r="O8" t="inlineStr">
        <is>
          <t>1991</t>
        </is>
      </c>
      <c r="Q8" t="inlineStr">
        <is>
          <t>eng</t>
        </is>
      </c>
      <c r="R8" t="inlineStr">
        <is>
          <t>nyu</t>
        </is>
      </c>
      <c r="T8" t="inlineStr">
        <is>
          <t xml:space="preserve">CB </t>
        </is>
      </c>
      <c r="U8" t="n">
        <v>4</v>
      </c>
      <c r="V8" t="n">
        <v>4</v>
      </c>
      <c r="W8" t="inlineStr">
        <is>
          <t>2006-12-14</t>
        </is>
      </c>
      <c r="X8" t="inlineStr">
        <is>
          <t>2006-12-14</t>
        </is>
      </c>
      <c r="Y8" t="inlineStr">
        <is>
          <t>1991-06-11</t>
        </is>
      </c>
      <c r="Z8" t="inlineStr">
        <is>
          <t>1991-06-11</t>
        </is>
      </c>
      <c r="AA8" t="n">
        <v>295</v>
      </c>
      <c r="AB8" t="n">
        <v>280</v>
      </c>
      <c r="AC8" t="n">
        <v>350</v>
      </c>
      <c r="AD8" t="n">
        <v>1</v>
      </c>
      <c r="AE8" t="n">
        <v>1</v>
      </c>
      <c r="AF8" t="n">
        <v>3</v>
      </c>
      <c r="AG8" t="n">
        <v>6</v>
      </c>
      <c r="AH8" t="n">
        <v>0</v>
      </c>
      <c r="AI8" t="n">
        <v>1</v>
      </c>
      <c r="AJ8" t="n">
        <v>1</v>
      </c>
      <c r="AK8" t="n">
        <v>1</v>
      </c>
      <c r="AL8" t="n">
        <v>2</v>
      </c>
      <c r="AM8" t="n">
        <v>4</v>
      </c>
      <c r="AN8" t="n">
        <v>0</v>
      </c>
      <c r="AO8" t="n">
        <v>0</v>
      </c>
      <c r="AP8" t="n">
        <v>0</v>
      </c>
      <c r="AQ8" t="n">
        <v>0</v>
      </c>
      <c r="AR8" t="inlineStr">
        <is>
          <t>No</t>
        </is>
      </c>
      <c r="AS8" t="inlineStr">
        <is>
          <t>Yes</t>
        </is>
      </c>
      <c r="AT8">
        <f>HYPERLINK("http://catalog.hathitrust.org/Record/004489212","HathiTrust Record")</f>
        <v/>
      </c>
      <c r="AU8">
        <f>HYPERLINK("https://creighton-primo.hosted.exlibrisgroup.com/primo-explore/search?tab=default_tab&amp;search_scope=EVERYTHING&amp;vid=01CRU&amp;lang=en_US&amp;offset=0&amp;query=any,contains,991001778419702656","Catalog Record")</f>
        <v/>
      </c>
      <c r="AV8">
        <f>HYPERLINK("http://www.worldcat.org/oclc/22450457","WorldCat Record")</f>
        <v/>
      </c>
      <c r="AW8" t="inlineStr">
        <is>
          <t>17744629:eng</t>
        </is>
      </c>
      <c r="AX8" t="inlineStr">
        <is>
          <t>22450457</t>
        </is>
      </c>
      <c r="AY8" t="inlineStr">
        <is>
          <t>991001778419702656</t>
        </is>
      </c>
      <c r="AZ8" t="inlineStr">
        <is>
          <t>991001778419702656</t>
        </is>
      </c>
      <c r="BA8" t="inlineStr">
        <is>
          <t>2259403730002656</t>
        </is>
      </c>
      <c r="BB8" t="inlineStr">
        <is>
          <t>BOOK</t>
        </is>
      </c>
      <c r="BE8" t="inlineStr">
        <is>
          <t>32285000655059</t>
        </is>
      </c>
      <c r="BF8" t="inlineStr">
        <is>
          <t>893414501</t>
        </is>
      </c>
    </row>
    <row r="9">
      <c r="B9" t="inlineStr">
        <is>
          <t>CURAL</t>
        </is>
      </c>
      <c r="C9" t="inlineStr">
        <is>
          <t>SHELVES</t>
        </is>
      </c>
      <c r="D9" t="inlineStr">
        <is>
          <t>CB158 .W34 1991</t>
        </is>
      </c>
      <c r="E9" t="inlineStr">
        <is>
          <t>0                      CB 0158000W  34          1991</t>
        </is>
      </c>
      <c r="F9" t="inlineStr">
        <is>
          <t>The next three futures : paradigms of things to come / W. Warren Wagar ; foreword by Edward Cornish.</t>
        </is>
      </c>
      <c r="H9" t="inlineStr">
        <is>
          <t>No</t>
        </is>
      </c>
      <c r="I9" t="inlineStr">
        <is>
          <t>1</t>
        </is>
      </c>
      <c r="J9" t="inlineStr">
        <is>
          <t>No</t>
        </is>
      </c>
      <c r="K9" t="inlineStr">
        <is>
          <t>No</t>
        </is>
      </c>
      <c r="L9" t="inlineStr">
        <is>
          <t>0</t>
        </is>
      </c>
      <c r="M9" t="inlineStr">
        <is>
          <t>Wagar, W. Warren.</t>
        </is>
      </c>
      <c r="N9" t="inlineStr">
        <is>
          <t>New York : Praeger, 1991.</t>
        </is>
      </c>
      <c r="O9" t="inlineStr">
        <is>
          <t>1991</t>
        </is>
      </c>
      <c r="Q9" t="inlineStr">
        <is>
          <t>eng</t>
        </is>
      </c>
      <c r="R9" t="inlineStr">
        <is>
          <t>nyu</t>
        </is>
      </c>
      <c r="T9" t="inlineStr">
        <is>
          <t xml:space="preserve">CB </t>
        </is>
      </c>
      <c r="U9" t="n">
        <v>5</v>
      </c>
      <c r="V9" t="n">
        <v>5</v>
      </c>
      <c r="W9" t="inlineStr">
        <is>
          <t>1999-10-28</t>
        </is>
      </c>
      <c r="X9" t="inlineStr">
        <is>
          <t>1999-10-28</t>
        </is>
      </c>
      <c r="Y9" t="inlineStr">
        <is>
          <t>1994-05-25</t>
        </is>
      </c>
      <c r="Z9" t="inlineStr">
        <is>
          <t>1994-05-25</t>
        </is>
      </c>
      <c r="AA9" t="n">
        <v>86</v>
      </c>
      <c r="AB9" t="n">
        <v>63</v>
      </c>
      <c r="AC9" t="n">
        <v>203</v>
      </c>
      <c r="AD9" t="n">
        <v>1</v>
      </c>
      <c r="AE9" t="n">
        <v>3</v>
      </c>
      <c r="AF9" t="n">
        <v>3</v>
      </c>
      <c r="AG9" t="n">
        <v>11</v>
      </c>
      <c r="AH9" t="n">
        <v>1</v>
      </c>
      <c r="AI9" t="n">
        <v>3</v>
      </c>
      <c r="AJ9" t="n">
        <v>0</v>
      </c>
      <c r="AK9" t="n">
        <v>3</v>
      </c>
      <c r="AL9" t="n">
        <v>3</v>
      </c>
      <c r="AM9" t="n">
        <v>7</v>
      </c>
      <c r="AN9" t="n">
        <v>0</v>
      </c>
      <c r="AO9" t="n">
        <v>2</v>
      </c>
      <c r="AP9" t="n">
        <v>0</v>
      </c>
      <c r="AQ9" t="n">
        <v>0</v>
      </c>
      <c r="AR9" t="inlineStr">
        <is>
          <t>No</t>
        </is>
      </c>
      <c r="AS9" t="inlineStr">
        <is>
          <t>Yes</t>
        </is>
      </c>
      <c r="AT9">
        <f>HYPERLINK("http://catalog.hathitrust.org/Record/101941344","HathiTrust Record")</f>
        <v/>
      </c>
      <c r="AU9">
        <f>HYPERLINK("https://creighton-primo.hosted.exlibrisgroup.com/primo-explore/search?tab=default_tab&amp;search_scope=EVERYTHING&amp;vid=01CRU&amp;lang=en_US&amp;offset=0&amp;query=any,contains,991001851179702656","Catalog Record")</f>
        <v/>
      </c>
      <c r="AV9">
        <f>HYPERLINK("http://www.worldcat.org/oclc/23220877","WorldCat Record")</f>
        <v/>
      </c>
      <c r="AW9" t="inlineStr">
        <is>
          <t>836798546:eng</t>
        </is>
      </c>
      <c r="AX9" t="inlineStr">
        <is>
          <t>23220877</t>
        </is>
      </c>
      <c r="AY9" t="inlineStr">
        <is>
          <t>991001851179702656</t>
        </is>
      </c>
      <c r="AZ9" t="inlineStr">
        <is>
          <t>991001851179702656</t>
        </is>
      </c>
      <c r="BA9" t="inlineStr">
        <is>
          <t>2290368780002656</t>
        </is>
      </c>
      <c r="BB9" t="inlineStr">
        <is>
          <t>BOOK</t>
        </is>
      </c>
      <c r="BD9" t="inlineStr">
        <is>
          <t>9780275940492</t>
        </is>
      </c>
      <c r="BE9" t="inlineStr">
        <is>
          <t>32285001880847</t>
        </is>
      </c>
      <c r="BF9" t="inlineStr">
        <is>
          <t>893238376</t>
        </is>
      </c>
    </row>
    <row r="10">
      <c r="B10" t="inlineStr">
        <is>
          <t>CURAL</t>
        </is>
      </c>
      <c r="C10" t="inlineStr">
        <is>
          <t>SHELVES</t>
        </is>
      </c>
      <c r="D10" t="inlineStr">
        <is>
          <t>CB161 .C5413 2001</t>
        </is>
      </c>
      <c r="E10" t="inlineStr">
        <is>
          <t>0                      CB 0161000C  5413        2001</t>
        </is>
      </c>
      <c r="F10" t="inlineStr">
        <is>
          <t>Keys to the 21st century / edited by Jérôme Bindé ; with a preface by Koïchiro Matsuura.</t>
        </is>
      </c>
      <c r="H10" t="inlineStr">
        <is>
          <t>No</t>
        </is>
      </c>
      <c r="I10" t="inlineStr">
        <is>
          <t>1</t>
        </is>
      </c>
      <c r="J10" t="inlineStr">
        <is>
          <t>No</t>
        </is>
      </c>
      <c r="K10" t="inlineStr">
        <is>
          <t>No</t>
        </is>
      </c>
      <c r="L10" t="inlineStr">
        <is>
          <t>0</t>
        </is>
      </c>
      <c r="M10" t="inlineStr">
        <is>
          <t>Clés du XXIe siècle. English.</t>
        </is>
      </c>
      <c r="N10" t="inlineStr">
        <is>
          <t>New York : Berghahn Books ; Paris : UNESCO, 2001.</t>
        </is>
      </c>
      <c r="O10" t="inlineStr">
        <is>
          <t>2001</t>
        </is>
      </c>
      <c r="Q10" t="inlineStr">
        <is>
          <t>eng</t>
        </is>
      </c>
      <c r="R10" t="inlineStr">
        <is>
          <t>nyu</t>
        </is>
      </c>
      <c r="T10" t="inlineStr">
        <is>
          <t xml:space="preserve">CB </t>
        </is>
      </c>
      <c r="U10" t="n">
        <v>2</v>
      </c>
      <c r="V10" t="n">
        <v>2</v>
      </c>
      <c r="W10" t="inlineStr">
        <is>
          <t>2002-08-21</t>
        </is>
      </c>
      <c r="X10" t="inlineStr">
        <is>
          <t>2002-08-21</t>
        </is>
      </c>
      <c r="Y10" t="inlineStr">
        <is>
          <t>2002-08-21</t>
        </is>
      </c>
      <c r="Z10" t="inlineStr">
        <is>
          <t>2002-08-21</t>
        </is>
      </c>
      <c r="AA10" t="n">
        <v>258</v>
      </c>
      <c r="AB10" t="n">
        <v>192</v>
      </c>
      <c r="AC10" t="n">
        <v>200</v>
      </c>
      <c r="AD10" t="n">
        <v>2</v>
      </c>
      <c r="AE10" t="n">
        <v>2</v>
      </c>
      <c r="AF10" t="n">
        <v>6</v>
      </c>
      <c r="AG10" t="n">
        <v>6</v>
      </c>
      <c r="AH10" t="n">
        <v>2</v>
      </c>
      <c r="AI10" t="n">
        <v>2</v>
      </c>
      <c r="AJ10" t="n">
        <v>2</v>
      </c>
      <c r="AK10" t="n">
        <v>2</v>
      </c>
      <c r="AL10" t="n">
        <v>3</v>
      </c>
      <c r="AM10" t="n">
        <v>3</v>
      </c>
      <c r="AN10" t="n">
        <v>1</v>
      </c>
      <c r="AO10" t="n">
        <v>1</v>
      </c>
      <c r="AP10" t="n">
        <v>0</v>
      </c>
      <c r="AQ10" t="n">
        <v>0</v>
      </c>
      <c r="AR10" t="inlineStr">
        <is>
          <t>No</t>
        </is>
      </c>
      <c r="AS10" t="inlineStr">
        <is>
          <t>Yes</t>
        </is>
      </c>
      <c r="AT10">
        <f>HYPERLINK("http://catalog.hathitrust.org/Record/004213556","HathiTrust Record")</f>
        <v/>
      </c>
      <c r="AU10">
        <f>HYPERLINK("https://creighton-primo.hosted.exlibrisgroup.com/primo-explore/search?tab=default_tab&amp;search_scope=EVERYTHING&amp;vid=01CRU&amp;lang=en_US&amp;offset=0&amp;query=any,contains,991003842749702656","Catalog Record")</f>
        <v/>
      </c>
      <c r="AV10">
        <f>HYPERLINK("http://www.worldcat.org/oclc/47282961","WorldCat Record")</f>
        <v/>
      </c>
      <c r="AW10" t="inlineStr">
        <is>
          <t>56695253:eng</t>
        </is>
      </c>
      <c r="AX10" t="inlineStr">
        <is>
          <t>47282961</t>
        </is>
      </c>
      <c r="AY10" t="inlineStr">
        <is>
          <t>991003842749702656</t>
        </is>
      </c>
      <c r="AZ10" t="inlineStr">
        <is>
          <t>991003842749702656</t>
        </is>
      </c>
      <c r="BA10" t="inlineStr">
        <is>
          <t>2264925100002656</t>
        </is>
      </c>
      <c r="BB10" t="inlineStr">
        <is>
          <t>BOOK</t>
        </is>
      </c>
      <c r="BD10" t="inlineStr">
        <is>
          <t>9781571814012</t>
        </is>
      </c>
      <c r="BE10" t="inlineStr">
        <is>
          <t>32285004644448</t>
        </is>
      </c>
      <c r="BF10" t="inlineStr">
        <is>
          <t>893228536</t>
        </is>
      </c>
    </row>
    <row r="11">
      <c r="B11" t="inlineStr">
        <is>
          <t>CURAL</t>
        </is>
      </c>
      <c r="C11" t="inlineStr">
        <is>
          <t>SHELVES</t>
        </is>
      </c>
      <c r="D11" t="inlineStr">
        <is>
          <t>CB161 .G67 1997</t>
        </is>
      </c>
      <c r="E11" t="inlineStr">
        <is>
          <t>0                      CB 0161000G  67          1997</t>
        </is>
      </c>
      <c r="F11" t="inlineStr">
        <is>
          <t>Questioning the millennium : a rationalist's guide to a precisely arbitrary countdown / Stephen Jay Gould.</t>
        </is>
      </c>
      <c r="H11" t="inlineStr">
        <is>
          <t>No</t>
        </is>
      </c>
      <c r="I11" t="inlineStr">
        <is>
          <t>1</t>
        </is>
      </c>
      <c r="J11" t="inlineStr">
        <is>
          <t>No</t>
        </is>
      </c>
      <c r="K11" t="inlineStr">
        <is>
          <t>No</t>
        </is>
      </c>
      <c r="L11" t="inlineStr">
        <is>
          <t>0</t>
        </is>
      </c>
      <c r="M11" t="inlineStr">
        <is>
          <t>Gould, Stephen Jay.</t>
        </is>
      </c>
      <c r="N11" t="inlineStr">
        <is>
          <t>New York : Harmony Books, c1997.</t>
        </is>
      </c>
      <c r="O11" t="inlineStr">
        <is>
          <t>1997</t>
        </is>
      </c>
      <c r="Q11" t="inlineStr">
        <is>
          <t>eng</t>
        </is>
      </c>
      <c r="R11" t="inlineStr">
        <is>
          <t>nyu</t>
        </is>
      </c>
      <c r="T11" t="inlineStr">
        <is>
          <t xml:space="preserve">CB </t>
        </is>
      </c>
      <c r="U11" t="n">
        <v>8</v>
      </c>
      <c r="V11" t="n">
        <v>8</v>
      </c>
      <c r="W11" t="inlineStr">
        <is>
          <t>1999-11-01</t>
        </is>
      </c>
      <c r="X11" t="inlineStr">
        <is>
          <t>1999-11-01</t>
        </is>
      </c>
      <c r="Y11" t="inlineStr">
        <is>
          <t>1998-01-07</t>
        </is>
      </c>
      <c r="Z11" t="inlineStr">
        <is>
          <t>1998-01-07</t>
        </is>
      </c>
      <c r="AA11" t="n">
        <v>1469</v>
      </c>
      <c r="AB11" t="n">
        <v>1352</v>
      </c>
      <c r="AC11" t="n">
        <v>1608</v>
      </c>
      <c r="AD11" t="n">
        <v>14</v>
      </c>
      <c r="AE11" t="n">
        <v>18</v>
      </c>
      <c r="AF11" t="n">
        <v>40</v>
      </c>
      <c r="AG11" t="n">
        <v>47</v>
      </c>
      <c r="AH11" t="n">
        <v>11</v>
      </c>
      <c r="AI11" t="n">
        <v>15</v>
      </c>
      <c r="AJ11" t="n">
        <v>10</v>
      </c>
      <c r="AK11" t="n">
        <v>11</v>
      </c>
      <c r="AL11" t="n">
        <v>19</v>
      </c>
      <c r="AM11" t="n">
        <v>21</v>
      </c>
      <c r="AN11" t="n">
        <v>9</v>
      </c>
      <c r="AO11" t="n">
        <v>12</v>
      </c>
      <c r="AP11" t="n">
        <v>0</v>
      </c>
      <c r="AQ11" t="n">
        <v>0</v>
      </c>
      <c r="AR11" t="inlineStr">
        <is>
          <t>No</t>
        </is>
      </c>
      <c r="AS11" t="inlineStr">
        <is>
          <t>Yes</t>
        </is>
      </c>
      <c r="AT11">
        <f>HYPERLINK("http://catalog.hathitrust.org/Record/003945271","HathiTrust Record")</f>
        <v/>
      </c>
      <c r="AU11">
        <f>HYPERLINK("https://creighton-primo.hosted.exlibrisgroup.com/primo-explore/search?tab=default_tab&amp;search_scope=EVERYTHING&amp;vid=01CRU&amp;lang=en_US&amp;offset=0&amp;query=any,contains,991002783359702656","Catalog Record")</f>
        <v/>
      </c>
      <c r="AV11">
        <f>HYPERLINK("http://www.worldcat.org/oclc/36548842","WorldCat Record")</f>
        <v/>
      </c>
      <c r="AW11" t="inlineStr">
        <is>
          <t>602810:eng</t>
        </is>
      </c>
      <c r="AX11" t="inlineStr">
        <is>
          <t>36548842</t>
        </is>
      </c>
      <c r="AY11" t="inlineStr">
        <is>
          <t>991002783359702656</t>
        </is>
      </c>
      <c r="AZ11" t="inlineStr">
        <is>
          <t>991002783359702656</t>
        </is>
      </c>
      <c r="BA11" t="inlineStr">
        <is>
          <t>2258181720002656</t>
        </is>
      </c>
      <c r="BB11" t="inlineStr">
        <is>
          <t>BOOK</t>
        </is>
      </c>
      <c r="BD11" t="inlineStr">
        <is>
          <t>9780609600764</t>
        </is>
      </c>
      <c r="BE11" t="inlineStr">
        <is>
          <t>32285003301628</t>
        </is>
      </c>
      <c r="BF11" t="inlineStr">
        <is>
          <t>893597869</t>
        </is>
      </c>
    </row>
    <row r="12">
      <c r="B12" t="inlineStr">
        <is>
          <t>CURAL</t>
        </is>
      </c>
      <c r="C12" t="inlineStr">
        <is>
          <t>SHELVES</t>
        </is>
      </c>
      <c r="D12" t="inlineStr">
        <is>
          <t>CB161 .W24 1989</t>
        </is>
      </c>
      <c r="E12" t="inlineStr">
        <is>
          <t>0                      CB 0161000W  24          1989</t>
        </is>
      </c>
      <c r="F12" t="inlineStr">
        <is>
          <t>A short history of the future / W. Warren Wagar ; afterword by Immanuel Wallerstein.</t>
        </is>
      </c>
      <c r="H12" t="inlineStr">
        <is>
          <t>No</t>
        </is>
      </c>
      <c r="I12" t="inlineStr">
        <is>
          <t>1</t>
        </is>
      </c>
      <c r="J12" t="inlineStr">
        <is>
          <t>No</t>
        </is>
      </c>
      <c r="K12" t="inlineStr">
        <is>
          <t>No</t>
        </is>
      </c>
      <c r="L12" t="inlineStr">
        <is>
          <t>0</t>
        </is>
      </c>
      <c r="M12" t="inlineStr">
        <is>
          <t>Wagar, W. Warren.</t>
        </is>
      </c>
      <c r="N12" t="inlineStr">
        <is>
          <t>Chicago : University of Chicago Press, c1989.</t>
        </is>
      </c>
      <c r="O12" t="inlineStr">
        <is>
          <t>1989</t>
        </is>
      </c>
      <c r="Q12" t="inlineStr">
        <is>
          <t>eng</t>
        </is>
      </c>
      <c r="R12" t="inlineStr">
        <is>
          <t>ilu</t>
        </is>
      </c>
      <c r="T12" t="inlineStr">
        <is>
          <t xml:space="preserve">CB </t>
        </is>
      </c>
      <c r="U12" t="n">
        <v>1</v>
      </c>
      <c r="V12" t="n">
        <v>1</v>
      </c>
      <c r="W12" t="inlineStr">
        <is>
          <t>1998-09-14</t>
        </is>
      </c>
      <c r="X12" t="inlineStr">
        <is>
          <t>1998-09-14</t>
        </is>
      </c>
      <c r="Y12" t="inlineStr">
        <is>
          <t>1991-01-22</t>
        </is>
      </c>
      <c r="Z12" t="inlineStr">
        <is>
          <t>1991-01-22</t>
        </is>
      </c>
      <c r="AA12" t="n">
        <v>571</v>
      </c>
      <c r="AB12" t="n">
        <v>501</v>
      </c>
      <c r="AC12" t="n">
        <v>605</v>
      </c>
      <c r="AD12" t="n">
        <v>3</v>
      </c>
      <c r="AE12" t="n">
        <v>3</v>
      </c>
      <c r="AF12" t="n">
        <v>17</v>
      </c>
      <c r="AG12" t="n">
        <v>19</v>
      </c>
      <c r="AH12" t="n">
        <v>5</v>
      </c>
      <c r="AI12" t="n">
        <v>6</v>
      </c>
      <c r="AJ12" t="n">
        <v>4</v>
      </c>
      <c r="AK12" t="n">
        <v>4</v>
      </c>
      <c r="AL12" t="n">
        <v>11</v>
      </c>
      <c r="AM12" t="n">
        <v>12</v>
      </c>
      <c r="AN12" t="n">
        <v>2</v>
      </c>
      <c r="AO12" t="n">
        <v>2</v>
      </c>
      <c r="AP12" t="n">
        <v>0</v>
      </c>
      <c r="AQ12" t="n">
        <v>0</v>
      </c>
      <c r="AR12" t="inlineStr">
        <is>
          <t>No</t>
        </is>
      </c>
      <c r="AS12" t="inlineStr">
        <is>
          <t>No</t>
        </is>
      </c>
      <c r="AU12">
        <f>HYPERLINK("https://creighton-primo.hosted.exlibrisgroup.com/primo-explore/search?tab=default_tab&amp;search_scope=EVERYTHING&amp;vid=01CRU&amp;lang=en_US&amp;offset=0&amp;query=any,contains,991001474449702656","Catalog Record")</f>
        <v/>
      </c>
      <c r="AV12">
        <f>HYPERLINK("http://www.worldcat.org/oclc/19555596","WorldCat Record")</f>
        <v/>
      </c>
      <c r="AW12" t="inlineStr">
        <is>
          <t>21189009:eng</t>
        </is>
      </c>
      <c r="AX12" t="inlineStr">
        <is>
          <t>19555596</t>
        </is>
      </c>
      <c r="AY12" t="inlineStr">
        <is>
          <t>991001474449702656</t>
        </is>
      </c>
      <c r="AZ12" t="inlineStr">
        <is>
          <t>991001474449702656</t>
        </is>
      </c>
      <c r="BA12" t="inlineStr">
        <is>
          <t>2271614060002656</t>
        </is>
      </c>
      <c r="BB12" t="inlineStr">
        <is>
          <t>BOOK</t>
        </is>
      </c>
      <c r="BD12" t="inlineStr">
        <is>
          <t>9780226869018</t>
        </is>
      </c>
      <c r="BE12" t="inlineStr">
        <is>
          <t>32285000460104</t>
        </is>
      </c>
      <c r="BF12" t="inlineStr">
        <is>
          <t>893608889</t>
        </is>
      </c>
    </row>
    <row r="13">
      <c r="B13" t="inlineStr">
        <is>
          <t>CURAL</t>
        </is>
      </c>
      <c r="C13" t="inlineStr">
        <is>
          <t>SHELVES</t>
        </is>
      </c>
      <c r="D13" t="inlineStr">
        <is>
          <t>CB161 .Y39 1997</t>
        </is>
      </c>
      <c r="E13" t="inlineStr">
        <is>
          <t>0                      CB 0161000Y  39          1997</t>
        </is>
      </c>
      <c r="F13" t="inlineStr">
        <is>
          <t>The year 2000 : essays on the end / edited by Charles B. Strozier and Michael Flynn.</t>
        </is>
      </c>
      <c r="H13" t="inlineStr">
        <is>
          <t>No</t>
        </is>
      </c>
      <c r="I13" t="inlineStr">
        <is>
          <t>1</t>
        </is>
      </c>
      <c r="J13" t="inlineStr">
        <is>
          <t>No</t>
        </is>
      </c>
      <c r="K13" t="inlineStr">
        <is>
          <t>No</t>
        </is>
      </c>
      <c r="L13" t="inlineStr">
        <is>
          <t>0</t>
        </is>
      </c>
      <c r="N13" t="inlineStr">
        <is>
          <t>New York : New York University Press, c1997.</t>
        </is>
      </c>
      <c r="O13" t="inlineStr">
        <is>
          <t>1997</t>
        </is>
      </c>
      <c r="Q13" t="inlineStr">
        <is>
          <t>eng</t>
        </is>
      </c>
      <c r="R13" t="inlineStr">
        <is>
          <t>nyu</t>
        </is>
      </c>
      <c r="T13" t="inlineStr">
        <is>
          <t xml:space="preserve">CB </t>
        </is>
      </c>
      <c r="U13" t="n">
        <v>3</v>
      </c>
      <c r="V13" t="n">
        <v>3</v>
      </c>
      <c r="W13" t="inlineStr">
        <is>
          <t>1999-11-27</t>
        </is>
      </c>
      <c r="X13" t="inlineStr">
        <is>
          <t>1999-11-27</t>
        </is>
      </c>
      <c r="Y13" t="inlineStr">
        <is>
          <t>1997-12-15</t>
        </is>
      </c>
      <c r="Z13" t="inlineStr">
        <is>
          <t>1997-12-15</t>
        </is>
      </c>
      <c r="AA13" t="n">
        <v>309</v>
      </c>
      <c r="AB13" t="n">
        <v>259</v>
      </c>
      <c r="AC13" t="n">
        <v>259</v>
      </c>
      <c r="AD13" t="n">
        <v>3</v>
      </c>
      <c r="AE13" t="n">
        <v>3</v>
      </c>
      <c r="AF13" t="n">
        <v>14</v>
      </c>
      <c r="AG13" t="n">
        <v>14</v>
      </c>
      <c r="AH13" t="n">
        <v>2</v>
      </c>
      <c r="AI13" t="n">
        <v>2</v>
      </c>
      <c r="AJ13" t="n">
        <v>3</v>
      </c>
      <c r="AK13" t="n">
        <v>3</v>
      </c>
      <c r="AL13" t="n">
        <v>10</v>
      </c>
      <c r="AM13" t="n">
        <v>10</v>
      </c>
      <c r="AN13" t="n">
        <v>2</v>
      </c>
      <c r="AO13" t="n">
        <v>2</v>
      </c>
      <c r="AP13" t="n">
        <v>0</v>
      </c>
      <c r="AQ13" t="n">
        <v>0</v>
      </c>
      <c r="AR13" t="inlineStr">
        <is>
          <t>No</t>
        </is>
      </c>
      <c r="AS13" t="inlineStr">
        <is>
          <t>No</t>
        </is>
      </c>
      <c r="AU13">
        <f>HYPERLINK("https://creighton-primo.hosted.exlibrisgroup.com/primo-explore/search?tab=default_tab&amp;search_scope=EVERYTHING&amp;vid=01CRU&amp;lang=en_US&amp;offset=0&amp;query=any,contains,991002789019702656","Catalog Record")</f>
        <v/>
      </c>
      <c r="AV13">
        <f>HYPERLINK("http://www.worldcat.org/oclc/36640630","WorldCat Record")</f>
        <v/>
      </c>
      <c r="AW13" t="inlineStr">
        <is>
          <t>836925320:eng</t>
        </is>
      </c>
      <c r="AX13" t="inlineStr">
        <is>
          <t>36640630</t>
        </is>
      </c>
      <c r="AY13" t="inlineStr">
        <is>
          <t>991002789019702656</t>
        </is>
      </c>
      <c r="AZ13" t="inlineStr">
        <is>
          <t>991002789019702656</t>
        </is>
      </c>
      <c r="BA13" t="inlineStr">
        <is>
          <t>2269963510002656</t>
        </is>
      </c>
      <c r="BB13" t="inlineStr">
        <is>
          <t>BOOK</t>
        </is>
      </c>
      <c r="BD13" t="inlineStr">
        <is>
          <t>9780814780305</t>
        </is>
      </c>
      <c r="BE13" t="inlineStr">
        <is>
          <t>32285003283057</t>
        </is>
      </c>
      <c r="BF13" t="inlineStr">
        <is>
          <t>893517749</t>
        </is>
      </c>
    </row>
    <row r="14">
      <c r="B14" t="inlineStr">
        <is>
          <t>CURAL</t>
        </is>
      </c>
      <c r="C14" t="inlineStr">
        <is>
          <t>SHELVES</t>
        </is>
      </c>
      <c r="D14" t="inlineStr">
        <is>
          <t>CB161 .Y42 2008</t>
        </is>
      </c>
      <c r="E14" t="inlineStr">
        <is>
          <t>0                      CB 0161000Y  42          2008</t>
        </is>
      </c>
      <c r="F14" t="inlineStr">
        <is>
          <t>Year million : science at the far edge of knowledge / edited by Damien Broderick.</t>
        </is>
      </c>
      <c r="H14" t="inlineStr">
        <is>
          <t>No</t>
        </is>
      </c>
      <c r="I14" t="inlineStr">
        <is>
          <t>1</t>
        </is>
      </c>
      <c r="J14" t="inlineStr">
        <is>
          <t>No</t>
        </is>
      </c>
      <c r="K14" t="inlineStr">
        <is>
          <t>No</t>
        </is>
      </c>
      <c r="L14" t="inlineStr">
        <is>
          <t>0</t>
        </is>
      </c>
      <c r="N14" t="inlineStr">
        <is>
          <t>New York : Atlas &amp; Co. : Distributed to the trade by W.W. Norton, c2008.</t>
        </is>
      </c>
      <c r="O14" t="inlineStr">
        <is>
          <t>2008</t>
        </is>
      </c>
      <c r="Q14" t="inlineStr">
        <is>
          <t>eng</t>
        </is>
      </c>
      <c r="R14" t="inlineStr">
        <is>
          <t>nyu</t>
        </is>
      </c>
      <c r="T14" t="inlineStr">
        <is>
          <t xml:space="preserve">CB </t>
        </is>
      </c>
      <c r="U14" t="n">
        <v>1</v>
      </c>
      <c r="V14" t="n">
        <v>1</v>
      </c>
      <c r="W14" t="inlineStr">
        <is>
          <t>2008-08-27</t>
        </is>
      </c>
      <c r="X14" t="inlineStr">
        <is>
          <t>2008-08-27</t>
        </is>
      </c>
      <c r="Y14" t="inlineStr">
        <is>
          <t>2008-08-27</t>
        </is>
      </c>
      <c r="Z14" t="inlineStr">
        <is>
          <t>2008-08-27</t>
        </is>
      </c>
      <c r="AA14" t="n">
        <v>273</v>
      </c>
      <c r="AB14" t="n">
        <v>238</v>
      </c>
      <c r="AC14" t="n">
        <v>245</v>
      </c>
      <c r="AD14" t="n">
        <v>1</v>
      </c>
      <c r="AE14" t="n">
        <v>1</v>
      </c>
      <c r="AF14" t="n">
        <v>3</v>
      </c>
      <c r="AG14" t="n">
        <v>3</v>
      </c>
      <c r="AH14" t="n">
        <v>0</v>
      </c>
      <c r="AI14" t="n">
        <v>0</v>
      </c>
      <c r="AJ14" t="n">
        <v>1</v>
      </c>
      <c r="AK14" t="n">
        <v>1</v>
      </c>
      <c r="AL14" t="n">
        <v>2</v>
      </c>
      <c r="AM14" t="n">
        <v>2</v>
      </c>
      <c r="AN14" t="n">
        <v>0</v>
      </c>
      <c r="AO14" t="n">
        <v>0</v>
      </c>
      <c r="AP14" t="n">
        <v>0</v>
      </c>
      <c r="AQ14" t="n">
        <v>0</v>
      </c>
      <c r="AR14" t="inlineStr">
        <is>
          <t>No</t>
        </is>
      </c>
      <c r="AS14" t="inlineStr">
        <is>
          <t>Yes</t>
        </is>
      </c>
      <c r="AT14">
        <f>HYPERLINK("http://catalog.hathitrust.org/Record/005932639","HathiTrust Record")</f>
        <v/>
      </c>
      <c r="AU14">
        <f>HYPERLINK("https://creighton-primo.hosted.exlibrisgroup.com/primo-explore/search?tab=default_tab&amp;search_scope=EVERYTHING&amp;vid=01CRU&amp;lang=en_US&amp;offset=0&amp;query=any,contains,991005259169702656","Catalog Record")</f>
        <v/>
      </c>
      <c r="AV14">
        <f>HYPERLINK("http://www.worldcat.org/oclc/191245896","WorldCat Record")</f>
        <v/>
      </c>
      <c r="AW14" t="inlineStr">
        <is>
          <t>992679559:eng</t>
        </is>
      </c>
      <c r="AX14" t="inlineStr">
        <is>
          <t>191245896</t>
        </is>
      </c>
      <c r="AY14" t="inlineStr">
        <is>
          <t>991005259169702656</t>
        </is>
      </c>
      <c r="AZ14" t="inlineStr">
        <is>
          <t>991005259169702656</t>
        </is>
      </c>
      <c r="BA14" t="inlineStr">
        <is>
          <t>2266428960002656</t>
        </is>
      </c>
      <c r="BB14" t="inlineStr">
        <is>
          <t>BOOK</t>
        </is>
      </c>
      <c r="BD14" t="inlineStr">
        <is>
          <t>9780977743346</t>
        </is>
      </c>
      <c r="BE14" t="inlineStr">
        <is>
          <t>32285005456313</t>
        </is>
      </c>
      <c r="BF14" t="inlineStr">
        <is>
          <t>893520731</t>
        </is>
      </c>
    </row>
    <row r="15">
      <c r="B15" t="inlineStr">
        <is>
          <t>CURAL</t>
        </is>
      </c>
      <c r="C15" t="inlineStr">
        <is>
          <t>SHELVES</t>
        </is>
      </c>
      <c r="D15" t="inlineStr">
        <is>
          <t>CB161 .Z34 2008</t>
        </is>
      </c>
      <c r="E15" t="inlineStr">
        <is>
          <t>0                      CB 0161000Z  34          2008</t>
        </is>
      </c>
      <c r="F15" t="inlineStr">
        <is>
          <t>The post-American world / Fareed Zakaria.</t>
        </is>
      </c>
      <c r="H15" t="inlineStr">
        <is>
          <t>No</t>
        </is>
      </c>
      <c r="I15" t="inlineStr">
        <is>
          <t>1</t>
        </is>
      </c>
      <c r="J15" t="inlineStr">
        <is>
          <t>No</t>
        </is>
      </c>
      <c r="K15" t="inlineStr">
        <is>
          <t>No</t>
        </is>
      </c>
      <c r="L15" t="inlineStr">
        <is>
          <t>0</t>
        </is>
      </c>
      <c r="M15" t="inlineStr">
        <is>
          <t>Zakaria, Fareed.</t>
        </is>
      </c>
      <c r="N15" t="inlineStr">
        <is>
          <t>New York : W.W. Norton, c2008.</t>
        </is>
      </c>
      <c r="O15" t="inlineStr">
        <is>
          <t>2008</t>
        </is>
      </c>
      <c r="P15" t="inlineStr">
        <is>
          <t>1st ed.</t>
        </is>
      </c>
      <c r="Q15" t="inlineStr">
        <is>
          <t>eng</t>
        </is>
      </c>
      <c r="R15" t="inlineStr">
        <is>
          <t>nyu</t>
        </is>
      </c>
      <c r="T15" t="inlineStr">
        <is>
          <t xml:space="preserve">CB </t>
        </is>
      </c>
      <c r="U15" t="n">
        <v>5</v>
      </c>
      <c r="V15" t="n">
        <v>5</v>
      </c>
      <c r="W15" t="inlineStr">
        <is>
          <t>2010-07-12</t>
        </is>
      </c>
      <c r="X15" t="inlineStr">
        <is>
          <t>2010-07-12</t>
        </is>
      </c>
      <c r="Y15" t="inlineStr">
        <is>
          <t>2009-06-16</t>
        </is>
      </c>
      <c r="Z15" t="inlineStr">
        <is>
          <t>2009-06-16</t>
        </is>
      </c>
      <c r="AA15" t="n">
        <v>2481</v>
      </c>
      <c r="AB15" t="n">
        <v>2252</v>
      </c>
      <c r="AC15" t="n">
        <v>2404</v>
      </c>
      <c r="AD15" t="n">
        <v>21</v>
      </c>
      <c r="AE15" t="n">
        <v>22</v>
      </c>
      <c r="AF15" t="n">
        <v>46</v>
      </c>
      <c r="AG15" t="n">
        <v>49</v>
      </c>
      <c r="AH15" t="n">
        <v>22</v>
      </c>
      <c r="AI15" t="n">
        <v>22</v>
      </c>
      <c r="AJ15" t="n">
        <v>8</v>
      </c>
      <c r="AK15" t="n">
        <v>8</v>
      </c>
      <c r="AL15" t="n">
        <v>15</v>
      </c>
      <c r="AM15" t="n">
        <v>17</v>
      </c>
      <c r="AN15" t="n">
        <v>9</v>
      </c>
      <c r="AO15" t="n">
        <v>10</v>
      </c>
      <c r="AP15" t="n">
        <v>2</v>
      </c>
      <c r="AQ15" t="n">
        <v>2</v>
      </c>
      <c r="AR15" t="inlineStr">
        <is>
          <t>No</t>
        </is>
      </c>
      <c r="AS15" t="inlineStr">
        <is>
          <t>No</t>
        </is>
      </c>
      <c r="AU15">
        <f>HYPERLINK("https://creighton-primo.hosted.exlibrisgroup.com/primo-explore/search?tab=default_tab&amp;search_scope=EVERYTHING&amp;vid=01CRU&amp;lang=en_US&amp;offset=0&amp;query=any,contains,991005320909702656","Catalog Record")</f>
        <v/>
      </c>
      <c r="AV15">
        <f>HYPERLINK("http://www.worldcat.org/oclc/181139415","WorldCat Record")</f>
        <v/>
      </c>
      <c r="AW15" t="inlineStr">
        <is>
          <t>116538198:eng</t>
        </is>
      </c>
      <c r="AX15" t="inlineStr">
        <is>
          <t>181139415</t>
        </is>
      </c>
      <c r="AY15" t="inlineStr">
        <is>
          <t>991005320909702656</t>
        </is>
      </c>
      <c r="AZ15" t="inlineStr">
        <is>
          <t>991005320909702656</t>
        </is>
      </c>
      <c r="BA15" t="inlineStr">
        <is>
          <t>2264958590002656</t>
        </is>
      </c>
      <c r="BB15" t="inlineStr">
        <is>
          <t>BOOK</t>
        </is>
      </c>
      <c r="BD15" t="inlineStr">
        <is>
          <t>9780393062359</t>
        </is>
      </c>
      <c r="BE15" t="inlineStr">
        <is>
          <t>32285005535447</t>
        </is>
      </c>
      <c r="BF15" t="inlineStr">
        <is>
          <t>893527300</t>
        </is>
      </c>
    </row>
    <row r="16">
      <c r="B16" t="inlineStr">
        <is>
          <t>CURAL</t>
        </is>
      </c>
      <c r="C16" t="inlineStr">
        <is>
          <t>SHELVES</t>
        </is>
      </c>
      <c r="D16" t="inlineStr">
        <is>
          <t>CB18.T65 A34</t>
        </is>
      </c>
      <c r="E16" t="inlineStr">
        <is>
          <t>0                      CB 0018000T  65                 A  34</t>
        </is>
      </c>
      <c r="F16" t="inlineStr">
        <is>
          <t>Experiences, by Arnold Toynbee.</t>
        </is>
      </c>
      <c r="H16" t="inlineStr">
        <is>
          <t>No</t>
        </is>
      </c>
      <c r="I16" t="inlineStr">
        <is>
          <t>1</t>
        </is>
      </c>
      <c r="J16" t="inlineStr">
        <is>
          <t>No</t>
        </is>
      </c>
      <c r="K16" t="inlineStr">
        <is>
          <t>No</t>
        </is>
      </c>
      <c r="L16" t="inlineStr">
        <is>
          <t>0</t>
        </is>
      </c>
      <c r="M16" t="inlineStr">
        <is>
          <t>Toynbee, Arnold, 1889-1975.</t>
        </is>
      </c>
      <c r="N16" t="inlineStr">
        <is>
          <t>New York, Oxford University Press, 1969.</t>
        </is>
      </c>
      <c r="O16" t="inlineStr">
        <is>
          <t>1969</t>
        </is>
      </c>
      <c r="Q16" t="inlineStr">
        <is>
          <t>eng</t>
        </is>
      </c>
      <c r="R16" t="inlineStr">
        <is>
          <t>nyu</t>
        </is>
      </c>
      <c r="T16" t="inlineStr">
        <is>
          <t xml:space="preserve">CB </t>
        </is>
      </c>
      <c r="U16" t="n">
        <v>2</v>
      </c>
      <c r="V16" t="n">
        <v>2</v>
      </c>
      <c r="W16" t="inlineStr">
        <is>
          <t>2005-10-22</t>
        </is>
      </c>
      <c r="X16" t="inlineStr">
        <is>
          <t>2005-10-22</t>
        </is>
      </c>
      <c r="Y16" t="inlineStr">
        <is>
          <t>1996-08-14</t>
        </is>
      </c>
      <c r="Z16" t="inlineStr">
        <is>
          <t>1996-08-14</t>
        </is>
      </c>
      <c r="AA16" t="n">
        <v>1002</v>
      </c>
      <c r="AB16" t="n">
        <v>921</v>
      </c>
      <c r="AC16" t="n">
        <v>1018</v>
      </c>
      <c r="AD16" t="n">
        <v>8</v>
      </c>
      <c r="AE16" t="n">
        <v>8</v>
      </c>
      <c r="AF16" t="n">
        <v>33</v>
      </c>
      <c r="AG16" t="n">
        <v>34</v>
      </c>
      <c r="AH16" t="n">
        <v>8</v>
      </c>
      <c r="AI16" t="n">
        <v>9</v>
      </c>
      <c r="AJ16" t="n">
        <v>9</v>
      </c>
      <c r="AK16" t="n">
        <v>9</v>
      </c>
      <c r="AL16" t="n">
        <v>18</v>
      </c>
      <c r="AM16" t="n">
        <v>18</v>
      </c>
      <c r="AN16" t="n">
        <v>7</v>
      </c>
      <c r="AO16" t="n">
        <v>7</v>
      </c>
      <c r="AP16" t="n">
        <v>0</v>
      </c>
      <c r="AQ16" t="n">
        <v>0</v>
      </c>
      <c r="AR16" t="inlineStr">
        <is>
          <t>No</t>
        </is>
      </c>
      <c r="AS16" t="inlineStr">
        <is>
          <t>Yes</t>
        </is>
      </c>
      <c r="AT16">
        <f>HYPERLINK("http://catalog.hathitrust.org/Record/000391882","HathiTrust Record")</f>
        <v/>
      </c>
      <c r="AU16">
        <f>HYPERLINK("https://creighton-primo.hosted.exlibrisgroup.com/primo-explore/search?tab=default_tab&amp;search_scope=EVERYTHING&amp;vid=01CRU&amp;lang=en_US&amp;offset=0&amp;query=any,contains,991000000429702656","Catalog Record")</f>
        <v/>
      </c>
      <c r="AV16">
        <f>HYPERLINK("http://www.worldcat.org/oclc/7980","WorldCat Record")</f>
        <v/>
      </c>
      <c r="AW16" t="inlineStr">
        <is>
          <t>786984465:eng</t>
        </is>
      </c>
      <c r="AX16" t="inlineStr">
        <is>
          <t>7980</t>
        </is>
      </c>
      <c r="AY16" t="inlineStr">
        <is>
          <t>991000000429702656</t>
        </is>
      </c>
      <c r="AZ16" t="inlineStr">
        <is>
          <t>991000000429702656</t>
        </is>
      </c>
      <c r="BA16" t="inlineStr">
        <is>
          <t>2268002200002656</t>
        </is>
      </c>
      <c r="BB16" t="inlineStr">
        <is>
          <t>BOOK</t>
        </is>
      </c>
      <c r="BE16" t="inlineStr">
        <is>
          <t>32285002262938</t>
        </is>
      </c>
      <c r="BF16" t="inlineStr">
        <is>
          <t>893521278</t>
        </is>
      </c>
    </row>
    <row r="17">
      <c r="B17" t="inlineStr">
        <is>
          <t>CURAL</t>
        </is>
      </c>
      <c r="C17" t="inlineStr">
        <is>
          <t>SHELVES</t>
        </is>
      </c>
      <c r="D17" t="inlineStr">
        <is>
          <t>CB18.T65 P47 1982</t>
        </is>
      </c>
      <c r="E17" t="inlineStr">
        <is>
          <t>0                      CB 0018000T  65                 P  47          1982</t>
        </is>
      </c>
      <c r="F17" t="inlineStr">
        <is>
          <t>Arnold Toynbee and the crisis of the West / Marvin Perry.</t>
        </is>
      </c>
      <c r="H17" t="inlineStr">
        <is>
          <t>No</t>
        </is>
      </c>
      <c r="I17" t="inlineStr">
        <is>
          <t>1</t>
        </is>
      </c>
      <c r="J17" t="inlineStr">
        <is>
          <t>No</t>
        </is>
      </c>
      <c r="K17" t="inlineStr">
        <is>
          <t>No</t>
        </is>
      </c>
      <c r="L17" t="inlineStr">
        <is>
          <t>0</t>
        </is>
      </c>
      <c r="M17" t="inlineStr">
        <is>
          <t>Perry, Marvin.</t>
        </is>
      </c>
      <c r="N17" t="inlineStr">
        <is>
          <t>Washington, D.C. : University Press of America, c1982.</t>
        </is>
      </c>
      <c r="O17" t="inlineStr">
        <is>
          <t>1982</t>
        </is>
      </c>
      <c r="Q17" t="inlineStr">
        <is>
          <t>eng</t>
        </is>
      </c>
      <c r="R17" t="inlineStr">
        <is>
          <t>dcu</t>
        </is>
      </c>
      <c r="T17" t="inlineStr">
        <is>
          <t xml:space="preserve">CB </t>
        </is>
      </c>
      <c r="U17" t="n">
        <v>1</v>
      </c>
      <c r="V17" t="n">
        <v>1</v>
      </c>
      <c r="W17" t="inlineStr">
        <is>
          <t>2000-09-24</t>
        </is>
      </c>
      <c r="X17" t="inlineStr">
        <is>
          <t>2000-09-24</t>
        </is>
      </c>
      <c r="Y17" t="inlineStr">
        <is>
          <t>1992-05-29</t>
        </is>
      </c>
      <c r="Z17" t="inlineStr">
        <is>
          <t>1992-05-29</t>
        </is>
      </c>
      <c r="AA17" t="n">
        <v>346</v>
      </c>
      <c r="AB17" t="n">
        <v>293</v>
      </c>
      <c r="AC17" t="n">
        <v>295</v>
      </c>
      <c r="AD17" t="n">
        <v>2</v>
      </c>
      <c r="AE17" t="n">
        <v>2</v>
      </c>
      <c r="AF17" t="n">
        <v>12</v>
      </c>
      <c r="AG17" t="n">
        <v>12</v>
      </c>
      <c r="AH17" t="n">
        <v>4</v>
      </c>
      <c r="AI17" t="n">
        <v>4</v>
      </c>
      <c r="AJ17" t="n">
        <v>3</v>
      </c>
      <c r="AK17" t="n">
        <v>3</v>
      </c>
      <c r="AL17" t="n">
        <v>8</v>
      </c>
      <c r="AM17" t="n">
        <v>8</v>
      </c>
      <c r="AN17" t="n">
        <v>1</v>
      </c>
      <c r="AO17" t="n">
        <v>1</v>
      </c>
      <c r="AP17" t="n">
        <v>0</v>
      </c>
      <c r="AQ17" t="n">
        <v>0</v>
      </c>
      <c r="AR17" t="inlineStr">
        <is>
          <t>No</t>
        </is>
      </c>
      <c r="AS17" t="inlineStr">
        <is>
          <t>Yes</t>
        </is>
      </c>
      <c r="AT17">
        <f>HYPERLINK("http://catalog.hathitrust.org/Record/007880101","HathiTrust Record")</f>
        <v/>
      </c>
      <c r="AU17">
        <f>HYPERLINK("https://creighton-primo.hosted.exlibrisgroup.com/primo-explore/search?tab=default_tab&amp;search_scope=EVERYTHING&amp;vid=01CRU&amp;lang=en_US&amp;offset=0&amp;query=any,contains,991005179909702656","Catalog Record")</f>
        <v/>
      </c>
      <c r="AV17">
        <f>HYPERLINK("http://www.worldcat.org/oclc/7945066","WorldCat Record")</f>
        <v/>
      </c>
      <c r="AW17" t="inlineStr">
        <is>
          <t>3855625876:eng</t>
        </is>
      </c>
      <c r="AX17" t="inlineStr">
        <is>
          <t>7945066</t>
        </is>
      </c>
      <c r="AY17" t="inlineStr">
        <is>
          <t>991005179909702656</t>
        </is>
      </c>
      <c r="AZ17" t="inlineStr">
        <is>
          <t>991005179909702656</t>
        </is>
      </c>
      <c r="BA17" t="inlineStr">
        <is>
          <t>2271258660002656</t>
        </is>
      </c>
      <c r="BB17" t="inlineStr">
        <is>
          <t>BOOK</t>
        </is>
      </c>
      <c r="BD17" t="inlineStr">
        <is>
          <t>9780819120250</t>
        </is>
      </c>
      <c r="BE17" t="inlineStr">
        <is>
          <t>32285001142446</t>
        </is>
      </c>
      <c r="BF17" t="inlineStr">
        <is>
          <t>893520584</t>
        </is>
      </c>
    </row>
    <row r="18">
      <c r="B18" t="inlineStr">
        <is>
          <t>CURAL</t>
        </is>
      </c>
      <c r="C18" t="inlineStr">
        <is>
          <t>SHELVES</t>
        </is>
      </c>
      <c r="D18" t="inlineStr">
        <is>
          <t>CB19 .B272</t>
        </is>
      </c>
      <c r="E18" t="inlineStr">
        <is>
          <t>0                      CB 0019000B  272</t>
        </is>
      </c>
      <c r="F18" t="inlineStr">
        <is>
          <t>The philosopher's world model / Archie J. Bahm.</t>
        </is>
      </c>
      <c r="H18" t="inlineStr">
        <is>
          <t>No</t>
        </is>
      </c>
      <c r="I18" t="inlineStr">
        <is>
          <t>1</t>
        </is>
      </c>
      <c r="J18" t="inlineStr">
        <is>
          <t>No</t>
        </is>
      </c>
      <c r="K18" t="inlineStr">
        <is>
          <t>No</t>
        </is>
      </c>
      <c r="L18" t="inlineStr">
        <is>
          <t>0</t>
        </is>
      </c>
      <c r="M18" t="inlineStr">
        <is>
          <t>Bahm, Archie J.</t>
        </is>
      </c>
      <c r="N18" t="inlineStr">
        <is>
          <t>Westport, Conn. : Greenwood Press, 1979.</t>
        </is>
      </c>
      <c r="O18" t="inlineStr">
        <is>
          <t>1979</t>
        </is>
      </c>
      <c r="Q18" t="inlineStr">
        <is>
          <t>eng</t>
        </is>
      </c>
      <c r="R18" t="inlineStr">
        <is>
          <t>ctu</t>
        </is>
      </c>
      <c r="S18" t="inlineStr">
        <is>
          <t>Contributions in philosophy, 0084-926X ; no. 12</t>
        </is>
      </c>
      <c r="T18" t="inlineStr">
        <is>
          <t xml:space="preserve">CB </t>
        </is>
      </c>
      <c r="U18" t="n">
        <v>3</v>
      </c>
      <c r="V18" t="n">
        <v>3</v>
      </c>
      <c r="W18" t="inlineStr">
        <is>
          <t>1993-09-11</t>
        </is>
      </c>
      <c r="X18" t="inlineStr">
        <is>
          <t>1993-09-11</t>
        </is>
      </c>
      <c r="Y18" t="inlineStr">
        <is>
          <t>1990-02-07</t>
        </is>
      </c>
      <c r="Z18" t="inlineStr">
        <is>
          <t>1990-02-07</t>
        </is>
      </c>
      <c r="AA18" t="n">
        <v>369</v>
      </c>
      <c r="AB18" t="n">
        <v>306</v>
      </c>
      <c r="AC18" t="n">
        <v>323</v>
      </c>
      <c r="AD18" t="n">
        <v>5</v>
      </c>
      <c r="AE18" t="n">
        <v>5</v>
      </c>
      <c r="AF18" t="n">
        <v>18</v>
      </c>
      <c r="AG18" t="n">
        <v>18</v>
      </c>
      <c r="AH18" t="n">
        <v>4</v>
      </c>
      <c r="AI18" t="n">
        <v>4</v>
      </c>
      <c r="AJ18" t="n">
        <v>6</v>
      </c>
      <c r="AK18" t="n">
        <v>6</v>
      </c>
      <c r="AL18" t="n">
        <v>9</v>
      </c>
      <c r="AM18" t="n">
        <v>9</v>
      </c>
      <c r="AN18" t="n">
        <v>4</v>
      </c>
      <c r="AO18" t="n">
        <v>4</v>
      </c>
      <c r="AP18" t="n">
        <v>0</v>
      </c>
      <c r="AQ18" t="n">
        <v>0</v>
      </c>
      <c r="AR18" t="inlineStr">
        <is>
          <t>No</t>
        </is>
      </c>
      <c r="AS18" t="inlineStr">
        <is>
          <t>Yes</t>
        </is>
      </c>
      <c r="AT18">
        <f>HYPERLINK("http://catalog.hathitrust.org/Record/000254852","HathiTrust Record")</f>
        <v/>
      </c>
      <c r="AU18">
        <f>HYPERLINK("https://creighton-primo.hosted.exlibrisgroup.com/primo-explore/search?tab=default_tab&amp;search_scope=EVERYTHING&amp;vid=01CRU&amp;lang=en_US&amp;offset=0&amp;query=any,contains,991004642059702656","Catalog Record")</f>
        <v/>
      </c>
      <c r="AV18">
        <f>HYPERLINK("http://www.worldcat.org/oclc/4468601","WorldCat Record")</f>
        <v/>
      </c>
      <c r="AW18" t="inlineStr">
        <is>
          <t>445694:eng</t>
        </is>
      </c>
      <c r="AX18" t="inlineStr">
        <is>
          <t>4468601</t>
        </is>
      </c>
      <c r="AY18" t="inlineStr">
        <is>
          <t>991004642059702656</t>
        </is>
      </c>
      <c r="AZ18" t="inlineStr">
        <is>
          <t>991004642059702656</t>
        </is>
      </c>
      <c r="BA18" t="inlineStr">
        <is>
          <t>2255557300002656</t>
        </is>
      </c>
      <c r="BB18" t="inlineStr">
        <is>
          <t>BOOK</t>
        </is>
      </c>
      <c r="BD18" t="inlineStr">
        <is>
          <t>9780313211980</t>
        </is>
      </c>
      <c r="BE18" t="inlineStr">
        <is>
          <t>32285000033364</t>
        </is>
      </c>
      <c r="BF18" t="inlineStr">
        <is>
          <t>893788954</t>
        </is>
      </c>
    </row>
    <row r="19">
      <c r="B19" t="inlineStr">
        <is>
          <t>CURAL</t>
        </is>
      </c>
      <c r="C19" t="inlineStr">
        <is>
          <t>SHELVES</t>
        </is>
      </c>
      <c r="D19" t="inlineStr">
        <is>
          <t>CB19 .B4 1973</t>
        </is>
      </c>
      <c r="E19" t="inlineStr">
        <is>
          <t>0                      CB 0019000B  4           1973</t>
        </is>
      </c>
      <c r="F19" t="inlineStr">
        <is>
          <t>Civilization and Old friends.</t>
        </is>
      </c>
      <c r="H19" t="inlineStr">
        <is>
          <t>No</t>
        </is>
      </c>
      <c r="I19" t="inlineStr">
        <is>
          <t>1</t>
        </is>
      </c>
      <c r="J19" t="inlineStr">
        <is>
          <t>No</t>
        </is>
      </c>
      <c r="K19" t="inlineStr">
        <is>
          <t>No</t>
        </is>
      </c>
      <c r="L19" t="inlineStr">
        <is>
          <t>0</t>
        </is>
      </c>
      <c r="M19" t="inlineStr">
        <is>
          <t>Bell, Clive, 1881-1964.</t>
        </is>
      </c>
      <c r="N19" t="inlineStr">
        <is>
          <t>Chicago, University of Chicago Press [c1973]</t>
        </is>
      </c>
      <c r="O19" t="inlineStr">
        <is>
          <t>1973</t>
        </is>
      </c>
      <c r="Q19" t="inlineStr">
        <is>
          <t>eng</t>
        </is>
      </c>
      <c r="R19" t="inlineStr">
        <is>
          <t>ilu</t>
        </is>
      </c>
      <c r="T19" t="inlineStr">
        <is>
          <t xml:space="preserve">CB </t>
        </is>
      </c>
      <c r="U19" t="n">
        <v>3</v>
      </c>
      <c r="V19" t="n">
        <v>3</v>
      </c>
      <c r="W19" t="inlineStr">
        <is>
          <t>2007-10-31</t>
        </is>
      </c>
      <c r="X19" t="inlineStr">
        <is>
          <t>2007-10-31</t>
        </is>
      </c>
      <c r="Y19" t="inlineStr">
        <is>
          <t>1996-08-14</t>
        </is>
      </c>
      <c r="Z19" t="inlineStr">
        <is>
          <t>1996-08-14</t>
        </is>
      </c>
      <c r="AA19" t="n">
        <v>387</v>
      </c>
      <c r="AB19" t="n">
        <v>340</v>
      </c>
      <c r="AC19" t="n">
        <v>347</v>
      </c>
      <c r="AD19" t="n">
        <v>3</v>
      </c>
      <c r="AE19" t="n">
        <v>3</v>
      </c>
      <c r="AF19" t="n">
        <v>20</v>
      </c>
      <c r="AG19" t="n">
        <v>20</v>
      </c>
      <c r="AH19" t="n">
        <v>5</v>
      </c>
      <c r="AI19" t="n">
        <v>5</v>
      </c>
      <c r="AJ19" t="n">
        <v>6</v>
      </c>
      <c r="AK19" t="n">
        <v>6</v>
      </c>
      <c r="AL19" t="n">
        <v>12</v>
      </c>
      <c r="AM19" t="n">
        <v>12</v>
      </c>
      <c r="AN19" t="n">
        <v>2</v>
      </c>
      <c r="AO19" t="n">
        <v>2</v>
      </c>
      <c r="AP19" t="n">
        <v>0</v>
      </c>
      <c r="AQ19" t="n">
        <v>0</v>
      </c>
      <c r="AR19" t="inlineStr">
        <is>
          <t>No</t>
        </is>
      </c>
      <c r="AS19" t="inlineStr">
        <is>
          <t>No</t>
        </is>
      </c>
      <c r="AU19">
        <f>HYPERLINK("https://creighton-primo.hosted.exlibrisgroup.com/primo-explore/search?tab=default_tab&amp;search_scope=EVERYTHING&amp;vid=01CRU&amp;lang=en_US&amp;offset=0&amp;query=any,contains,991003422449702656","Catalog Record")</f>
        <v/>
      </c>
      <c r="AV19">
        <f>HYPERLINK("http://www.worldcat.org/oclc/963209","WorldCat Record")</f>
        <v/>
      </c>
      <c r="AW19" t="inlineStr">
        <is>
          <t>3374677158:eng</t>
        </is>
      </c>
      <c r="AX19" t="inlineStr">
        <is>
          <t>963209</t>
        </is>
      </c>
      <c r="AY19" t="inlineStr">
        <is>
          <t>991003422449702656</t>
        </is>
      </c>
      <c r="AZ19" t="inlineStr">
        <is>
          <t>991003422449702656</t>
        </is>
      </c>
      <c r="BA19" t="inlineStr">
        <is>
          <t>2260064220002656</t>
        </is>
      </c>
      <c r="BB19" t="inlineStr">
        <is>
          <t>BOOK</t>
        </is>
      </c>
      <c r="BD19" t="inlineStr">
        <is>
          <t>9780226042060</t>
        </is>
      </c>
      <c r="BE19" t="inlineStr">
        <is>
          <t>32285002263035</t>
        </is>
      </c>
      <c r="BF19" t="inlineStr">
        <is>
          <t>893324068</t>
        </is>
      </c>
    </row>
    <row r="20">
      <c r="B20" t="inlineStr">
        <is>
          <t>CURAL</t>
        </is>
      </c>
      <c r="C20" t="inlineStr">
        <is>
          <t>SHELVES</t>
        </is>
      </c>
      <c r="D20" t="inlineStr">
        <is>
          <t>CB19 .E48 1949</t>
        </is>
      </c>
      <c r="E20" t="inlineStr">
        <is>
          <t>0                      CB 0019000E  48          1949</t>
        </is>
      </c>
      <c r="F20" t="inlineStr">
        <is>
          <t>Notes towards the definition of culture.</t>
        </is>
      </c>
      <c r="H20" t="inlineStr">
        <is>
          <t>No</t>
        </is>
      </c>
      <c r="I20" t="inlineStr">
        <is>
          <t>1</t>
        </is>
      </c>
      <c r="J20" t="inlineStr">
        <is>
          <t>No</t>
        </is>
      </c>
      <c r="K20" t="inlineStr">
        <is>
          <t>No</t>
        </is>
      </c>
      <c r="L20" t="inlineStr">
        <is>
          <t>0</t>
        </is>
      </c>
      <c r="M20" t="inlineStr">
        <is>
          <t>Eliot, T. S. (Thomas Stearns), 1888-1965.</t>
        </is>
      </c>
      <c r="N20" t="inlineStr">
        <is>
          <t>New York, Harcourt, Brace [1949]</t>
        </is>
      </c>
      <c r="O20" t="inlineStr">
        <is>
          <t>1949</t>
        </is>
      </c>
      <c r="P20" t="inlineStr">
        <is>
          <t>[1st American ed.]</t>
        </is>
      </c>
      <c r="Q20" t="inlineStr">
        <is>
          <t>eng</t>
        </is>
      </c>
      <c r="R20" t="inlineStr">
        <is>
          <t>nyu</t>
        </is>
      </c>
      <c r="T20" t="inlineStr">
        <is>
          <t xml:space="preserve">CB </t>
        </is>
      </c>
      <c r="U20" t="n">
        <v>8</v>
      </c>
      <c r="V20" t="n">
        <v>8</v>
      </c>
      <c r="W20" t="inlineStr">
        <is>
          <t>2010-03-25</t>
        </is>
      </c>
      <c r="X20" t="inlineStr">
        <is>
          <t>2010-03-25</t>
        </is>
      </c>
      <c r="Y20" t="inlineStr">
        <is>
          <t>1996-08-14</t>
        </is>
      </c>
      <c r="Z20" t="inlineStr">
        <is>
          <t>1996-08-14</t>
        </is>
      </c>
      <c r="AA20" t="n">
        <v>1247</v>
      </c>
      <c r="AB20" t="n">
        <v>1177</v>
      </c>
      <c r="AC20" t="n">
        <v>1316</v>
      </c>
      <c r="AD20" t="n">
        <v>7</v>
      </c>
      <c r="AE20" t="n">
        <v>7</v>
      </c>
      <c r="AF20" t="n">
        <v>45</v>
      </c>
      <c r="AG20" t="n">
        <v>51</v>
      </c>
      <c r="AH20" t="n">
        <v>22</v>
      </c>
      <c r="AI20" t="n">
        <v>24</v>
      </c>
      <c r="AJ20" t="n">
        <v>10</v>
      </c>
      <c r="AK20" t="n">
        <v>10</v>
      </c>
      <c r="AL20" t="n">
        <v>18</v>
      </c>
      <c r="AM20" t="n">
        <v>23</v>
      </c>
      <c r="AN20" t="n">
        <v>5</v>
      </c>
      <c r="AO20" t="n">
        <v>5</v>
      </c>
      <c r="AP20" t="n">
        <v>0</v>
      </c>
      <c r="AQ20" t="n">
        <v>0</v>
      </c>
      <c r="AR20" t="inlineStr">
        <is>
          <t>No</t>
        </is>
      </c>
      <c r="AS20" t="inlineStr">
        <is>
          <t>No</t>
        </is>
      </c>
      <c r="AT20">
        <f>HYPERLINK("http://catalog.hathitrust.org/Record/001603659","HathiTrust Record")</f>
        <v/>
      </c>
      <c r="AU20">
        <f>HYPERLINK("https://creighton-primo.hosted.exlibrisgroup.com/primo-explore/search?tab=default_tab&amp;search_scope=EVERYTHING&amp;vid=01CRU&amp;lang=en_US&amp;offset=0&amp;query=any,contains,991003228769702656","Catalog Record")</f>
        <v/>
      </c>
      <c r="AV20">
        <f>HYPERLINK("http://www.worldcat.org/oclc/13837213","WorldCat Record")</f>
        <v/>
      </c>
      <c r="AW20" t="inlineStr">
        <is>
          <t>570833:eng</t>
        </is>
      </c>
      <c r="AX20" t="inlineStr">
        <is>
          <t>13837213</t>
        </is>
      </c>
      <c r="AY20" t="inlineStr">
        <is>
          <t>991003228769702656</t>
        </is>
      </c>
      <c r="AZ20" t="inlineStr">
        <is>
          <t>991003228769702656</t>
        </is>
      </c>
      <c r="BA20" t="inlineStr">
        <is>
          <t>2270370680002656</t>
        </is>
      </c>
      <c r="BB20" t="inlineStr">
        <is>
          <t>BOOK</t>
        </is>
      </c>
      <c r="BE20" t="inlineStr">
        <is>
          <t>32285002263050</t>
        </is>
      </c>
      <c r="BF20" t="inlineStr">
        <is>
          <t>893348460</t>
        </is>
      </c>
    </row>
    <row r="21">
      <c r="B21" t="inlineStr">
        <is>
          <t>CURAL</t>
        </is>
      </c>
      <c r="C21" t="inlineStr">
        <is>
          <t>SHELVES</t>
        </is>
      </c>
      <c r="D21" t="inlineStr">
        <is>
          <t>CB19 .E48 1984</t>
        </is>
      </c>
      <c r="E21" t="inlineStr">
        <is>
          <t>0                      CB 0019000E  48          1984</t>
        </is>
      </c>
      <c r="F21" t="inlineStr">
        <is>
          <t>Notas para la definición de la cultura / T.S. Eliot ; [traducción, Félix de Azúa].</t>
        </is>
      </c>
      <c r="H21" t="inlineStr">
        <is>
          <t>No</t>
        </is>
      </c>
      <c r="I21" t="inlineStr">
        <is>
          <t>1</t>
        </is>
      </c>
      <c r="J21" t="inlineStr">
        <is>
          <t>No</t>
        </is>
      </c>
      <c r="K21" t="inlineStr">
        <is>
          <t>No</t>
        </is>
      </c>
      <c r="L21" t="inlineStr">
        <is>
          <t>0</t>
        </is>
      </c>
      <c r="M21" t="inlineStr">
        <is>
          <t>Eliot, T. S. (Thomas Stearns), 1888-1965.</t>
        </is>
      </c>
      <c r="N21" t="inlineStr">
        <is>
          <t>Barcelona : Bruguera, 1984.</t>
        </is>
      </c>
      <c r="O21" t="inlineStr">
        <is>
          <t>1984</t>
        </is>
      </c>
      <c r="P21" t="inlineStr">
        <is>
          <t>1a ed.</t>
        </is>
      </c>
      <c r="Q21" t="inlineStr">
        <is>
          <t>spa</t>
        </is>
      </c>
      <c r="R21" t="inlineStr">
        <is>
          <t xml:space="preserve">sp </t>
        </is>
      </c>
      <c r="S21" t="inlineStr">
        <is>
          <t>Bruguera libro amigo</t>
        </is>
      </c>
      <c r="T21" t="inlineStr">
        <is>
          <t xml:space="preserve">CB </t>
        </is>
      </c>
      <c r="U21" t="n">
        <v>1</v>
      </c>
      <c r="V21" t="n">
        <v>1</v>
      </c>
      <c r="W21" t="inlineStr">
        <is>
          <t>2010-03-10</t>
        </is>
      </c>
      <c r="X21" t="inlineStr">
        <is>
          <t>2010-03-10</t>
        </is>
      </c>
      <c r="Y21" t="inlineStr">
        <is>
          <t>2002-06-10</t>
        </is>
      </c>
      <c r="Z21" t="inlineStr">
        <is>
          <t>2002-06-10</t>
        </is>
      </c>
      <c r="AA21" t="n">
        <v>3</v>
      </c>
      <c r="AB21" t="n">
        <v>2</v>
      </c>
      <c r="AC21" t="n">
        <v>9</v>
      </c>
      <c r="AD21" t="n">
        <v>1</v>
      </c>
      <c r="AE21" t="n">
        <v>1</v>
      </c>
      <c r="AF21" t="n">
        <v>0</v>
      </c>
      <c r="AG21" t="n">
        <v>0</v>
      </c>
      <c r="AH21" t="n">
        <v>0</v>
      </c>
      <c r="AI21" t="n">
        <v>0</v>
      </c>
      <c r="AJ21" t="n">
        <v>0</v>
      </c>
      <c r="AK21" t="n">
        <v>0</v>
      </c>
      <c r="AL21" t="n">
        <v>0</v>
      </c>
      <c r="AM21" t="n">
        <v>0</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HYPERLINK("https://creighton-primo.hosted.exlibrisgroup.com/primo-explore/search?tab=default_tab&amp;search_scope=EVERYTHING&amp;vid=01CRU&amp;lang=en_US&amp;offset=0&amp;query=any,contains,991003816799702656","Catalog Record")</f>
        <v/>
      </c>
      <c r="AV21">
        <f>HYPERLINK("http://www.worldcat.org/oclc/33285818","WorldCat Record")</f>
        <v/>
      </c>
      <c r="AW21" t="inlineStr">
        <is>
          <t>570833:spa</t>
        </is>
      </c>
      <c r="AX21" t="inlineStr">
        <is>
          <t>33285818</t>
        </is>
      </c>
      <c r="AY21" t="inlineStr">
        <is>
          <t>991003816799702656</t>
        </is>
      </c>
      <c r="AZ21" t="inlineStr">
        <is>
          <t>991003816799702656</t>
        </is>
      </c>
      <c r="BA21" t="inlineStr">
        <is>
          <t>2272302350002656</t>
        </is>
      </c>
      <c r="BB21" t="inlineStr">
        <is>
          <t>BOOK</t>
        </is>
      </c>
      <c r="BD21" t="inlineStr">
        <is>
          <t>9788402096432</t>
        </is>
      </c>
      <c r="BE21" t="inlineStr">
        <is>
          <t>32285004493689</t>
        </is>
      </c>
      <c r="BF21" t="inlineStr">
        <is>
          <t>893781444</t>
        </is>
      </c>
    </row>
    <row r="22">
      <c r="B22" t="inlineStr">
        <is>
          <t>CURAL</t>
        </is>
      </c>
      <c r="C22" t="inlineStr">
        <is>
          <t>SHELVES</t>
        </is>
      </c>
      <c r="D22" t="inlineStr">
        <is>
          <t>CB19 .R47 1975</t>
        </is>
      </c>
      <c r="E22" t="inlineStr">
        <is>
          <t>0                      CB 0019000R  47          1975</t>
        </is>
      </c>
      <c r="F22" t="inlineStr">
        <is>
          <t>Fellow teachers / Philip Rieff.</t>
        </is>
      </c>
      <c r="H22" t="inlineStr">
        <is>
          <t>No</t>
        </is>
      </c>
      <c r="I22" t="inlineStr">
        <is>
          <t>1</t>
        </is>
      </c>
      <c r="J22" t="inlineStr">
        <is>
          <t>No</t>
        </is>
      </c>
      <c r="K22" t="inlineStr">
        <is>
          <t>No</t>
        </is>
      </c>
      <c r="L22" t="inlineStr">
        <is>
          <t>0</t>
        </is>
      </c>
      <c r="M22" t="inlineStr">
        <is>
          <t>Rieff, Philip, 1922-2006.</t>
        </is>
      </c>
      <c r="N22" t="inlineStr">
        <is>
          <t>New York : Dell Publishing Co., 1975, c1973.</t>
        </is>
      </c>
      <c r="O22" t="inlineStr">
        <is>
          <t>1975</t>
        </is>
      </c>
      <c r="Q22" t="inlineStr">
        <is>
          <t>eng</t>
        </is>
      </c>
      <c r="R22" t="inlineStr">
        <is>
          <t>nyu</t>
        </is>
      </c>
      <c r="S22" t="inlineStr">
        <is>
          <t>A Delta book</t>
        </is>
      </c>
      <c r="T22" t="inlineStr">
        <is>
          <t xml:space="preserve">CB </t>
        </is>
      </c>
      <c r="U22" t="n">
        <v>4</v>
      </c>
      <c r="V22" t="n">
        <v>4</v>
      </c>
      <c r="W22" t="inlineStr">
        <is>
          <t>2010-03-25</t>
        </is>
      </c>
      <c r="X22" t="inlineStr">
        <is>
          <t>2010-03-25</t>
        </is>
      </c>
      <c r="Y22" t="inlineStr">
        <is>
          <t>1990-02-08</t>
        </is>
      </c>
      <c r="Z22" t="inlineStr">
        <is>
          <t>1990-02-08</t>
        </is>
      </c>
      <c r="AA22" t="n">
        <v>79</v>
      </c>
      <c r="AB22" t="n">
        <v>69</v>
      </c>
      <c r="AC22" t="n">
        <v>404</v>
      </c>
      <c r="AD22" t="n">
        <v>1</v>
      </c>
      <c r="AE22" t="n">
        <v>2</v>
      </c>
      <c r="AF22" t="n">
        <v>5</v>
      </c>
      <c r="AG22" t="n">
        <v>21</v>
      </c>
      <c r="AH22" t="n">
        <v>3</v>
      </c>
      <c r="AI22" t="n">
        <v>8</v>
      </c>
      <c r="AJ22" t="n">
        <v>0</v>
      </c>
      <c r="AK22" t="n">
        <v>7</v>
      </c>
      <c r="AL22" t="n">
        <v>2</v>
      </c>
      <c r="AM22" t="n">
        <v>11</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HYPERLINK("https://creighton-primo.hosted.exlibrisgroup.com/primo-explore/search?tab=default_tab&amp;search_scope=EVERYTHING&amp;vid=01CRU&amp;lang=en_US&amp;offset=0&amp;query=any,contains,991003964509702656","Catalog Record")</f>
        <v/>
      </c>
      <c r="AV22">
        <f>HYPERLINK("http://www.worldcat.org/oclc/1978987","WorldCat Record")</f>
        <v/>
      </c>
      <c r="AW22" t="inlineStr">
        <is>
          <t>57491996:eng</t>
        </is>
      </c>
      <c r="AX22" t="inlineStr">
        <is>
          <t>1978987</t>
        </is>
      </c>
      <c r="AY22" t="inlineStr">
        <is>
          <t>991003964509702656</t>
        </is>
      </c>
      <c r="AZ22" t="inlineStr">
        <is>
          <t>991003964509702656</t>
        </is>
      </c>
      <c r="BA22" t="inlineStr">
        <is>
          <t>2268053100002656</t>
        </is>
      </c>
      <c r="BB22" t="inlineStr">
        <is>
          <t>BOOK</t>
        </is>
      </c>
      <c r="BE22" t="inlineStr">
        <is>
          <t>32285000033778</t>
        </is>
      </c>
      <c r="BF22" t="inlineStr">
        <is>
          <t>893900622</t>
        </is>
      </c>
    </row>
    <row r="23">
      <c r="B23" t="inlineStr">
        <is>
          <t>CURAL</t>
        </is>
      </c>
      <c r="C23" t="inlineStr">
        <is>
          <t>SHELVES</t>
        </is>
      </c>
      <c r="D23" t="inlineStr">
        <is>
          <t>CB19 .S42313 1981</t>
        </is>
      </c>
      <c r="E23" t="inlineStr">
        <is>
          <t>0                      CB 0019000S  42313       1981</t>
        </is>
      </c>
      <c r="F23" t="inlineStr">
        <is>
          <t>The philosophy of civilization / Albert Schweitzer ; translated by C.T. Campion.</t>
        </is>
      </c>
      <c r="H23" t="inlineStr">
        <is>
          <t>No</t>
        </is>
      </c>
      <c r="I23" t="inlineStr">
        <is>
          <t>1</t>
        </is>
      </c>
      <c r="J23" t="inlineStr">
        <is>
          <t>No</t>
        </is>
      </c>
      <c r="K23" t="inlineStr">
        <is>
          <t>No</t>
        </is>
      </c>
      <c r="L23" t="inlineStr">
        <is>
          <t>0</t>
        </is>
      </c>
      <c r="M23" t="inlineStr">
        <is>
          <t>Schweitzer, Albert, 1875-1965.</t>
        </is>
      </c>
      <c r="N23" t="inlineStr">
        <is>
          <t>Tallahassee : University Presses of Florida, 1981.</t>
        </is>
      </c>
      <c r="O23" t="inlineStr">
        <is>
          <t>1981</t>
        </is>
      </c>
      <c r="Q23" t="inlineStr">
        <is>
          <t>eng</t>
        </is>
      </c>
      <c r="R23" t="inlineStr">
        <is>
          <t>flu</t>
        </is>
      </c>
      <c r="T23" t="inlineStr">
        <is>
          <t xml:space="preserve">CB </t>
        </is>
      </c>
      <c r="U23" t="n">
        <v>2</v>
      </c>
      <c r="V23" t="n">
        <v>2</v>
      </c>
      <c r="W23" t="inlineStr">
        <is>
          <t>2010-06-23</t>
        </is>
      </c>
      <c r="X23" t="inlineStr">
        <is>
          <t>2010-06-23</t>
        </is>
      </c>
      <c r="Y23" t="inlineStr">
        <is>
          <t>1990-07-26</t>
        </is>
      </c>
      <c r="Z23" t="inlineStr">
        <is>
          <t>1990-07-26</t>
        </is>
      </c>
      <c r="AA23" t="n">
        <v>104</v>
      </c>
      <c r="AB23" t="n">
        <v>95</v>
      </c>
      <c r="AC23" t="n">
        <v>276</v>
      </c>
      <c r="AD23" t="n">
        <v>1</v>
      </c>
      <c r="AE23" t="n">
        <v>2</v>
      </c>
      <c r="AF23" t="n">
        <v>7</v>
      </c>
      <c r="AG23" t="n">
        <v>12</v>
      </c>
      <c r="AH23" t="n">
        <v>2</v>
      </c>
      <c r="AI23" t="n">
        <v>6</v>
      </c>
      <c r="AJ23" t="n">
        <v>1</v>
      </c>
      <c r="AK23" t="n">
        <v>1</v>
      </c>
      <c r="AL23" t="n">
        <v>6</v>
      </c>
      <c r="AM23" t="n">
        <v>7</v>
      </c>
      <c r="AN23" t="n">
        <v>0</v>
      </c>
      <c r="AO23" t="n">
        <v>1</v>
      </c>
      <c r="AP23" t="n">
        <v>0</v>
      </c>
      <c r="AQ23" t="n">
        <v>0</v>
      </c>
      <c r="AR23" t="inlineStr">
        <is>
          <t>No</t>
        </is>
      </c>
      <c r="AS23" t="inlineStr">
        <is>
          <t>No</t>
        </is>
      </c>
      <c r="AU23">
        <f>HYPERLINK("https://creighton-primo.hosted.exlibrisgroup.com/primo-explore/search?tab=default_tab&amp;search_scope=EVERYTHING&amp;vid=01CRU&amp;lang=en_US&amp;offset=0&amp;query=any,contains,991005070089702656","Catalog Record")</f>
        <v/>
      </c>
      <c r="AV23">
        <f>HYPERLINK("http://www.worldcat.org/oclc/7006818","WorldCat Record")</f>
        <v/>
      </c>
      <c r="AW23" t="inlineStr">
        <is>
          <t>4349281:eng</t>
        </is>
      </c>
      <c r="AX23" t="inlineStr">
        <is>
          <t>7006818</t>
        </is>
      </c>
      <c r="AY23" t="inlineStr">
        <is>
          <t>991005070089702656</t>
        </is>
      </c>
      <c r="AZ23" t="inlineStr">
        <is>
          <t>991005070089702656</t>
        </is>
      </c>
      <c r="BA23" t="inlineStr">
        <is>
          <t>2268007600002656</t>
        </is>
      </c>
      <c r="BB23" t="inlineStr">
        <is>
          <t>BOOK</t>
        </is>
      </c>
      <c r="BE23" t="inlineStr">
        <is>
          <t>32285000248368</t>
        </is>
      </c>
      <c r="BF23" t="inlineStr">
        <is>
          <t>893700982</t>
        </is>
      </c>
    </row>
    <row r="24">
      <c r="B24" t="inlineStr">
        <is>
          <t>CURAL</t>
        </is>
      </c>
      <c r="C24" t="inlineStr">
        <is>
          <t>SHELVES</t>
        </is>
      </c>
      <c r="D24" t="inlineStr">
        <is>
          <t>CB19 .T53</t>
        </is>
      </c>
      <c r="E24" t="inlineStr">
        <is>
          <t>0                      CB 0019000T  53</t>
        </is>
      </c>
      <c r="F24" t="inlineStr">
        <is>
          <t>The time falling bodies take to light : mythology, sexuality, and the origins of culture / William Irwin Thompson.</t>
        </is>
      </c>
      <c r="H24" t="inlineStr">
        <is>
          <t>No</t>
        </is>
      </c>
      <c r="I24" t="inlineStr">
        <is>
          <t>1</t>
        </is>
      </c>
      <c r="J24" t="inlineStr">
        <is>
          <t>No</t>
        </is>
      </c>
      <c r="K24" t="inlineStr">
        <is>
          <t>No</t>
        </is>
      </c>
      <c r="L24" t="inlineStr">
        <is>
          <t>0</t>
        </is>
      </c>
      <c r="M24" t="inlineStr">
        <is>
          <t>Thompson, William Irwin.</t>
        </is>
      </c>
      <c r="N24" t="inlineStr">
        <is>
          <t>New York : St. Martin's Press, c1981.</t>
        </is>
      </c>
      <c r="O24" t="inlineStr">
        <is>
          <t>1981</t>
        </is>
      </c>
      <c r="Q24" t="inlineStr">
        <is>
          <t>eng</t>
        </is>
      </c>
      <c r="R24" t="inlineStr">
        <is>
          <t>nyu</t>
        </is>
      </c>
      <c r="T24" t="inlineStr">
        <is>
          <t xml:space="preserve">CB </t>
        </is>
      </c>
      <c r="U24" t="n">
        <v>6</v>
      </c>
      <c r="V24" t="n">
        <v>6</v>
      </c>
      <c r="W24" t="inlineStr">
        <is>
          <t>2004-11-22</t>
        </is>
      </c>
      <c r="X24" t="inlineStr">
        <is>
          <t>2004-11-22</t>
        </is>
      </c>
      <c r="Y24" t="inlineStr">
        <is>
          <t>1992-02-11</t>
        </is>
      </c>
      <c r="Z24" t="inlineStr">
        <is>
          <t>1992-02-11</t>
        </is>
      </c>
      <c r="AA24" t="n">
        <v>744</v>
      </c>
      <c r="AB24" t="n">
        <v>675</v>
      </c>
      <c r="AC24" t="n">
        <v>746</v>
      </c>
      <c r="AD24" t="n">
        <v>4</v>
      </c>
      <c r="AE24" t="n">
        <v>4</v>
      </c>
      <c r="AF24" t="n">
        <v>19</v>
      </c>
      <c r="AG24" t="n">
        <v>20</v>
      </c>
      <c r="AH24" t="n">
        <v>8</v>
      </c>
      <c r="AI24" t="n">
        <v>8</v>
      </c>
      <c r="AJ24" t="n">
        <v>5</v>
      </c>
      <c r="AK24" t="n">
        <v>5</v>
      </c>
      <c r="AL24" t="n">
        <v>8</v>
      </c>
      <c r="AM24" t="n">
        <v>9</v>
      </c>
      <c r="AN24" t="n">
        <v>3</v>
      </c>
      <c r="AO24" t="n">
        <v>3</v>
      </c>
      <c r="AP24" t="n">
        <v>0</v>
      </c>
      <c r="AQ24" t="n">
        <v>0</v>
      </c>
      <c r="AR24" t="inlineStr">
        <is>
          <t>No</t>
        </is>
      </c>
      <c r="AS24" t="inlineStr">
        <is>
          <t>No</t>
        </is>
      </c>
      <c r="AU24">
        <f>HYPERLINK("https://creighton-primo.hosted.exlibrisgroup.com/primo-explore/search?tab=default_tab&amp;search_scope=EVERYTHING&amp;vid=01CRU&amp;lang=en_US&amp;offset=0&amp;query=any,contains,991005054219702656","Catalog Record")</f>
        <v/>
      </c>
      <c r="AV24">
        <f>HYPERLINK("http://www.worldcat.org/oclc/6890108","WorldCat Record")</f>
        <v/>
      </c>
      <c r="AW24" t="inlineStr">
        <is>
          <t>444379:eng</t>
        </is>
      </c>
      <c r="AX24" t="inlineStr">
        <is>
          <t>6890108</t>
        </is>
      </c>
      <c r="AY24" t="inlineStr">
        <is>
          <t>991005054219702656</t>
        </is>
      </c>
      <c r="AZ24" t="inlineStr">
        <is>
          <t>991005054219702656</t>
        </is>
      </c>
      <c r="BA24" t="inlineStr">
        <is>
          <t>2264030920002656</t>
        </is>
      </c>
      <c r="BB24" t="inlineStr">
        <is>
          <t>BOOK</t>
        </is>
      </c>
      <c r="BD24" t="inlineStr">
        <is>
          <t>9780312805104</t>
        </is>
      </c>
      <c r="BE24" t="inlineStr">
        <is>
          <t>32285000955574</t>
        </is>
      </c>
      <c r="BF24" t="inlineStr">
        <is>
          <t>893789367</t>
        </is>
      </c>
    </row>
    <row r="25">
      <c r="B25" t="inlineStr">
        <is>
          <t>CURAL</t>
        </is>
      </c>
      <c r="C25" t="inlineStr">
        <is>
          <t>SHELVES</t>
        </is>
      </c>
      <c r="D25" t="inlineStr">
        <is>
          <t>CB19 .T575</t>
        </is>
      </c>
      <c r="E25" t="inlineStr">
        <is>
          <t>0                      CB 0019000T  575</t>
        </is>
      </c>
      <c r="F25" t="inlineStr">
        <is>
          <t>Acquaintances [by] Arnold J. Toynbee.</t>
        </is>
      </c>
      <c r="H25" t="inlineStr">
        <is>
          <t>No</t>
        </is>
      </c>
      <c r="I25" t="inlineStr">
        <is>
          <t>1</t>
        </is>
      </c>
      <c r="J25" t="inlineStr">
        <is>
          <t>No</t>
        </is>
      </c>
      <c r="K25" t="inlineStr">
        <is>
          <t>No</t>
        </is>
      </c>
      <c r="L25" t="inlineStr">
        <is>
          <t>0</t>
        </is>
      </c>
      <c r="M25" t="inlineStr">
        <is>
          <t>Toynbee, Arnold, 1889-1975.</t>
        </is>
      </c>
      <c r="N25" t="inlineStr">
        <is>
          <t>London, Oxford U.P., 1967.</t>
        </is>
      </c>
      <c r="O25" t="inlineStr">
        <is>
          <t>1967</t>
        </is>
      </c>
      <c r="Q25" t="inlineStr">
        <is>
          <t>eng</t>
        </is>
      </c>
      <c r="R25" t="inlineStr">
        <is>
          <t>enk</t>
        </is>
      </c>
      <c r="T25" t="inlineStr">
        <is>
          <t xml:space="preserve">CB </t>
        </is>
      </c>
      <c r="U25" t="n">
        <v>1</v>
      </c>
      <c r="V25" t="n">
        <v>1</v>
      </c>
      <c r="W25" t="inlineStr">
        <is>
          <t>2009-06-02</t>
        </is>
      </c>
      <c r="X25" t="inlineStr">
        <is>
          <t>2009-06-02</t>
        </is>
      </c>
      <c r="Y25" t="inlineStr">
        <is>
          <t>1996-08-14</t>
        </is>
      </c>
      <c r="Z25" t="inlineStr">
        <is>
          <t>1996-08-14</t>
        </is>
      </c>
      <c r="AA25" t="n">
        <v>1021</v>
      </c>
      <c r="AB25" t="n">
        <v>855</v>
      </c>
      <c r="AC25" t="n">
        <v>868</v>
      </c>
      <c r="AD25" t="n">
        <v>5</v>
      </c>
      <c r="AE25" t="n">
        <v>5</v>
      </c>
      <c r="AF25" t="n">
        <v>31</v>
      </c>
      <c r="AG25" t="n">
        <v>31</v>
      </c>
      <c r="AH25" t="n">
        <v>10</v>
      </c>
      <c r="AI25" t="n">
        <v>10</v>
      </c>
      <c r="AJ25" t="n">
        <v>8</v>
      </c>
      <c r="AK25" t="n">
        <v>8</v>
      </c>
      <c r="AL25" t="n">
        <v>16</v>
      </c>
      <c r="AM25" t="n">
        <v>16</v>
      </c>
      <c r="AN25" t="n">
        <v>3</v>
      </c>
      <c r="AO25" t="n">
        <v>3</v>
      </c>
      <c r="AP25" t="n">
        <v>0</v>
      </c>
      <c r="AQ25" t="n">
        <v>0</v>
      </c>
      <c r="AR25" t="inlineStr">
        <is>
          <t>No</t>
        </is>
      </c>
      <c r="AS25" t="inlineStr">
        <is>
          <t>Yes</t>
        </is>
      </c>
      <c r="AT25">
        <f>HYPERLINK("http://catalog.hathitrust.org/Record/001598421","HathiTrust Record")</f>
        <v/>
      </c>
      <c r="AU25">
        <f>HYPERLINK("https://creighton-primo.hosted.exlibrisgroup.com/primo-explore/search?tab=default_tab&amp;search_scope=EVERYTHING&amp;vid=01CRU&amp;lang=en_US&amp;offset=0&amp;query=any,contains,991002401269702656","Catalog Record")</f>
        <v/>
      </c>
      <c r="AV25">
        <f>HYPERLINK("http://www.worldcat.org/oclc/336810","WorldCat Record")</f>
        <v/>
      </c>
      <c r="AW25" t="inlineStr">
        <is>
          <t>786954903:eng</t>
        </is>
      </c>
      <c r="AX25" t="inlineStr">
        <is>
          <t>336810</t>
        </is>
      </c>
      <c r="AY25" t="inlineStr">
        <is>
          <t>991002401269702656</t>
        </is>
      </c>
      <c r="AZ25" t="inlineStr">
        <is>
          <t>991002401269702656</t>
        </is>
      </c>
      <c r="BA25" t="inlineStr">
        <is>
          <t>2255166280002656</t>
        </is>
      </c>
      <c r="BB25" t="inlineStr">
        <is>
          <t>BOOK</t>
        </is>
      </c>
      <c r="BE25" t="inlineStr">
        <is>
          <t>32285002263175</t>
        </is>
      </c>
      <c r="BF25" t="inlineStr">
        <is>
          <t>893238982</t>
        </is>
      </c>
    </row>
    <row r="26">
      <c r="B26" t="inlineStr">
        <is>
          <t>CURAL</t>
        </is>
      </c>
      <c r="C26" t="inlineStr">
        <is>
          <t>SHELVES</t>
        </is>
      </c>
      <c r="D26" t="inlineStr">
        <is>
          <t>CB19 .T6</t>
        </is>
      </c>
      <c r="E26" t="inlineStr">
        <is>
          <t>0                      CB 0019000T  6</t>
        </is>
      </c>
      <c r="F26" t="inlineStr">
        <is>
          <t>Civilization on trial : [essays] / Arnold J. Toynbee.</t>
        </is>
      </c>
      <c r="H26" t="inlineStr">
        <is>
          <t>No</t>
        </is>
      </c>
      <c r="I26" t="inlineStr">
        <is>
          <t>1</t>
        </is>
      </c>
      <c r="J26" t="inlineStr">
        <is>
          <t>No</t>
        </is>
      </c>
      <c r="K26" t="inlineStr">
        <is>
          <t>No</t>
        </is>
      </c>
      <c r="L26" t="inlineStr">
        <is>
          <t>0</t>
        </is>
      </c>
      <c r="M26" t="inlineStr">
        <is>
          <t>Toynbee, Arnold, 1889-1975.</t>
        </is>
      </c>
      <c r="N26" t="inlineStr">
        <is>
          <t>New York : Oxford University Press, 1948.</t>
        </is>
      </c>
      <c r="O26" t="inlineStr">
        <is>
          <t>1948</t>
        </is>
      </c>
      <c r="Q26" t="inlineStr">
        <is>
          <t>eng</t>
        </is>
      </c>
      <c r="R26" t="inlineStr">
        <is>
          <t>nyu</t>
        </is>
      </c>
      <c r="T26" t="inlineStr">
        <is>
          <t xml:space="preserve">CB </t>
        </is>
      </c>
      <c r="U26" t="n">
        <v>2</v>
      </c>
      <c r="V26" t="n">
        <v>2</v>
      </c>
      <c r="W26" t="inlineStr">
        <is>
          <t>1999-10-08</t>
        </is>
      </c>
      <c r="X26" t="inlineStr">
        <is>
          <t>1999-10-08</t>
        </is>
      </c>
      <c r="Y26" t="inlineStr">
        <is>
          <t>1996-08-14</t>
        </is>
      </c>
      <c r="Z26" t="inlineStr">
        <is>
          <t>1996-08-14</t>
        </is>
      </c>
      <c r="AA26" t="n">
        <v>1426</v>
      </c>
      <c r="AB26" t="n">
        <v>1320</v>
      </c>
      <c r="AC26" t="n">
        <v>1688</v>
      </c>
      <c r="AD26" t="n">
        <v>10</v>
      </c>
      <c r="AE26" t="n">
        <v>11</v>
      </c>
      <c r="AF26" t="n">
        <v>48</v>
      </c>
      <c r="AG26" t="n">
        <v>56</v>
      </c>
      <c r="AH26" t="n">
        <v>22</v>
      </c>
      <c r="AI26" t="n">
        <v>24</v>
      </c>
      <c r="AJ26" t="n">
        <v>7</v>
      </c>
      <c r="AK26" t="n">
        <v>10</v>
      </c>
      <c r="AL26" t="n">
        <v>20</v>
      </c>
      <c r="AM26" t="n">
        <v>25</v>
      </c>
      <c r="AN26" t="n">
        <v>9</v>
      </c>
      <c r="AO26" t="n">
        <v>9</v>
      </c>
      <c r="AP26" t="n">
        <v>1</v>
      </c>
      <c r="AQ26" t="n">
        <v>1</v>
      </c>
      <c r="AR26" t="inlineStr">
        <is>
          <t>No</t>
        </is>
      </c>
      <c r="AS26" t="inlineStr">
        <is>
          <t>Yes</t>
        </is>
      </c>
      <c r="AT26">
        <f>HYPERLINK("http://catalog.hathitrust.org/Record/000663522","HathiTrust Record")</f>
        <v/>
      </c>
      <c r="AU26">
        <f>HYPERLINK("https://creighton-primo.hosted.exlibrisgroup.com/primo-explore/search?tab=default_tab&amp;search_scope=EVERYTHING&amp;vid=01CRU&amp;lang=en_US&amp;offset=0&amp;query=any,contains,991002424749702656","Catalog Record")</f>
        <v/>
      </c>
      <c r="AV26">
        <f>HYPERLINK("http://www.worldcat.org/oclc/344360","WorldCat Record")</f>
        <v/>
      </c>
      <c r="AW26" t="inlineStr">
        <is>
          <t>785916836:eng</t>
        </is>
      </c>
      <c r="AX26" t="inlineStr">
        <is>
          <t>344360</t>
        </is>
      </c>
      <c r="AY26" t="inlineStr">
        <is>
          <t>991002424749702656</t>
        </is>
      </c>
      <c r="AZ26" t="inlineStr">
        <is>
          <t>991002424749702656</t>
        </is>
      </c>
      <c r="BA26" t="inlineStr">
        <is>
          <t>2264976820002656</t>
        </is>
      </c>
      <c r="BB26" t="inlineStr">
        <is>
          <t>BOOK</t>
        </is>
      </c>
      <c r="BE26" t="inlineStr">
        <is>
          <t>32285002263191</t>
        </is>
      </c>
      <c r="BF26" t="inlineStr">
        <is>
          <t>893898740</t>
        </is>
      </c>
    </row>
    <row r="27">
      <c r="B27" t="inlineStr">
        <is>
          <t>CURAL</t>
        </is>
      </c>
      <c r="C27" t="inlineStr">
        <is>
          <t>SHELVES</t>
        </is>
      </c>
      <c r="D27" t="inlineStr">
        <is>
          <t>CB195.G7 B5 1970</t>
        </is>
      </c>
      <c r="E27" t="inlineStr">
        <is>
          <t>0                      CB 0195000G  7                  B  5           1970</t>
        </is>
      </c>
      <c r="F27" t="inlineStr">
        <is>
          <t>Father of racist ideology; the social and political thought of Count Gobineau [by] Michael D. Biddiss.</t>
        </is>
      </c>
      <c r="H27" t="inlineStr">
        <is>
          <t>No</t>
        </is>
      </c>
      <c r="I27" t="inlineStr">
        <is>
          <t>1</t>
        </is>
      </c>
      <c r="J27" t="inlineStr">
        <is>
          <t>No</t>
        </is>
      </c>
      <c r="K27" t="inlineStr">
        <is>
          <t>No</t>
        </is>
      </c>
      <c r="L27" t="inlineStr">
        <is>
          <t>0</t>
        </is>
      </c>
      <c r="M27" t="inlineStr">
        <is>
          <t>Biddiss, Michael D. (Michael Denis), 1942-</t>
        </is>
      </c>
      <c r="N27" t="inlineStr">
        <is>
          <t>New York, Weybright and Talley [1970]</t>
        </is>
      </c>
      <c r="O27" t="inlineStr">
        <is>
          <t>1970</t>
        </is>
      </c>
      <c r="Q27" t="inlineStr">
        <is>
          <t>eng</t>
        </is>
      </c>
      <c r="R27" t="inlineStr">
        <is>
          <t>nyu</t>
        </is>
      </c>
      <c r="T27" t="inlineStr">
        <is>
          <t xml:space="preserve">CB </t>
        </is>
      </c>
      <c r="U27" t="n">
        <v>4</v>
      </c>
      <c r="V27" t="n">
        <v>4</v>
      </c>
      <c r="W27" t="inlineStr">
        <is>
          <t>1999-08-02</t>
        </is>
      </c>
      <c r="X27" t="inlineStr">
        <is>
          <t>1999-08-02</t>
        </is>
      </c>
      <c r="Y27" t="inlineStr">
        <is>
          <t>1996-08-14</t>
        </is>
      </c>
      <c r="Z27" t="inlineStr">
        <is>
          <t>1996-08-14</t>
        </is>
      </c>
      <c r="AA27" t="n">
        <v>619</v>
      </c>
      <c r="AB27" t="n">
        <v>566</v>
      </c>
      <c r="AC27" t="n">
        <v>631</v>
      </c>
      <c r="AD27" t="n">
        <v>4</v>
      </c>
      <c r="AE27" t="n">
        <v>5</v>
      </c>
      <c r="AF27" t="n">
        <v>28</v>
      </c>
      <c r="AG27" t="n">
        <v>33</v>
      </c>
      <c r="AH27" t="n">
        <v>12</v>
      </c>
      <c r="AI27" t="n">
        <v>13</v>
      </c>
      <c r="AJ27" t="n">
        <v>5</v>
      </c>
      <c r="AK27" t="n">
        <v>6</v>
      </c>
      <c r="AL27" t="n">
        <v>14</v>
      </c>
      <c r="AM27" t="n">
        <v>17</v>
      </c>
      <c r="AN27" t="n">
        <v>3</v>
      </c>
      <c r="AO27" t="n">
        <v>4</v>
      </c>
      <c r="AP27" t="n">
        <v>0</v>
      </c>
      <c r="AQ27" t="n">
        <v>0</v>
      </c>
      <c r="AR27" t="inlineStr">
        <is>
          <t>No</t>
        </is>
      </c>
      <c r="AS27" t="inlineStr">
        <is>
          <t>Yes</t>
        </is>
      </c>
      <c r="AT27">
        <f>HYPERLINK("http://catalog.hathitrust.org/Record/102068743","HathiTrust Record")</f>
        <v/>
      </c>
      <c r="AU27">
        <f>HYPERLINK("https://creighton-primo.hosted.exlibrisgroup.com/primo-explore/search?tab=default_tab&amp;search_scope=EVERYTHING&amp;vid=01CRU&amp;lang=en_US&amp;offset=0&amp;query=any,contains,991000543349702656","Catalog Record")</f>
        <v/>
      </c>
      <c r="AV27">
        <f>HYPERLINK("http://www.worldcat.org/oclc/90991","WorldCat Record")</f>
        <v/>
      </c>
      <c r="AW27" t="inlineStr">
        <is>
          <t>1300205:eng</t>
        </is>
      </c>
      <c r="AX27" t="inlineStr">
        <is>
          <t>90991</t>
        </is>
      </c>
      <c r="AY27" t="inlineStr">
        <is>
          <t>991000543349702656</t>
        </is>
      </c>
      <c r="AZ27" t="inlineStr">
        <is>
          <t>991000543349702656</t>
        </is>
      </c>
      <c r="BA27" t="inlineStr">
        <is>
          <t>2266353000002656</t>
        </is>
      </c>
      <c r="BB27" t="inlineStr">
        <is>
          <t>BOOK</t>
        </is>
      </c>
      <c r="BE27" t="inlineStr">
        <is>
          <t>32285002264496</t>
        </is>
      </c>
      <c r="BF27" t="inlineStr">
        <is>
          <t>893695926</t>
        </is>
      </c>
    </row>
    <row r="28">
      <c r="B28" t="inlineStr">
        <is>
          <t>CURAL</t>
        </is>
      </c>
      <c r="C28" t="inlineStr">
        <is>
          <t>SHELVES</t>
        </is>
      </c>
      <c r="D28" t="inlineStr">
        <is>
          <t>CB203 .B87 1978c</t>
        </is>
      </c>
      <c r="E28" t="inlineStr">
        <is>
          <t>0                      CB 0203000B  87          1978c</t>
        </is>
      </c>
      <c r="F28" t="inlineStr">
        <is>
          <t>Popular culture in early modern Europe / Peter Burke.</t>
        </is>
      </c>
      <c r="H28" t="inlineStr">
        <is>
          <t>No</t>
        </is>
      </c>
      <c r="I28" t="inlineStr">
        <is>
          <t>1</t>
        </is>
      </c>
      <c r="J28" t="inlineStr">
        <is>
          <t>No</t>
        </is>
      </c>
      <c r="K28" t="inlineStr">
        <is>
          <t>No</t>
        </is>
      </c>
      <c r="L28" t="inlineStr">
        <is>
          <t>0</t>
        </is>
      </c>
      <c r="M28" t="inlineStr">
        <is>
          <t>Burke, Peter, 1937-</t>
        </is>
      </c>
      <c r="N28" t="inlineStr">
        <is>
          <t>New York : New York University Press, 1978.</t>
        </is>
      </c>
      <c r="O28" t="inlineStr">
        <is>
          <t>1978</t>
        </is>
      </c>
      <c r="Q28" t="inlineStr">
        <is>
          <t>eng</t>
        </is>
      </c>
      <c r="R28" t="inlineStr">
        <is>
          <t xml:space="preserve">xx </t>
        </is>
      </c>
      <c r="T28" t="inlineStr">
        <is>
          <t xml:space="preserve">CB </t>
        </is>
      </c>
      <c r="U28" t="n">
        <v>7</v>
      </c>
      <c r="V28" t="n">
        <v>7</v>
      </c>
      <c r="W28" t="inlineStr">
        <is>
          <t>2006-01-18</t>
        </is>
      </c>
      <c r="X28" t="inlineStr">
        <is>
          <t>2006-01-18</t>
        </is>
      </c>
      <c r="Y28" t="inlineStr">
        <is>
          <t>1992-06-01</t>
        </is>
      </c>
      <c r="Z28" t="inlineStr">
        <is>
          <t>1992-06-01</t>
        </is>
      </c>
      <c r="AA28" t="n">
        <v>504</v>
      </c>
      <c r="AB28" t="n">
        <v>458</v>
      </c>
      <c r="AC28" t="n">
        <v>1195</v>
      </c>
      <c r="AD28" t="n">
        <v>3</v>
      </c>
      <c r="AE28" t="n">
        <v>11</v>
      </c>
      <c r="AF28" t="n">
        <v>15</v>
      </c>
      <c r="AG28" t="n">
        <v>53</v>
      </c>
      <c r="AH28" t="n">
        <v>7</v>
      </c>
      <c r="AI28" t="n">
        <v>23</v>
      </c>
      <c r="AJ28" t="n">
        <v>4</v>
      </c>
      <c r="AK28" t="n">
        <v>11</v>
      </c>
      <c r="AL28" t="n">
        <v>6</v>
      </c>
      <c r="AM28" t="n">
        <v>24</v>
      </c>
      <c r="AN28" t="n">
        <v>1</v>
      </c>
      <c r="AO28" t="n">
        <v>8</v>
      </c>
      <c r="AP28" t="n">
        <v>0</v>
      </c>
      <c r="AQ28" t="n">
        <v>0</v>
      </c>
      <c r="AR28" t="inlineStr">
        <is>
          <t>No</t>
        </is>
      </c>
      <c r="AS28" t="inlineStr">
        <is>
          <t>No</t>
        </is>
      </c>
      <c r="AU28">
        <f>HYPERLINK("https://creighton-primo.hosted.exlibrisgroup.com/primo-explore/search?tab=default_tab&amp;search_scope=EVERYTHING&amp;vid=01CRU&amp;lang=en_US&amp;offset=0&amp;query=any,contains,991004576179702656","Catalog Record")</f>
        <v/>
      </c>
      <c r="AV28">
        <f>HYPERLINK("http://www.worldcat.org/oclc/4040605","WorldCat Record")</f>
        <v/>
      </c>
      <c r="AW28" t="inlineStr">
        <is>
          <t>181578:eng</t>
        </is>
      </c>
      <c r="AX28" t="inlineStr">
        <is>
          <t>4040605</t>
        </is>
      </c>
      <c r="AY28" t="inlineStr">
        <is>
          <t>991004576179702656</t>
        </is>
      </c>
      <c r="AZ28" t="inlineStr">
        <is>
          <t>991004576179702656</t>
        </is>
      </c>
      <c r="BA28" t="inlineStr">
        <is>
          <t>2271737020002656</t>
        </is>
      </c>
      <c r="BB28" t="inlineStr">
        <is>
          <t>BOOK</t>
        </is>
      </c>
      <c r="BD28" t="inlineStr">
        <is>
          <t>9780814710111</t>
        </is>
      </c>
      <c r="BE28" t="inlineStr">
        <is>
          <t>32285001142883</t>
        </is>
      </c>
      <c r="BF28" t="inlineStr">
        <is>
          <t>893700412</t>
        </is>
      </c>
    </row>
    <row r="29">
      <c r="B29" t="inlineStr">
        <is>
          <t>CURAL</t>
        </is>
      </c>
      <c r="C29" t="inlineStr">
        <is>
          <t>SHELVES</t>
        </is>
      </c>
      <c r="D29" t="inlineStr">
        <is>
          <t>CB203 .P3 1993</t>
        </is>
      </c>
      <c r="E29" t="inlineStr">
        <is>
          <t>0                      CB 0203000P  3           1993</t>
        </is>
      </c>
      <c r="F29" t="inlineStr">
        <is>
          <t>European encounters with the New World : from Renaissance to Romanticism / Anthony Pagden.</t>
        </is>
      </c>
      <c r="H29" t="inlineStr">
        <is>
          <t>No</t>
        </is>
      </c>
      <c r="I29" t="inlineStr">
        <is>
          <t>1</t>
        </is>
      </c>
      <c r="J29" t="inlineStr">
        <is>
          <t>No</t>
        </is>
      </c>
      <c r="K29" t="inlineStr">
        <is>
          <t>No</t>
        </is>
      </c>
      <c r="L29" t="inlineStr">
        <is>
          <t>0</t>
        </is>
      </c>
      <c r="M29" t="inlineStr">
        <is>
          <t>Pagden, Anthony.</t>
        </is>
      </c>
      <c r="N29" t="inlineStr">
        <is>
          <t>New Haven : Yale University Press, 1993.</t>
        </is>
      </c>
      <c r="O29" t="inlineStr">
        <is>
          <t>1993</t>
        </is>
      </c>
      <c r="Q29" t="inlineStr">
        <is>
          <t>eng</t>
        </is>
      </c>
      <c r="R29" t="inlineStr">
        <is>
          <t>ctu</t>
        </is>
      </c>
      <c r="T29" t="inlineStr">
        <is>
          <t xml:space="preserve">CB </t>
        </is>
      </c>
      <c r="U29" t="n">
        <v>5</v>
      </c>
      <c r="V29" t="n">
        <v>5</v>
      </c>
      <c r="W29" t="inlineStr">
        <is>
          <t>1998-11-24</t>
        </is>
      </c>
      <c r="X29" t="inlineStr">
        <is>
          <t>1998-11-24</t>
        </is>
      </c>
      <c r="Y29" t="inlineStr">
        <is>
          <t>1994-03-30</t>
        </is>
      </c>
      <c r="Z29" t="inlineStr">
        <is>
          <t>1994-03-30</t>
        </is>
      </c>
      <c r="AA29" t="n">
        <v>876</v>
      </c>
      <c r="AB29" t="n">
        <v>680</v>
      </c>
      <c r="AC29" t="n">
        <v>797</v>
      </c>
      <c r="AD29" t="n">
        <v>5</v>
      </c>
      <c r="AE29" t="n">
        <v>5</v>
      </c>
      <c r="AF29" t="n">
        <v>35</v>
      </c>
      <c r="AG29" t="n">
        <v>39</v>
      </c>
      <c r="AH29" t="n">
        <v>13</v>
      </c>
      <c r="AI29" t="n">
        <v>17</v>
      </c>
      <c r="AJ29" t="n">
        <v>9</v>
      </c>
      <c r="AK29" t="n">
        <v>9</v>
      </c>
      <c r="AL29" t="n">
        <v>18</v>
      </c>
      <c r="AM29" t="n">
        <v>18</v>
      </c>
      <c r="AN29" t="n">
        <v>4</v>
      </c>
      <c r="AO29" t="n">
        <v>4</v>
      </c>
      <c r="AP29" t="n">
        <v>0</v>
      </c>
      <c r="AQ29" t="n">
        <v>0</v>
      </c>
      <c r="AR29" t="inlineStr">
        <is>
          <t>No</t>
        </is>
      </c>
      <c r="AS29" t="inlineStr">
        <is>
          <t>No</t>
        </is>
      </c>
      <c r="AU29">
        <f>HYPERLINK("https://creighton-primo.hosted.exlibrisgroup.com/primo-explore/search?tab=default_tab&amp;search_scope=EVERYTHING&amp;vid=01CRU&amp;lang=en_US&amp;offset=0&amp;query=any,contains,991002047889702656","Catalog Record")</f>
        <v/>
      </c>
      <c r="AV29">
        <f>HYPERLINK("http://www.worldcat.org/oclc/26133030","WorldCat Record")</f>
        <v/>
      </c>
      <c r="AW29" t="inlineStr">
        <is>
          <t>806855325:eng</t>
        </is>
      </c>
      <c r="AX29" t="inlineStr">
        <is>
          <t>26133030</t>
        </is>
      </c>
      <c r="AY29" t="inlineStr">
        <is>
          <t>991002047889702656</t>
        </is>
      </c>
      <c r="AZ29" t="inlineStr">
        <is>
          <t>991002047889702656</t>
        </is>
      </c>
      <c r="BA29" t="inlineStr">
        <is>
          <t>2261345800002656</t>
        </is>
      </c>
      <c r="BB29" t="inlineStr">
        <is>
          <t>BOOK</t>
        </is>
      </c>
      <c r="BD29" t="inlineStr">
        <is>
          <t>9780300052855</t>
        </is>
      </c>
      <c r="BE29" t="inlineStr">
        <is>
          <t>32285001858462</t>
        </is>
      </c>
      <c r="BF29" t="inlineStr">
        <is>
          <t>893898321</t>
        </is>
      </c>
    </row>
    <row r="30">
      <c r="B30" t="inlineStr">
        <is>
          <t>CURAL</t>
        </is>
      </c>
      <c r="C30" t="inlineStr">
        <is>
          <t>SHELVES</t>
        </is>
      </c>
      <c r="D30" t="inlineStr">
        <is>
          <t>CB203 .P47 1993</t>
        </is>
      </c>
      <c r="E30" t="inlineStr">
        <is>
          <t>0                      CB 0203000P  47          1993</t>
        </is>
      </c>
      <c r="F30" t="inlineStr">
        <is>
          <t>An intellectual history of modern Europe / Marvin Perry.</t>
        </is>
      </c>
      <c r="H30" t="inlineStr">
        <is>
          <t>No</t>
        </is>
      </c>
      <c r="I30" t="inlineStr">
        <is>
          <t>1</t>
        </is>
      </c>
      <c r="J30" t="inlineStr">
        <is>
          <t>No</t>
        </is>
      </c>
      <c r="K30" t="inlineStr">
        <is>
          <t>No</t>
        </is>
      </c>
      <c r="L30" t="inlineStr">
        <is>
          <t>0</t>
        </is>
      </c>
      <c r="M30" t="inlineStr">
        <is>
          <t>Perry, Marvin.</t>
        </is>
      </c>
      <c r="N30" t="inlineStr">
        <is>
          <t>Boston : Houghton Mifflin, c1993.</t>
        </is>
      </c>
      <c r="O30" t="inlineStr">
        <is>
          <t>1993</t>
        </is>
      </c>
      <c r="Q30" t="inlineStr">
        <is>
          <t>eng</t>
        </is>
      </c>
      <c r="R30" t="inlineStr">
        <is>
          <t>mau</t>
        </is>
      </c>
      <c r="T30" t="inlineStr">
        <is>
          <t xml:space="preserve">CB </t>
        </is>
      </c>
      <c r="U30" t="n">
        <v>1</v>
      </c>
      <c r="V30" t="n">
        <v>1</v>
      </c>
      <c r="W30" t="inlineStr">
        <is>
          <t>2008-12-17</t>
        </is>
      </c>
      <c r="X30" t="inlineStr">
        <is>
          <t>2008-12-17</t>
        </is>
      </c>
      <c r="Y30" t="inlineStr">
        <is>
          <t>2008-12-17</t>
        </is>
      </c>
      <c r="Z30" t="inlineStr">
        <is>
          <t>2008-12-17</t>
        </is>
      </c>
      <c r="AA30" t="n">
        <v>159</v>
      </c>
      <c r="AB30" t="n">
        <v>91</v>
      </c>
      <c r="AC30" t="n">
        <v>91</v>
      </c>
      <c r="AD30" t="n">
        <v>2</v>
      </c>
      <c r="AE30" t="n">
        <v>2</v>
      </c>
      <c r="AF30" t="n">
        <v>4</v>
      </c>
      <c r="AG30" t="n">
        <v>4</v>
      </c>
      <c r="AH30" t="n">
        <v>1</v>
      </c>
      <c r="AI30" t="n">
        <v>1</v>
      </c>
      <c r="AJ30" t="n">
        <v>0</v>
      </c>
      <c r="AK30" t="n">
        <v>0</v>
      </c>
      <c r="AL30" t="n">
        <v>3</v>
      </c>
      <c r="AM30" t="n">
        <v>3</v>
      </c>
      <c r="AN30" t="n">
        <v>1</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HYPERLINK("https://creighton-primo.hosted.exlibrisgroup.com/primo-explore/search?tab=default_tab&amp;search_scope=EVERYTHING&amp;vid=01CRU&amp;lang=en_US&amp;offset=0&amp;query=any,contains,991005285079702656","Catalog Record")</f>
        <v/>
      </c>
      <c r="AV30">
        <f>HYPERLINK("http://www.worldcat.org/oclc/27057649","WorldCat Record")</f>
        <v/>
      </c>
      <c r="AW30" t="inlineStr">
        <is>
          <t>29295092:eng</t>
        </is>
      </c>
      <c r="AX30" t="inlineStr">
        <is>
          <t>27057649</t>
        </is>
      </c>
      <c r="AY30" t="inlineStr">
        <is>
          <t>991005285079702656</t>
        </is>
      </c>
      <c r="AZ30" t="inlineStr">
        <is>
          <t>991005285079702656</t>
        </is>
      </c>
      <c r="BA30" t="inlineStr">
        <is>
          <t>2258822120002656</t>
        </is>
      </c>
      <c r="BB30" t="inlineStr">
        <is>
          <t>BOOK</t>
        </is>
      </c>
      <c r="BD30" t="inlineStr">
        <is>
          <t>9780395653487</t>
        </is>
      </c>
      <c r="BE30" t="inlineStr">
        <is>
          <t>32285005474449</t>
        </is>
      </c>
      <c r="BF30" t="inlineStr">
        <is>
          <t>893783352</t>
        </is>
      </c>
    </row>
    <row r="31">
      <c r="B31" t="inlineStr">
        <is>
          <t>CURAL</t>
        </is>
      </c>
      <c r="C31" t="inlineStr">
        <is>
          <t>SHELVES</t>
        </is>
      </c>
      <c r="D31" t="inlineStr">
        <is>
          <t>CB203 .W57 1979</t>
        </is>
      </c>
      <c r="E31" t="inlineStr">
        <is>
          <t>0                      CB 0203000W  57          1979</t>
        </is>
      </c>
      <c r="F31" t="inlineStr">
        <is>
          <t>Western civilization : a brief history / Robin W. Winks.</t>
        </is>
      </c>
      <c r="H31" t="inlineStr">
        <is>
          <t>No</t>
        </is>
      </c>
      <c r="I31" t="inlineStr">
        <is>
          <t>1</t>
        </is>
      </c>
      <c r="J31" t="inlineStr">
        <is>
          <t>No</t>
        </is>
      </c>
      <c r="K31" t="inlineStr">
        <is>
          <t>No</t>
        </is>
      </c>
      <c r="L31" t="inlineStr">
        <is>
          <t>0</t>
        </is>
      </c>
      <c r="M31" t="inlineStr">
        <is>
          <t>Winks, Robin W.</t>
        </is>
      </c>
      <c r="N31" t="inlineStr">
        <is>
          <t>Englewood Cliffs, N.J. : Prentice-Hall, c1979.</t>
        </is>
      </c>
      <c r="O31" t="inlineStr">
        <is>
          <t>1979</t>
        </is>
      </c>
      <c r="Q31" t="inlineStr">
        <is>
          <t>eng</t>
        </is>
      </c>
      <c r="R31" t="inlineStr">
        <is>
          <t>nju</t>
        </is>
      </c>
      <c r="T31" t="inlineStr">
        <is>
          <t xml:space="preserve">CB </t>
        </is>
      </c>
      <c r="U31" t="n">
        <v>8</v>
      </c>
      <c r="V31" t="n">
        <v>8</v>
      </c>
      <c r="W31" t="inlineStr">
        <is>
          <t>1999-04-15</t>
        </is>
      </c>
      <c r="X31" t="inlineStr">
        <is>
          <t>1999-04-15</t>
        </is>
      </c>
      <c r="Y31" t="inlineStr">
        <is>
          <t>1993-08-20</t>
        </is>
      </c>
      <c r="Z31" t="inlineStr">
        <is>
          <t>1993-08-20</t>
        </is>
      </c>
      <c r="AA31" t="n">
        <v>96</v>
      </c>
      <c r="AB31" t="n">
        <v>63</v>
      </c>
      <c r="AC31" t="n">
        <v>75</v>
      </c>
      <c r="AD31" t="n">
        <v>1</v>
      </c>
      <c r="AE31" t="n">
        <v>1</v>
      </c>
      <c r="AF31" t="n">
        <v>0</v>
      </c>
      <c r="AG31" t="n">
        <v>0</v>
      </c>
      <c r="AH31" t="n">
        <v>0</v>
      </c>
      <c r="AI31" t="n">
        <v>0</v>
      </c>
      <c r="AJ31" t="n">
        <v>0</v>
      </c>
      <c r="AK31" t="n">
        <v>0</v>
      </c>
      <c r="AL31" t="n">
        <v>0</v>
      </c>
      <c r="AM31" t="n">
        <v>0</v>
      </c>
      <c r="AN31" t="n">
        <v>0</v>
      </c>
      <c r="AO31" t="n">
        <v>0</v>
      </c>
      <c r="AP31" t="n">
        <v>0</v>
      </c>
      <c r="AQ31" t="n">
        <v>0</v>
      </c>
      <c r="AR31" t="inlineStr">
        <is>
          <t>No</t>
        </is>
      </c>
      <c r="AS31" t="inlineStr">
        <is>
          <t>No</t>
        </is>
      </c>
      <c r="AU31">
        <f>HYPERLINK("https://creighton-primo.hosted.exlibrisgroup.com/primo-explore/search?tab=default_tab&amp;search_scope=EVERYTHING&amp;vid=01CRU&amp;lang=en_US&amp;offset=0&amp;query=any,contains,991004661309702656","Catalog Record")</f>
        <v/>
      </c>
      <c r="AV31">
        <f>HYPERLINK("http://www.worldcat.org/oclc/4496945","WorldCat Record")</f>
        <v/>
      </c>
      <c r="AW31" t="inlineStr">
        <is>
          <t>3768824383:eng</t>
        </is>
      </c>
      <c r="AX31" t="inlineStr">
        <is>
          <t>4496945</t>
        </is>
      </c>
      <c r="AY31" t="inlineStr">
        <is>
          <t>991004661309702656</t>
        </is>
      </c>
      <c r="AZ31" t="inlineStr">
        <is>
          <t>991004661309702656</t>
        </is>
      </c>
      <c r="BA31" t="inlineStr">
        <is>
          <t>2268637640002656</t>
        </is>
      </c>
      <c r="BB31" t="inlineStr">
        <is>
          <t>BOOK</t>
        </is>
      </c>
      <c r="BD31" t="inlineStr">
        <is>
          <t>9780139514005</t>
        </is>
      </c>
      <c r="BE31" t="inlineStr">
        <is>
          <t>32285001757508</t>
        </is>
      </c>
      <c r="BF31" t="inlineStr">
        <is>
          <t>893424046</t>
        </is>
      </c>
    </row>
    <row r="32">
      <c r="B32" t="inlineStr">
        <is>
          <t>CURAL</t>
        </is>
      </c>
      <c r="C32" t="inlineStr">
        <is>
          <t>SHELVES</t>
        </is>
      </c>
      <c r="D32" t="inlineStr">
        <is>
          <t>CB203 .W63</t>
        </is>
      </c>
      <c r="E32" t="inlineStr">
        <is>
          <t>0                      CB 0203000W  63</t>
        </is>
      </c>
      <c r="F32" t="inlineStr">
        <is>
          <t>The generation of 1914 / Robert Wohl.</t>
        </is>
      </c>
      <c r="H32" t="inlineStr">
        <is>
          <t>No</t>
        </is>
      </c>
      <c r="I32" t="inlineStr">
        <is>
          <t>1</t>
        </is>
      </c>
      <c r="J32" t="inlineStr">
        <is>
          <t>No</t>
        </is>
      </c>
      <c r="K32" t="inlineStr">
        <is>
          <t>No</t>
        </is>
      </c>
      <c r="L32" t="inlineStr">
        <is>
          <t>0</t>
        </is>
      </c>
      <c r="M32" t="inlineStr">
        <is>
          <t>Wohl, Robert.</t>
        </is>
      </c>
      <c r="N32" t="inlineStr">
        <is>
          <t>Cambridge, Mass. : Harvard University Press, 1979.</t>
        </is>
      </c>
      <c r="O32" t="inlineStr">
        <is>
          <t>1979</t>
        </is>
      </c>
      <c r="Q32" t="inlineStr">
        <is>
          <t>eng</t>
        </is>
      </c>
      <c r="R32" t="inlineStr">
        <is>
          <t>mau</t>
        </is>
      </c>
      <c r="T32" t="inlineStr">
        <is>
          <t xml:space="preserve">CB </t>
        </is>
      </c>
      <c r="U32" t="n">
        <v>8</v>
      </c>
      <c r="V32" t="n">
        <v>8</v>
      </c>
      <c r="W32" t="inlineStr">
        <is>
          <t>2000-01-24</t>
        </is>
      </c>
      <c r="X32" t="inlineStr">
        <is>
          <t>2000-01-24</t>
        </is>
      </c>
      <c r="Y32" t="inlineStr">
        <is>
          <t>1992-06-01</t>
        </is>
      </c>
      <c r="Z32" t="inlineStr">
        <is>
          <t>1992-06-01</t>
        </is>
      </c>
      <c r="AA32" t="n">
        <v>1209</v>
      </c>
      <c r="AB32" t="n">
        <v>1048</v>
      </c>
      <c r="AC32" t="n">
        <v>1347</v>
      </c>
      <c r="AD32" t="n">
        <v>8</v>
      </c>
      <c r="AE32" t="n">
        <v>12</v>
      </c>
      <c r="AF32" t="n">
        <v>45</v>
      </c>
      <c r="AG32" t="n">
        <v>55</v>
      </c>
      <c r="AH32" t="n">
        <v>19</v>
      </c>
      <c r="AI32" t="n">
        <v>23</v>
      </c>
      <c r="AJ32" t="n">
        <v>11</v>
      </c>
      <c r="AK32" t="n">
        <v>11</v>
      </c>
      <c r="AL32" t="n">
        <v>21</v>
      </c>
      <c r="AM32" t="n">
        <v>23</v>
      </c>
      <c r="AN32" t="n">
        <v>7</v>
      </c>
      <c r="AO32" t="n">
        <v>10</v>
      </c>
      <c r="AP32" t="n">
        <v>0</v>
      </c>
      <c r="AQ32" t="n">
        <v>1</v>
      </c>
      <c r="AR32" t="inlineStr">
        <is>
          <t>No</t>
        </is>
      </c>
      <c r="AS32" t="inlineStr">
        <is>
          <t>Yes</t>
        </is>
      </c>
      <c r="AT32">
        <f>HYPERLINK("http://catalog.hathitrust.org/Record/004426275","HathiTrust Record")</f>
        <v/>
      </c>
      <c r="AU32">
        <f>HYPERLINK("https://creighton-primo.hosted.exlibrisgroup.com/primo-explore/search?tab=default_tab&amp;search_scope=EVERYTHING&amp;vid=01CRU&amp;lang=en_US&amp;offset=0&amp;query=any,contains,991004655059702656","Catalog Record")</f>
        <v/>
      </c>
      <c r="AV32">
        <f>HYPERLINK("http://www.worldcat.org/oclc/4495053","WorldCat Record")</f>
        <v/>
      </c>
      <c r="AW32" t="inlineStr">
        <is>
          <t>521357:eng</t>
        </is>
      </c>
      <c r="AX32" t="inlineStr">
        <is>
          <t>4495053</t>
        </is>
      </c>
      <c r="AY32" t="inlineStr">
        <is>
          <t>991004655059702656</t>
        </is>
      </c>
      <c r="AZ32" t="inlineStr">
        <is>
          <t>991004655059702656</t>
        </is>
      </c>
      <c r="BA32" t="inlineStr">
        <is>
          <t>2268063660002656</t>
        </is>
      </c>
      <c r="BB32" t="inlineStr">
        <is>
          <t>BOOK</t>
        </is>
      </c>
      <c r="BD32" t="inlineStr">
        <is>
          <t>9780674344655</t>
        </is>
      </c>
      <c r="BE32" t="inlineStr">
        <is>
          <t>32285001142958</t>
        </is>
      </c>
      <c r="BF32" t="inlineStr">
        <is>
          <t>893442904</t>
        </is>
      </c>
    </row>
    <row r="33">
      <c r="B33" t="inlineStr">
        <is>
          <t>CURAL</t>
        </is>
      </c>
      <c r="C33" t="inlineStr">
        <is>
          <t>SHELVES</t>
        </is>
      </c>
      <c r="D33" t="inlineStr">
        <is>
          <t>CB204 .B87 2000</t>
        </is>
      </c>
      <c r="E33" t="inlineStr">
        <is>
          <t>0                      CB 0204000B  87          2000</t>
        </is>
      </c>
      <c r="F33" t="inlineStr">
        <is>
          <t>The crisis of reason : European thought, 1848-1914 / J.W. Burrow.</t>
        </is>
      </c>
      <c r="H33" t="inlineStr">
        <is>
          <t>No</t>
        </is>
      </c>
      <c r="I33" t="inlineStr">
        <is>
          <t>1</t>
        </is>
      </c>
      <c r="J33" t="inlineStr">
        <is>
          <t>No</t>
        </is>
      </c>
      <c r="K33" t="inlineStr">
        <is>
          <t>No</t>
        </is>
      </c>
      <c r="L33" t="inlineStr">
        <is>
          <t>0</t>
        </is>
      </c>
      <c r="M33" t="inlineStr">
        <is>
          <t>Burrow, J. W. (John Wyon), 1935-2009.</t>
        </is>
      </c>
      <c r="N33" t="inlineStr">
        <is>
          <t>New Haven : Yale University Press, c2000.</t>
        </is>
      </c>
      <c r="O33" t="inlineStr">
        <is>
          <t>2000</t>
        </is>
      </c>
      <c r="Q33" t="inlineStr">
        <is>
          <t>eng</t>
        </is>
      </c>
      <c r="R33" t="inlineStr">
        <is>
          <t>ctu</t>
        </is>
      </c>
      <c r="S33" t="inlineStr">
        <is>
          <t>The Yale intellectual history of the West</t>
        </is>
      </c>
      <c r="T33" t="inlineStr">
        <is>
          <t xml:space="preserve">CB </t>
        </is>
      </c>
      <c r="U33" t="n">
        <v>1</v>
      </c>
      <c r="V33" t="n">
        <v>1</v>
      </c>
      <c r="W33" t="inlineStr">
        <is>
          <t>2001-08-29</t>
        </is>
      </c>
      <c r="X33" t="inlineStr">
        <is>
          <t>2001-08-29</t>
        </is>
      </c>
      <c r="Y33" t="inlineStr">
        <is>
          <t>2001-08-29</t>
        </is>
      </c>
      <c r="Z33" t="inlineStr">
        <is>
          <t>2001-08-29</t>
        </is>
      </c>
      <c r="AA33" t="n">
        <v>787</v>
      </c>
      <c r="AB33" t="n">
        <v>596</v>
      </c>
      <c r="AC33" t="n">
        <v>667</v>
      </c>
      <c r="AD33" t="n">
        <v>8</v>
      </c>
      <c r="AE33" t="n">
        <v>10</v>
      </c>
      <c r="AF33" t="n">
        <v>35</v>
      </c>
      <c r="AG33" t="n">
        <v>38</v>
      </c>
      <c r="AH33" t="n">
        <v>12</v>
      </c>
      <c r="AI33" t="n">
        <v>13</v>
      </c>
      <c r="AJ33" t="n">
        <v>6</v>
      </c>
      <c r="AK33" t="n">
        <v>7</v>
      </c>
      <c r="AL33" t="n">
        <v>16</v>
      </c>
      <c r="AM33" t="n">
        <v>17</v>
      </c>
      <c r="AN33" t="n">
        <v>7</v>
      </c>
      <c r="AO33" t="n">
        <v>8</v>
      </c>
      <c r="AP33" t="n">
        <v>0</v>
      </c>
      <c r="AQ33" t="n">
        <v>0</v>
      </c>
      <c r="AR33" t="inlineStr">
        <is>
          <t>No</t>
        </is>
      </c>
      <c r="AS33" t="inlineStr">
        <is>
          <t>No</t>
        </is>
      </c>
      <c r="AU33">
        <f>HYPERLINK("https://creighton-primo.hosted.exlibrisgroup.com/primo-explore/search?tab=default_tab&amp;search_scope=EVERYTHING&amp;vid=01CRU&amp;lang=en_US&amp;offset=0&amp;query=any,contains,991003590279702656","Catalog Record")</f>
        <v/>
      </c>
      <c r="AV33">
        <f>HYPERLINK("http://www.worldcat.org/oclc/43118215","WorldCat Record")</f>
        <v/>
      </c>
      <c r="AW33" t="inlineStr">
        <is>
          <t>39735158:eng</t>
        </is>
      </c>
      <c r="AX33" t="inlineStr">
        <is>
          <t>43118215</t>
        </is>
      </c>
      <c r="AY33" t="inlineStr">
        <is>
          <t>991003590279702656</t>
        </is>
      </c>
      <c r="AZ33" t="inlineStr">
        <is>
          <t>991003590279702656</t>
        </is>
      </c>
      <c r="BA33" t="inlineStr">
        <is>
          <t>2266421390002656</t>
        </is>
      </c>
      <c r="BB33" t="inlineStr">
        <is>
          <t>BOOK</t>
        </is>
      </c>
      <c r="BD33" t="inlineStr">
        <is>
          <t>9780300083903</t>
        </is>
      </c>
      <c r="BE33" t="inlineStr">
        <is>
          <t>32285004382379</t>
        </is>
      </c>
      <c r="BF33" t="inlineStr">
        <is>
          <t>893592664</t>
        </is>
      </c>
    </row>
    <row r="34">
      <c r="B34" t="inlineStr">
        <is>
          <t>CURAL</t>
        </is>
      </c>
      <c r="C34" t="inlineStr">
        <is>
          <t>SHELVES</t>
        </is>
      </c>
      <c r="D34" t="inlineStr">
        <is>
          <t>CB206 .C44 1982</t>
        </is>
      </c>
      <c r="E34" t="inlineStr">
        <is>
          <t>0                      CB 0206000C  44          1982</t>
        </is>
      </c>
      <c r="F34" t="inlineStr">
        <is>
          <t>The Celtic consciousness / edited by Robert O'Driscoll.</t>
        </is>
      </c>
      <c r="H34" t="inlineStr">
        <is>
          <t>No</t>
        </is>
      </c>
      <c r="I34" t="inlineStr">
        <is>
          <t>1</t>
        </is>
      </c>
      <c r="J34" t="inlineStr">
        <is>
          <t>No</t>
        </is>
      </c>
      <c r="K34" t="inlineStr">
        <is>
          <t>No</t>
        </is>
      </c>
      <c r="L34" t="inlineStr">
        <is>
          <t>0</t>
        </is>
      </c>
      <c r="N34" t="inlineStr">
        <is>
          <t>New York : Braziller, 1982, c1981.</t>
        </is>
      </c>
      <c r="O34" t="inlineStr">
        <is>
          <t>1982</t>
        </is>
      </c>
      <c r="Q34" t="inlineStr">
        <is>
          <t>eng</t>
        </is>
      </c>
      <c r="R34" t="inlineStr">
        <is>
          <t>nyu</t>
        </is>
      </c>
      <c r="T34" t="inlineStr">
        <is>
          <t xml:space="preserve">CB </t>
        </is>
      </c>
      <c r="U34" t="n">
        <v>3</v>
      </c>
      <c r="V34" t="n">
        <v>3</v>
      </c>
      <c r="W34" t="inlineStr">
        <is>
          <t>2009-02-21</t>
        </is>
      </c>
      <c r="X34" t="inlineStr">
        <is>
          <t>2009-02-21</t>
        </is>
      </c>
      <c r="Y34" t="inlineStr">
        <is>
          <t>1992-06-01</t>
        </is>
      </c>
      <c r="Z34" t="inlineStr">
        <is>
          <t>1992-06-01</t>
        </is>
      </c>
      <c r="AA34" t="n">
        <v>592</v>
      </c>
      <c r="AB34" t="n">
        <v>514</v>
      </c>
      <c r="AC34" t="n">
        <v>535</v>
      </c>
      <c r="AD34" t="n">
        <v>3</v>
      </c>
      <c r="AE34" t="n">
        <v>3</v>
      </c>
      <c r="AF34" t="n">
        <v>28</v>
      </c>
      <c r="AG34" t="n">
        <v>28</v>
      </c>
      <c r="AH34" t="n">
        <v>12</v>
      </c>
      <c r="AI34" t="n">
        <v>12</v>
      </c>
      <c r="AJ34" t="n">
        <v>6</v>
      </c>
      <c r="AK34" t="n">
        <v>6</v>
      </c>
      <c r="AL34" t="n">
        <v>15</v>
      </c>
      <c r="AM34" t="n">
        <v>15</v>
      </c>
      <c r="AN34" t="n">
        <v>2</v>
      </c>
      <c r="AO34" t="n">
        <v>2</v>
      </c>
      <c r="AP34" t="n">
        <v>0</v>
      </c>
      <c r="AQ34" t="n">
        <v>0</v>
      </c>
      <c r="AR34" t="inlineStr">
        <is>
          <t>No</t>
        </is>
      </c>
      <c r="AS34" t="inlineStr">
        <is>
          <t>Yes</t>
        </is>
      </c>
      <c r="AT34">
        <f>HYPERLINK("http://catalog.hathitrust.org/Record/000148611","HathiTrust Record")</f>
        <v/>
      </c>
      <c r="AU34">
        <f>HYPERLINK("https://creighton-primo.hosted.exlibrisgroup.com/primo-explore/search?tab=default_tab&amp;search_scope=EVERYTHING&amp;vid=01CRU&amp;lang=en_US&amp;offset=0&amp;query=any,contains,991005215799702656","Catalog Record")</f>
        <v/>
      </c>
      <c r="AV34">
        <f>HYPERLINK("http://www.worldcat.org/oclc/8193956","WorldCat Record")</f>
        <v/>
      </c>
      <c r="AW34" t="inlineStr">
        <is>
          <t>54487863:eng</t>
        </is>
      </c>
      <c r="AX34" t="inlineStr">
        <is>
          <t>8193956</t>
        </is>
      </c>
      <c r="AY34" t="inlineStr">
        <is>
          <t>991005215799702656</t>
        </is>
      </c>
      <c r="AZ34" t="inlineStr">
        <is>
          <t>991005215799702656</t>
        </is>
      </c>
      <c r="BA34" t="inlineStr">
        <is>
          <t>2266767700002656</t>
        </is>
      </c>
      <c r="BB34" t="inlineStr">
        <is>
          <t>BOOK</t>
        </is>
      </c>
      <c r="BD34" t="inlineStr">
        <is>
          <t>9780807610411</t>
        </is>
      </c>
      <c r="BE34" t="inlineStr">
        <is>
          <t>32285001143006</t>
        </is>
      </c>
      <c r="BF34" t="inlineStr">
        <is>
          <t>893514244</t>
        </is>
      </c>
    </row>
    <row r="35">
      <c r="B35" t="inlineStr">
        <is>
          <t>CURAL</t>
        </is>
      </c>
      <c r="C35" t="inlineStr">
        <is>
          <t>SHELVES</t>
        </is>
      </c>
      <c r="D35" t="inlineStr">
        <is>
          <t>CB206 .C8 1979</t>
        </is>
      </c>
      <c r="E35" t="inlineStr">
        <is>
          <t>0                      CB 0206000C  8           1979</t>
        </is>
      </c>
      <c r="F35" t="inlineStr">
        <is>
          <t>The Celtic world / Barry Cunliffe ; designed by Emil M. Bührer.</t>
        </is>
      </c>
      <c r="H35" t="inlineStr">
        <is>
          <t>No</t>
        </is>
      </c>
      <c r="I35" t="inlineStr">
        <is>
          <t>1</t>
        </is>
      </c>
      <c r="J35" t="inlineStr">
        <is>
          <t>No</t>
        </is>
      </c>
      <c r="K35" t="inlineStr">
        <is>
          <t>No</t>
        </is>
      </c>
      <c r="L35" t="inlineStr">
        <is>
          <t>0</t>
        </is>
      </c>
      <c r="M35" t="inlineStr">
        <is>
          <t>Cunliffe, Barry W.</t>
        </is>
      </c>
      <c r="N35" t="inlineStr">
        <is>
          <t>New York : McGraw-Hill, c1979.</t>
        </is>
      </c>
      <c r="O35" t="inlineStr">
        <is>
          <t>1979</t>
        </is>
      </c>
      <c r="Q35" t="inlineStr">
        <is>
          <t>eng</t>
        </is>
      </c>
      <c r="R35" t="inlineStr">
        <is>
          <t>nyu</t>
        </is>
      </c>
      <c r="T35" t="inlineStr">
        <is>
          <t xml:space="preserve">CB </t>
        </is>
      </c>
      <c r="U35" t="n">
        <v>7</v>
      </c>
      <c r="V35" t="n">
        <v>7</v>
      </c>
      <c r="W35" t="inlineStr">
        <is>
          <t>2006-10-31</t>
        </is>
      </c>
      <c r="X35" t="inlineStr">
        <is>
          <t>2006-10-31</t>
        </is>
      </c>
      <c r="Y35" t="inlineStr">
        <is>
          <t>1992-06-01</t>
        </is>
      </c>
      <c r="Z35" t="inlineStr">
        <is>
          <t>1992-06-01</t>
        </is>
      </c>
      <c r="AA35" t="n">
        <v>951</v>
      </c>
      <c r="AB35" t="n">
        <v>893</v>
      </c>
      <c r="AC35" t="n">
        <v>1187</v>
      </c>
      <c r="AD35" t="n">
        <v>6</v>
      </c>
      <c r="AE35" t="n">
        <v>9</v>
      </c>
      <c r="AF35" t="n">
        <v>22</v>
      </c>
      <c r="AG35" t="n">
        <v>30</v>
      </c>
      <c r="AH35" t="n">
        <v>7</v>
      </c>
      <c r="AI35" t="n">
        <v>12</v>
      </c>
      <c r="AJ35" t="n">
        <v>5</v>
      </c>
      <c r="AK35" t="n">
        <v>6</v>
      </c>
      <c r="AL35" t="n">
        <v>14</v>
      </c>
      <c r="AM35" t="n">
        <v>15</v>
      </c>
      <c r="AN35" t="n">
        <v>2</v>
      </c>
      <c r="AO35" t="n">
        <v>3</v>
      </c>
      <c r="AP35" t="n">
        <v>0</v>
      </c>
      <c r="AQ35" t="n">
        <v>0</v>
      </c>
      <c r="AR35" t="inlineStr">
        <is>
          <t>No</t>
        </is>
      </c>
      <c r="AS35" t="inlineStr">
        <is>
          <t>Yes</t>
        </is>
      </c>
      <c r="AT35">
        <f>HYPERLINK("http://catalog.hathitrust.org/Record/000031760","HathiTrust Record")</f>
        <v/>
      </c>
      <c r="AU35">
        <f>HYPERLINK("https://creighton-primo.hosted.exlibrisgroup.com/primo-explore/search?tab=default_tab&amp;search_scope=EVERYTHING&amp;vid=01CRU&amp;lang=en_US&amp;offset=0&amp;query=any,contains,991004750489702656","Catalog Record")</f>
        <v/>
      </c>
      <c r="AV35">
        <f>HYPERLINK("http://www.worldcat.org/oclc/4933296","WorldCat Record")</f>
        <v/>
      </c>
      <c r="AW35" t="inlineStr">
        <is>
          <t>330896:eng</t>
        </is>
      </c>
      <c r="AX35" t="inlineStr">
        <is>
          <t>4933296</t>
        </is>
      </c>
      <c r="AY35" t="inlineStr">
        <is>
          <t>991004750489702656</t>
        </is>
      </c>
      <c r="AZ35" t="inlineStr">
        <is>
          <t>991004750489702656</t>
        </is>
      </c>
      <c r="BA35" t="inlineStr">
        <is>
          <t>2269017060002656</t>
        </is>
      </c>
      <c r="BB35" t="inlineStr">
        <is>
          <t>BOOK</t>
        </is>
      </c>
      <c r="BD35" t="inlineStr">
        <is>
          <t>9780070149182</t>
        </is>
      </c>
      <c r="BE35" t="inlineStr">
        <is>
          <t>32285001143014</t>
        </is>
      </c>
      <c r="BF35" t="inlineStr">
        <is>
          <t>893411904</t>
        </is>
      </c>
    </row>
    <row r="36">
      <c r="B36" t="inlineStr">
        <is>
          <t>CURAL</t>
        </is>
      </c>
      <c r="C36" t="inlineStr">
        <is>
          <t>SHELVES</t>
        </is>
      </c>
      <c r="D36" t="inlineStr">
        <is>
          <t>CB206 .T36 2004</t>
        </is>
      </c>
      <c r="E36" t="inlineStr">
        <is>
          <t>0                      CB 0206000T  36          2004</t>
        </is>
      </c>
      <c r="F36" t="inlineStr">
        <is>
          <t>The last of the Celts / Marcus Tanner.</t>
        </is>
      </c>
      <c r="H36" t="inlineStr">
        <is>
          <t>No</t>
        </is>
      </c>
      <c r="I36" t="inlineStr">
        <is>
          <t>1</t>
        </is>
      </c>
      <c r="J36" t="inlineStr">
        <is>
          <t>No</t>
        </is>
      </c>
      <c r="K36" t="inlineStr">
        <is>
          <t>No</t>
        </is>
      </c>
      <c r="L36" t="inlineStr">
        <is>
          <t>0</t>
        </is>
      </c>
      <c r="M36" t="inlineStr">
        <is>
          <t>Tanner, Marcus.</t>
        </is>
      </c>
      <c r="N36" t="inlineStr">
        <is>
          <t>New Haven : Yale University Press, c2004.</t>
        </is>
      </c>
      <c r="O36" t="inlineStr">
        <is>
          <t>2004</t>
        </is>
      </c>
      <c r="Q36" t="inlineStr">
        <is>
          <t>eng</t>
        </is>
      </c>
      <c r="R36" t="inlineStr">
        <is>
          <t>ctu</t>
        </is>
      </c>
      <c r="T36" t="inlineStr">
        <is>
          <t xml:space="preserve">CB </t>
        </is>
      </c>
      <c r="U36" t="n">
        <v>1</v>
      </c>
      <c r="V36" t="n">
        <v>1</v>
      </c>
      <c r="W36" t="inlineStr">
        <is>
          <t>2004-11-30</t>
        </is>
      </c>
      <c r="X36" t="inlineStr">
        <is>
          <t>2004-11-30</t>
        </is>
      </c>
      <c r="Y36" t="inlineStr">
        <is>
          <t>2004-11-30</t>
        </is>
      </c>
      <c r="Z36" t="inlineStr">
        <is>
          <t>2004-11-30</t>
        </is>
      </c>
      <c r="AA36" t="n">
        <v>772</v>
      </c>
      <c r="AB36" t="n">
        <v>642</v>
      </c>
      <c r="AC36" t="n">
        <v>652</v>
      </c>
      <c r="AD36" t="n">
        <v>6</v>
      </c>
      <c r="AE36" t="n">
        <v>6</v>
      </c>
      <c r="AF36" t="n">
        <v>24</v>
      </c>
      <c r="AG36" t="n">
        <v>24</v>
      </c>
      <c r="AH36" t="n">
        <v>10</v>
      </c>
      <c r="AI36" t="n">
        <v>10</v>
      </c>
      <c r="AJ36" t="n">
        <v>7</v>
      </c>
      <c r="AK36" t="n">
        <v>7</v>
      </c>
      <c r="AL36" t="n">
        <v>11</v>
      </c>
      <c r="AM36" t="n">
        <v>11</v>
      </c>
      <c r="AN36" t="n">
        <v>4</v>
      </c>
      <c r="AO36" t="n">
        <v>4</v>
      </c>
      <c r="AP36" t="n">
        <v>0</v>
      </c>
      <c r="AQ36" t="n">
        <v>0</v>
      </c>
      <c r="AR36" t="inlineStr">
        <is>
          <t>No</t>
        </is>
      </c>
      <c r="AS36" t="inlineStr">
        <is>
          <t>No</t>
        </is>
      </c>
      <c r="AU36">
        <f>HYPERLINK("https://creighton-primo.hosted.exlibrisgroup.com/primo-explore/search?tab=default_tab&amp;search_scope=EVERYTHING&amp;vid=01CRU&amp;lang=en_US&amp;offset=0&amp;query=any,contains,991004406529702656","Catalog Record")</f>
        <v/>
      </c>
      <c r="AV36">
        <f>HYPERLINK("http://www.worldcat.org/oclc/54759401","WorldCat Record")</f>
        <v/>
      </c>
      <c r="AW36" t="inlineStr">
        <is>
          <t>997792:eng</t>
        </is>
      </c>
      <c r="AX36" t="inlineStr">
        <is>
          <t>54759401</t>
        </is>
      </c>
      <c r="AY36" t="inlineStr">
        <is>
          <t>991004406529702656</t>
        </is>
      </c>
      <c r="AZ36" t="inlineStr">
        <is>
          <t>991004406529702656</t>
        </is>
      </c>
      <c r="BA36" t="inlineStr">
        <is>
          <t>2266836490002656</t>
        </is>
      </c>
      <c r="BB36" t="inlineStr">
        <is>
          <t>BOOK</t>
        </is>
      </c>
      <c r="BD36" t="inlineStr">
        <is>
          <t>9780300104646</t>
        </is>
      </c>
      <c r="BE36" t="inlineStr">
        <is>
          <t>32285005013916</t>
        </is>
      </c>
      <c r="BF36" t="inlineStr">
        <is>
          <t>893506813</t>
        </is>
      </c>
    </row>
    <row r="37">
      <c r="B37" t="inlineStr">
        <is>
          <t>CURAL</t>
        </is>
      </c>
      <c r="C37" t="inlineStr">
        <is>
          <t>SHELVES</t>
        </is>
      </c>
      <c r="D37" t="inlineStr">
        <is>
          <t>CB206 .T46 1986</t>
        </is>
      </c>
      <c r="E37" t="inlineStr">
        <is>
          <t>0                      CB 0206000T  46          1986</t>
        </is>
      </c>
      <c r="F37" t="inlineStr">
        <is>
          <t>Celtic Britain / Charles Thomas.</t>
        </is>
      </c>
      <c r="H37" t="inlineStr">
        <is>
          <t>No</t>
        </is>
      </c>
      <c r="I37" t="inlineStr">
        <is>
          <t>1</t>
        </is>
      </c>
      <c r="J37" t="inlineStr">
        <is>
          <t>No</t>
        </is>
      </c>
      <c r="K37" t="inlineStr">
        <is>
          <t>No</t>
        </is>
      </c>
      <c r="L37" t="inlineStr">
        <is>
          <t>0</t>
        </is>
      </c>
      <c r="M37" t="inlineStr">
        <is>
          <t>Thomas, Charles, 1928-</t>
        </is>
      </c>
      <c r="N37" t="inlineStr">
        <is>
          <t>London : Thames and Hudson, 1986.</t>
        </is>
      </c>
      <c r="O37" t="inlineStr">
        <is>
          <t>1986</t>
        </is>
      </c>
      <c r="Q37" t="inlineStr">
        <is>
          <t>eng</t>
        </is>
      </c>
      <c r="R37" t="inlineStr">
        <is>
          <t>enk</t>
        </is>
      </c>
      <c r="S37" t="inlineStr">
        <is>
          <t>Ancient peoples and places</t>
        </is>
      </c>
      <c r="T37" t="inlineStr">
        <is>
          <t xml:space="preserve">CB </t>
        </is>
      </c>
      <c r="U37" t="n">
        <v>4</v>
      </c>
      <c r="V37" t="n">
        <v>4</v>
      </c>
      <c r="W37" t="inlineStr">
        <is>
          <t>2009-02-21</t>
        </is>
      </c>
      <c r="X37" t="inlineStr">
        <is>
          <t>2009-02-21</t>
        </is>
      </c>
      <c r="Y37" t="inlineStr">
        <is>
          <t>1990-02-14</t>
        </is>
      </c>
      <c r="Z37" t="inlineStr">
        <is>
          <t>1990-02-14</t>
        </is>
      </c>
      <c r="AA37" t="n">
        <v>651</v>
      </c>
      <c r="AB37" t="n">
        <v>460</v>
      </c>
      <c r="AC37" t="n">
        <v>460</v>
      </c>
      <c r="AD37" t="n">
        <v>2</v>
      </c>
      <c r="AE37" t="n">
        <v>2</v>
      </c>
      <c r="AF37" t="n">
        <v>21</v>
      </c>
      <c r="AG37" t="n">
        <v>21</v>
      </c>
      <c r="AH37" t="n">
        <v>9</v>
      </c>
      <c r="AI37" t="n">
        <v>9</v>
      </c>
      <c r="AJ37" t="n">
        <v>2</v>
      </c>
      <c r="AK37" t="n">
        <v>2</v>
      </c>
      <c r="AL37" t="n">
        <v>14</v>
      </c>
      <c r="AM37" t="n">
        <v>14</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HYPERLINK("https://creighton-primo.hosted.exlibrisgroup.com/primo-explore/search?tab=default_tab&amp;search_scope=EVERYTHING&amp;vid=01CRU&amp;lang=en_US&amp;offset=0&amp;query=any,contains,991000615249702656","Catalog Record")</f>
        <v/>
      </c>
      <c r="AV37">
        <f>HYPERLINK("http://www.worldcat.org/oclc/11928705","WorldCat Record")</f>
        <v/>
      </c>
      <c r="AW37" t="inlineStr">
        <is>
          <t>9440943470:eng</t>
        </is>
      </c>
      <c r="AX37" t="inlineStr">
        <is>
          <t>11928705</t>
        </is>
      </c>
      <c r="AY37" t="inlineStr">
        <is>
          <t>991000615249702656</t>
        </is>
      </c>
      <c r="AZ37" t="inlineStr">
        <is>
          <t>991000615249702656</t>
        </is>
      </c>
      <c r="BA37" t="inlineStr">
        <is>
          <t>2270538160002656</t>
        </is>
      </c>
      <c r="BB37" t="inlineStr">
        <is>
          <t>BOOK</t>
        </is>
      </c>
      <c r="BD37" t="inlineStr">
        <is>
          <t>9780500021071</t>
        </is>
      </c>
      <c r="BE37" t="inlineStr">
        <is>
          <t>32285000040948</t>
        </is>
      </c>
      <c r="BF37" t="inlineStr">
        <is>
          <t>893327442</t>
        </is>
      </c>
    </row>
    <row r="38">
      <c r="B38" t="inlineStr">
        <is>
          <t>CURAL</t>
        </is>
      </c>
      <c r="C38" t="inlineStr">
        <is>
          <t>SHELVES</t>
        </is>
      </c>
      <c r="D38" t="inlineStr">
        <is>
          <t>CB213 .N6315</t>
        </is>
      </c>
      <c r="E38" t="inlineStr">
        <is>
          <t>0                      CB 0213000N  6315</t>
        </is>
      </c>
      <c r="F38" t="inlineStr">
        <is>
          <t>Kulturen im Norden : die Welt der Germanen, Kelten und Slawen, 400-1100 n. Chr. / mit Beiträgen von Christine E. Fell ... [et al.] ; herausgegeben von David M. Wilson.</t>
        </is>
      </c>
      <c r="H38" t="inlineStr">
        <is>
          <t>No</t>
        </is>
      </c>
      <c r="I38" t="inlineStr">
        <is>
          <t>1</t>
        </is>
      </c>
      <c r="J38" t="inlineStr">
        <is>
          <t>No</t>
        </is>
      </c>
      <c r="K38" t="inlineStr">
        <is>
          <t>No</t>
        </is>
      </c>
      <c r="L38" t="inlineStr">
        <is>
          <t>0</t>
        </is>
      </c>
      <c r="N38" t="inlineStr">
        <is>
          <t>München : C.H. Beck, c1980.</t>
        </is>
      </c>
      <c r="O38" t="inlineStr">
        <is>
          <t>1980</t>
        </is>
      </c>
      <c r="Q38" t="inlineStr">
        <is>
          <t>ger</t>
        </is>
      </c>
      <c r="R38" t="inlineStr">
        <is>
          <t xml:space="preserve">gw </t>
        </is>
      </c>
      <c r="T38" t="inlineStr">
        <is>
          <t xml:space="preserve">CB </t>
        </is>
      </c>
      <c r="U38" t="n">
        <v>3</v>
      </c>
      <c r="V38" t="n">
        <v>3</v>
      </c>
      <c r="W38" t="inlineStr">
        <is>
          <t>2005-04-06</t>
        </is>
      </c>
      <c r="X38" t="inlineStr">
        <is>
          <t>2005-04-06</t>
        </is>
      </c>
      <c r="Y38" t="inlineStr">
        <is>
          <t>1992-06-01</t>
        </is>
      </c>
      <c r="Z38" t="inlineStr">
        <is>
          <t>1992-06-01</t>
        </is>
      </c>
      <c r="AA38" t="n">
        <v>60</v>
      </c>
      <c r="AB38" t="n">
        <v>6</v>
      </c>
      <c r="AC38" t="n">
        <v>6</v>
      </c>
      <c r="AD38" t="n">
        <v>1</v>
      </c>
      <c r="AE38" t="n">
        <v>1</v>
      </c>
      <c r="AF38" t="n">
        <v>0</v>
      </c>
      <c r="AG38" t="n">
        <v>0</v>
      </c>
      <c r="AH38" t="n">
        <v>0</v>
      </c>
      <c r="AI38" t="n">
        <v>0</v>
      </c>
      <c r="AJ38" t="n">
        <v>0</v>
      </c>
      <c r="AK38" t="n">
        <v>0</v>
      </c>
      <c r="AL38" t="n">
        <v>0</v>
      </c>
      <c r="AM38" t="n">
        <v>0</v>
      </c>
      <c r="AN38" t="n">
        <v>0</v>
      </c>
      <c r="AO38" t="n">
        <v>0</v>
      </c>
      <c r="AP38" t="n">
        <v>0</v>
      </c>
      <c r="AQ38" t="n">
        <v>0</v>
      </c>
      <c r="AR38" t="inlineStr">
        <is>
          <t>No</t>
        </is>
      </c>
      <c r="AS38" t="inlineStr">
        <is>
          <t>No</t>
        </is>
      </c>
      <c r="AU38">
        <f>HYPERLINK("https://creighton-primo.hosted.exlibrisgroup.com/primo-explore/search?tab=default_tab&amp;search_scope=EVERYTHING&amp;vid=01CRU&amp;lang=en_US&amp;offset=0&amp;query=any,contains,991005174929702656","Catalog Record")</f>
        <v/>
      </c>
      <c r="AV38">
        <f>HYPERLINK("http://www.worldcat.org/oclc/7905459","WorldCat Record")</f>
        <v/>
      </c>
      <c r="AW38" t="inlineStr">
        <is>
          <t>839489590:ger</t>
        </is>
      </c>
      <c r="AX38" t="inlineStr">
        <is>
          <t>7905459</t>
        </is>
      </c>
      <c r="AY38" t="inlineStr">
        <is>
          <t>991005174929702656</t>
        </is>
      </c>
      <c r="AZ38" t="inlineStr">
        <is>
          <t>991005174929702656</t>
        </is>
      </c>
      <c r="BA38" t="inlineStr">
        <is>
          <t>2266475490002656</t>
        </is>
      </c>
      <c r="BB38" t="inlineStr">
        <is>
          <t>BOOK</t>
        </is>
      </c>
      <c r="BD38" t="inlineStr">
        <is>
          <t>9783406077944</t>
        </is>
      </c>
      <c r="BE38" t="inlineStr">
        <is>
          <t>32285001143022</t>
        </is>
      </c>
      <c r="BF38" t="inlineStr">
        <is>
          <t>893807936</t>
        </is>
      </c>
    </row>
    <row r="39">
      <c r="B39" t="inlineStr">
        <is>
          <t>CURAL</t>
        </is>
      </c>
      <c r="C39" t="inlineStr">
        <is>
          <t>SHELVES</t>
        </is>
      </c>
      <c r="D39" t="inlineStr">
        <is>
          <t>CB235 .A33 1996</t>
        </is>
      </c>
      <c r="E39" t="inlineStr">
        <is>
          <t>0                      CB 0235000A  33          1996</t>
        </is>
      </c>
      <c r="F39" t="inlineStr">
        <is>
          <t>African intellectual heritage : a book of sources / Molefi Kete Asante &amp; Abu S. Abarry, [editors].</t>
        </is>
      </c>
      <c r="H39" t="inlineStr">
        <is>
          <t>No</t>
        </is>
      </c>
      <c r="I39" t="inlineStr">
        <is>
          <t>1</t>
        </is>
      </c>
      <c r="J39" t="inlineStr">
        <is>
          <t>No</t>
        </is>
      </c>
      <c r="K39" t="inlineStr">
        <is>
          <t>No</t>
        </is>
      </c>
      <c r="L39" t="inlineStr">
        <is>
          <t>0</t>
        </is>
      </c>
      <c r="N39" t="inlineStr">
        <is>
          <t>Philadelphia : Temple University Press, 1996.</t>
        </is>
      </c>
      <c r="O39" t="inlineStr">
        <is>
          <t>1996</t>
        </is>
      </c>
      <c r="Q39" t="inlineStr">
        <is>
          <t>eng</t>
        </is>
      </c>
      <c r="R39" t="inlineStr">
        <is>
          <t>pau</t>
        </is>
      </c>
      <c r="T39" t="inlineStr">
        <is>
          <t xml:space="preserve">CB </t>
        </is>
      </c>
      <c r="U39" t="n">
        <v>1</v>
      </c>
      <c r="V39" t="n">
        <v>1</v>
      </c>
      <c r="W39" t="inlineStr">
        <is>
          <t>2006-07-10</t>
        </is>
      </c>
      <c r="X39" t="inlineStr">
        <is>
          <t>2006-07-10</t>
        </is>
      </c>
      <c r="Y39" t="inlineStr">
        <is>
          <t>1997-02-13</t>
        </is>
      </c>
      <c r="Z39" t="inlineStr">
        <is>
          <t>1997-02-13</t>
        </is>
      </c>
      <c r="AA39" t="n">
        <v>611</v>
      </c>
      <c r="AB39" t="n">
        <v>559</v>
      </c>
      <c r="AC39" t="n">
        <v>564</v>
      </c>
      <c r="AD39" t="n">
        <v>5</v>
      </c>
      <c r="AE39" t="n">
        <v>5</v>
      </c>
      <c r="AF39" t="n">
        <v>26</v>
      </c>
      <c r="AG39" t="n">
        <v>26</v>
      </c>
      <c r="AH39" t="n">
        <v>7</v>
      </c>
      <c r="AI39" t="n">
        <v>7</v>
      </c>
      <c r="AJ39" t="n">
        <v>6</v>
      </c>
      <c r="AK39" t="n">
        <v>6</v>
      </c>
      <c r="AL39" t="n">
        <v>15</v>
      </c>
      <c r="AM39" t="n">
        <v>15</v>
      </c>
      <c r="AN39" t="n">
        <v>4</v>
      </c>
      <c r="AO39" t="n">
        <v>4</v>
      </c>
      <c r="AP39" t="n">
        <v>1</v>
      </c>
      <c r="AQ39" t="n">
        <v>1</v>
      </c>
      <c r="AR39" t="inlineStr">
        <is>
          <t>No</t>
        </is>
      </c>
      <c r="AS39" t="inlineStr">
        <is>
          <t>No</t>
        </is>
      </c>
      <c r="AU39">
        <f>HYPERLINK("https://creighton-primo.hosted.exlibrisgroup.com/primo-explore/search?tab=default_tab&amp;search_scope=EVERYTHING&amp;vid=01CRU&amp;lang=en_US&amp;offset=0&amp;query=any,contains,991002619309702656","Catalog Record")</f>
        <v/>
      </c>
      <c r="AV39">
        <f>HYPERLINK("http://www.worldcat.org/oclc/34321528","WorldCat Record")</f>
        <v/>
      </c>
      <c r="AW39" t="inlineStr">
        <is>
          <t>35012826:eng</t>
        </is>
      </c>
      <c r="AX39" t="inlineStr">
        <is>
          <t>34321528</t>
        </is>
      </c>
      <c r="AY39" t="inlineStr">
        <is>
          <t>991002619309702656</t>
        </is>
      </c>
      <c r="AZ39" t="inlineStr">
        <is>
          <t>991002619309702656</t>
        </is>
      </c>
      <c r="BA39" t="inlineStr">
        <is>
          <t>2257051650002656</t>
        </is>
      </c>
      <c r="BB39" t="inlineStr">
        <is>
          <t>BOOK</t>
        </is>
      </c>
      <c r="BD39" t="inlineStr">
        <is>
          <t>9781566394024</t>
        </is>
      </c>
      <c r="BE39" t="inlineStr">
        <is>
          <t>32285002430899</t>
        </is>
      </c>
      <c r="BF39" t="inlineStr">
        <is>
          <t>893239287</t>
        </is>
      </c>
    </row>
    <row r="40">
      <c r="B40" t="inlineStr">
        <is>
          <t>CURAL</t>
        </is>
      </c>
      <c r="C40" t="inlineStr">
        <is>
          <t>SHELVES</t>
        </is>
      </c>
      <c r="D40" t="inlineStr">
        <is>
          <t>CB245 .B37 1970</t>
        </is>
      </c>
      <c r="E40" t="inlineStr">
        <is>
          <t>0                      CB 0245000B  37          1970</t>
        </is>
      </c>
      <c r="F40" t="inlineStr">
        <is>
          <t>Main currents of Western thought; readings in Western European intellectual history from the Middle Ages to the present. Edited, with interpretive essays and notes, by Franklin Le Van Baumer.</t>
        </is>
      </c>
      <c r="H40" t="inlineStr">
        <is>
          <t>No</t>
        </is>
      </c>
      <c r="I40" t="inlineStr">
        <is>
          <t>1</t>
        </is>
      </c>
      <c r="J40" t="inlineStr">
        <is>
          <t>No</t>
        </is>
      </c>
      <c r="K40" t="inlineStr">
        <is>
          <t>No</t>
        </is>
      </c>
      <c r="L40" t="inlineStr">
        <is>
          <t>0</t>
        </is>
      </c>
      <c r="M40" t="inlineStr">
        <is>
          <t>Baumer, Franklin L. (Franklin Le Van), 1913-1990 editor.</t>
        </is>
      </c>
      <c r="N40" t="inlineStr">
        <is>
          <t>New York, Knopf, 1970.</t>
        </is>
      </c>
      <c r="O40" t="inlineStr">
        <is>
          <t>1970</t>
        </is>
      </c>
      <c r="P40" t="inlineStr">
        <is>
          <t>3d ed., rev.</t>
        </is>
      </c>
      <c r="Q40" t="inlineStr">
        <is>
          <t>eng</t>
        </is>
      </c>
      <c r="R40" t="inlineStr">
        <is>
          <t>nyu</t>
        </is>
      </c>
      <c r="T40" t="inlineStr">
        <is>
          <t xml:space="preserve">CB </t>
        </is>
      </c>
      <c r="U40" t="n">
        <v>2</v>
      </c>
      <c r="V40" t="n">
        <v>2</v>
      </c>
      <c r="W40" t="inlineStr">
        <is>
          <t>2002-04-03</t>
        </is>
      </c>
      <c r="X40" t="inlineStr">
        <is>
          <t>2002-04-03</t>
        </is>
      </c>
      <c r="Y40" t="inlineStr">
        <is>
          <t>1996-08-15</t>
        </is>
      </c>
      <c r="Z40" t="inlineStr">
        <is>
          <t>1996-08-15</t>
        </is>
      </c>
      <c r="AA40" t="n">
        <v>198</v>
      </c>
      <c r="AB40" t="n">
        <v>166</v>
      </c>
      <c r="AC40" t="n">
        <v>1056</v>
      </c>
      <c r="AD40" t="n">
        <v>3</v>
      </c>
      <c r="AE40" t="n">
        <v>10</v>
      </c>
      <c r="AF40" t="n">
        <v>6</v>
      </c>
      <c r="AG40" t="n">
        <v>43</v>
      </c>
      <c r="AH40" t="n">
        <v>2</v>
      </c>
      <c r="AI40" t="n">
        <v>17</v>
      </c>
      <c r="AJ40" t="n">
        <v>2</v>
      </c>
      <c r="AK40" t="n">
        <v>8</v>
      </c>
      <c r="AL40" t="n">
        <v>3</v>
      </c>
      <c r="AM40" t="n">
        <v>22</v>
      </c>
      <c r="AN40" t="n">
        <v>2</v>
      </c>
      <c r="AO40" t="n">
        <v>8</v>
      </c>
      <c r="AP40" t="n">
        <v>0</v>
      </c>
      <c r="AQ40" t="n">
        <v>0</v>
      </c>
      <c r="AR40" t="inlineStr">
        <is>
          <t>No</t>
        </is>
      </c>
      <c r="AS40" t="inlineStr">
        <is>
          <t>Yes</t>
        </is>
      </c>
      <c r="AT40">
        <f>HYPERLINK("http://catalog.hathitrust.org/Record/001603703","HathiTrust Record")</f>
        <v/>
      </c>
      <c r="AU40">
        <f>HYPERLINK("https://creighton-primo.hosted.exlibrisgroup.com/primo-explore/search?tab=default_tab&amp;search_scope=EVERYTHING&amp;vid=01CRU&amp;lang=en_US&amp;offset=0&amp;query=any,contains,991000373489702656","Catalog Record")</f>
        <v/>
      </c>
      <c r="AV40">
        <f>HYPERLINK("http://www.worldcat.org/oclc/71611","WorldCat Record")</f>
        <v/>
      </c>
      <c r="AW40" t="inlineStr">
        <is>
          <t>1322687:eng</t>
        </is>
      </c>
      <c r="AX40" t="inlineStr">
        <is>
          <t>71611</t>
        </is>
      </c>
      <c r="AY40" t="inlineStr">
        <is>
          <t>991000373489702656</t>
        </is>
      </c>
      <c r="AZ40" t="inlineStr">
        <is>
          <t>991000373489702656</t>
        </is>
      </c>
      <c r="BA40" t="inlineStr">
        <is>
          <t>2270934090002656</t>
        </is>
      </c>
      <c r="BB40" t="inlineStr">
        <is>
          <t>BOOK</t>
        </is>
      </c>
      <c r="BE40" t="inlineStr">
        <is>
          <t>32285002264678</t>
        </is>
      </c>
      <c r="BF40" t="inlineStr">
        <is>
          <t>893502422</t>
        </is>
      </c>
    </row>
    <row r="41">
      <c r="B41" t="inlineStr">
        <is>
          <t>CURAL</t>
        </is>
      </c>
      <c r="C41" t="inlineStr">
        <is>
          <t>SHELVES</t>
        </is>
      </c>
      <c r="D41" t="inlineStr">
        <is>
          <t>CB245 .C362 1961</t>
        </is>
      </c>
      <c r="E41" t="inlineStr">
        <is>
          <t>0                      CB 0245000C  362         1961</t>
        </is>
      </c>
      <c r="F41" t="inlineStr">
        <is>
          <t>Chapters in Western civilization / edited by the Contemporary civilization staff of Columbia College, Columbia University.</t>
        </is>
      </c>
      <c r="G41" t="inlineStr">
        <is>
          <t>V.2</t>
        </is>
      </c>
      <c r="H41" t="inlineStr">
        <is>
          <t>Yes</t>
        </is>
      </c>
      <c r="I41" t="inlineStr">
        <is>
          <t>1</t>
        </is>
      </c>
      <c r="J41" t="inlineStr">
        <is>
          <t>No</t>
        </is>
      </c>
      <c r="K41" t="inlineStr">
        <is>
          <t>No</t>
        </is>
      </c>
      <c r="L41" t="inlineStr">
        <is>
          <t>0</t>
        </is>
      </c>
      <c r="M41" t="inlineStr">
        <is>
          <t>Columbia College (Columbia University).</t>
        </is>
      </c>
      <c r="N41" t="inlineStr">
        <is>
          <t>New York : Columbia University Press, 1961-</t>
        </is>
      </c>
      <c r="O41" t="inlineStr">
        <is>
          <t>1961</t>
        </is>
      </c>
      <c r="P41" t="inlineStr">
        <is>
          <t>3d ed.</t>
        </is>
      </c>
      <c r="Q41" t="inlineStr">
        <is>
          <t>eng</t>
        </is>
      </c>
      <c r="R41" t="inlineStr">
        <is>
          <t>nyu</t>
        </is>
      </c>
      <c r="T41" t="inlineStr">
        <is>
          <t xml:space="preserve">CB </t>
        </is>
      </c>
      <c r="U41" t="n">
        <v>2</v>
      </c>
      <c r="V41" t="n">
        <v>3</v>
      </c>
      <c r="W41" t="inlineStr">
        <is>
          <t>1995-04-03</t>
        </is>
      </c>
      <c r="X41" t="inlineStr">
        <is>
          <t>1995-04-03</t>
        </is>
      </c>
      <c r="Y41" t="inlineStr">
        <is>
          <t>1994-03-03</t>
        </is>
      </c>
      <c r="Z41" t="inlineStr">
        <is>
          <t>1994-03-03</t>
        </is>
      </c>
      <c r="AA41" t="n">
        <v>567</v>
      </c>
      <c r="AB41" t="n">
        <v>515</v>
      </c>
      <c r="AC41" t="n">
        <v>846</v>
      </c>
      <c r="AD41" t="n">
        <v>6</v>
      </c>
      <c r="AE41" t="n">
        <v>7</v>
      </c>
      <c r="AF41" t="n">
        <v>25</v>
      </c>
      <c r="AG41" t="n">
        <v>44</v>
      </c>
      <c r="AH41" t="n">
        <v>5</v>
      </c>
      <c r="AI41" t="n">
        <v>16</v>
      </c>
      <c r="AJ41" t="n">
        <v>7</v>
      </c>
      <c r="AK41" t="n">
        <v>9</v>
      </c>
      <c r="AL41" t="n">
        <v>14</v>
      </c>
      <c r="AM41" t="n">
        <v>23</v>
      </c>
      <c r="AN41" t="n">
        <v>5</v>
      </c>
      <c r="AO41" t="n">
        <v>5</v>
      </c>
      <c r="AP41" t="n">
        <v>0</v>
      </c>
      <c r="AQ41" t="n">
        <v>0</v>
      </c>
      <c r="AR41" t="inlineStr">
        <is>
          <t>No</t>
        </is>
      </c>
      <c r="AS41" t="inlineStr">
        <is>
          <t>Yes</t>
        </is>
      </c>
      <c r="AT41">
        <f>HYPERLINK("http://catalog.hathitrust.org/Record/000771279","HathiTrust Record")</f>
        <v/>
      </c>
      <c r="AU41">
        <f>HYPERLINK("https://creighton-primo.hosted.exlibrisgroup.com/primo-explore/search?tab=default_tab&amp;search_scope=EVERYTHING&amp;vid=01CRU&amp;lang=en_US&amp;offset=0&amp;query=any,contains,991002654169702656","Catalog Record")</f>
        <v/>
      </c>
      <c r="AV41">
        <f>HYPERLINK("http://www.worldcat.org/oclc/388091","WorldCat Record")</f>
        <v/>
      </c>
      <c r="AW41" t="inlineStr">
        <is>
          <t>118558744:eng</t>
        </is>
      </c>
      <c r="AX41" t="inlineStr">
        <is>
          <t>388091</t>
        </is>
      </c>
      <c r="AY41" t="inlineStr">
        <is>
          <t>991002654169702656</t>
        </is>
      </c>
      <c r="AZ41" t="inlineStr">
        <is>
          <t>991002654169702656</t>
        </is>
      </c>
      <c r="BA41" t="inlineStr">
        <is>
          <t>2255004940002656</t>
        </is>
      </c>
      <c r="BB41" t="inlineStr">
        <is>
          <t>BOOK</t>
        </is>
      </c>
      <c r="BE41" t="inlineStr">
        <is>
          <t>32285001851616</t>
        </is>
      </c>
      <c r="BF41" t="inlineStr">
        <is>
          <t>893445288</t>
        </is>
      </c>
    </row>
    <row r="42">
      <c r="B42" t="inlineStr">
        <is>
          <t>CURAL</t>
        </is>
      </c>
      <c r="C42" t="inlineStr">
        <is>
          <t>SHELVES</t>
        </is>
      </c>
      <c r="D42" t="inlineStr">
        <is>
          <t>CB245 .C362 1961</t>
        </is>
      </c>
      <c r="E42" t="inlineStr">
        <is>
          <t>0                      CB 0245000C  362         1961</t>
        </is>
      </c>
      <c r="F42" t="inlineStr">
        <is>
          <t>Chapters in Western civilization / edited by the Contemporary civilization staff of Columbia College, Columbia University.</t>
        </is>
      </c>
      <c r="G42" t="inlineStr">
        <is>
          <t>V.1</t>
        </is>
      </c>
      <c r="H42" t="inlineStr">
        <is>
          <t>Yes</t>
        </is>
      </c>
      <c r="I42" t="inlineStr">
        <is>
          <t>1</t>
        </is>
      </c>
      <c r="J42" t="inlineStr">
        <is>
          <t>No</t>
        </is>
      </c>
      <c r="K42" t="inlineStr">
        <is>
          <t>No</t>
        </is>
      </c>
      <c r="L42" t="inlineStr">
        <is>
          <t>0</t>
        </is>
      </c>
      <c r="M42" t="inlineStr">
        <is>
          <t>Columbia College (Columbia University).</t>
        </is>
      </c>
      <c r="N42" t="inlineStr">
        <is>
          <t>New York : Columbia University Press, 1961-</t>
        </is>
      </c>
      <c r="O42" t="inlineStr">
        <is>
          <t>1961</t>
        </is>
      </c>
      <c r="P42" t="inlineStr">
        <is>
          <t>3d ed.</t>
        </is>
      </c>
      <c r="Q42" t="inlineStr">
        <is>
          <t>eng</t>
        </is>
      </c>
      <c r="R42" t="inlineStr">
        <is>
          <t>nyu</t>
        </is>
      </c>
      <c r="T42" t="inlineStr">
        <is>
          <t xml:space="preserve">CB </t>
        </is>
      </c>
      <c r="U42" t="n">
        <v>1</v>
      </c>
      <c r="V42" t="n">
        <v>3</v>
      </c>
      <c r="X42" t="inlineStr">
        <is>
          <t>1995-04-03</t>
        </is>
      </c>
      <c r="Y42" t="inlineStr">
        <is>
          <t>1994-02-28</t>
        </is>
      </c>
      <c r="Z42" t="inlineStr">
        <is>
          <t>1994-03-03</t>
        </is>
      </c>
      <c r="AA42" t="n">
        <v>567</v>
      </c>
      <c r="AB42" t="n">
        <v>515</v>
      </c>
      <c r="AC42" t="n">
        <v>846</v>
      </c>
      <c r="AD42" t="n">
        <v>6</v>
      </c>
      <c r="AE42" t="n">
        <v>7</v>
      </c>
      <c r="AF42" t="n">
        <v>25</v>
      </c>
      <c r="AG42" t="n">
        <v>44</v>
      </c>
      <c r="AH42" t="n">
        <v>5</v>
      </c>
      <c r="AI42" t="n">
        <v>16</v>
      </c>
      <c r="AJ42" t="n">
        <v>7</v>
      </c>
      <c r="AK42" t="n">
        <v>9</v>
      </c>
      <c r="AL42" t="n">
        <v>14</v>
      </c>
      <c r="AM42" t="n">
        <v>23</v>
      </c>
      <c r="AN42" t="n">
        <v>5</v>
      </c>
      <c r="AO42" t="n">
        <v>5</v>
      </c>
      <c r="AP42" t="n">
        <v>0</v>
      </c>
      <c r="AQ42" t="n">
        <v>0</v>
      </c>
      <c r="AR42" t="inlineStr">
        <is>
          <t>No</t>
        </is>
      </c>
      <c r="AS42" t="inlineStr">
        <is>
          <t>Yes</t>
        </is>
      </c>
      <c r="AT42">
        <f>HYPERLINK("http://catalog.hathitrust.org/Record/000771279","HathiTrust Record")</f>
        <v/>
      </c>
      <c r="AU42">
        <f>HYPERLINK("https://creighton-primo.hosted.exlibrisgroup.com/primo-explore/search?tab=default_tab&amp;search_scope=EVERYTHING&amp;vid=01CRU&amp;lang=en_US&amp;offset=0&amp;query=any,contains,991002654169702656","Catalog Record")</f>
        <v/>
      </c>
      <c r="AV42">
        <f>HYPERLINK("http://www.worldcat.org/oclc/388091","WorldCat Record")</f>
        <v/>
      </c>
      <c r="AW42" t="inlineStr">
        <is>
          <t>118558744:eng</t>
        </is>
      </c>
      <c r="AX42" t="inlineStr">
        <is>
          <t>388091</t>
        </is>
      </c>
      <c r="AY42" t="inlineStr">
        <is>
          <t>991002654169702656</t>
        </is>
      </c>
      <c r="AZ42" t="inlineStr">
        <is>
          <t>991002654169702656</t>
        </is>
      </c>
      <c r="BA42" t="inlineStr">
        <is>
          <t>2255004940002656</t>
        </is>
      </c>
      <c r="BB42" t="inlineStr">
        <is>
          <t>BOOK</t>
        </is>
      </c>
      <c r="BE42" t="inlineStr">
        <is>
          <t>32285001850642</t>
        </is>
      </c>
      <c r="BF42" t="inlineStr">
        <is>
          <t>893434124</t>
        </is>
      </c>
    </row>
    <row r="43">
      <c r="B43" t="inlineStr">
        <is>
          <t>CURAL</t>
        </is>
      </c>
      <c r="C43" t="inlineStr">
        <is>
          <t>SHELVES</t>
        </is>
      </c>
      <c r="D43" t="inlineStr">
        <is>
          <t>CB245 .C86 1982</t>
        </is>
      </c>
      <c r="E43" t="inlineStr">
        <is>
          <t>0                      CB 0245000C  86          1982</t>
        </is>
      </c>
      <c r="F43" t="inlineStr">
        <is>
          <t>Culture and values : a survey of the Western humanities / Lawrence Cunningham, John Reich.</t>
        </is>
      </c>
      <c r="G43" t="inlineStr">
        <is>
          <t>V.2</t>
        </is>
      </c>
      <c r="H43" t="inlineStr">
        <is>
          <t>Yes</t>
        </is>
      </c>
      <c r="I43" t="inlineStr">
        <is>
          <t>1</t>
        </is>
      </c>
      <c r="J43" t="inlineStr">
        <is>
          <t>No</t>
        </is>
      </c>
      <c r="K43" t="inlineStr">
        <is>
          <t>No</t>
        </is>
      </c>
      <c r="L43" t="inlineStr">
        <is>
          <t>0</t>
        </is>
      </c>
      <c r="M43" t="inlineStr">
        <is>
          <t>Cunningham, Lawrence.</t>
        </is>
      </c>
      <c r="N43" t="inlineStr">
        <is>
          <t>New York : Holt, Rinehart and Winston, c1982.</t>
        </is>
      </c>
      <c r="O43" t="inlineStr">
        <is>
          <t>1982</t>
        </is>
      </c>
      <c r="Q43" t="inlineStr">
        <is>
          <t>eng</t>
        </is>
      </c>
      <c r="R43" t="inlineStr">
        <is>
          <t>nyu</t>
        </is>
      </c>
      <c r="T43" t="inlineStr">
        <is>
          <t xml:space="preserve">CB </t>
        </is>
      </c>
      <c r="U43" t="n">
        <v>6</v>
      </c>
      <c r="V43" t="n">
        <v>13</v>
      </c>
      <c r="W43" t="inlineStr">
        <is>
          <t>2006-06-06</t>
        </is>
      </c>
      <c r="X43" t="inlineStr">
        <is>
          <t>2006-06-06</t>
        </is>
      </c>
      <c r="Y43" t="inlineStr">
        <is>
          <t>1992-06-01</t>
        </is>
      </c>
      <c r="Z43" t="inlineStr">
        <is>
          <t>1992-06-01</t>
        </is>
      </c>
      <c r="AA43" t="n">
        <v>186</v>
      </c>
      <c r="AB43" t="n">
        <v>158</v>
      </c>
      <c r="AC43" t="n">
        <v>460</v>
      </c>
      <c r="AD43" t="n">
        <v>2</v>
      </c>
      <c r="AE43" t="n">
        <v>5</v>
      </c>
      <c r="AF43" t="n">
        <v>9</v>
      </c>
      <c r="AG43" t="n">
        <v>19</v>
      </c>
      <c r="AH43" t="n">
        <v>4</v>
      </c>
      <c r="AI43" t="n">
        <v>7</v>
      </c>
      <c r="AJ43" t="n">
        <v>2</v>
      </c>
      <c r="AK43" t="n">
        <v>5</v>
      </c>
      <c r="AL43" t="n">
        <v>3</v>
      </c>
      <c r="AM43" t="n">
        <v>7</v>
      </c>
      <c r="AN43" t="n">
        <v>1</v>
      </c>
      <c r="AO43" t="n">
        <v>4</v>
      </c>
      <c r="AP43" t="n">
        <v>0</v>
      </c>
      <c r="AQ43" t="n">
        <v>0</v>
      </c>
      <c r="AR43" t="inlineStr">
        <is>
          <t>No</t>
        </is>
      </c>
      <c r="AS43" t="inlineStr">
        <is>
          <t>Yes</t>
        </is>
      </c>
      <c r="AT43">
        <f>HYPERLINK("http://catalog.hathitrust.org/Record/101922372","HathiTrust Record")</f>
        <v/>
      </c>
      <c r="AU43">
        <f>HYPERLINK("https://creighton-primo.hosted.exlibrisgroup.com/primo-explore/search?tab=default_tab&amp;search_scope=EVERYTHING&amp;vid=01CRU&amp;lang=en_US&amp;offset=0&amp;query=any,contains,991005161909702656","Catalog Record")</f>
        <v/>
      </c>
      <c r="AV43">
        <f>HYPERLINK("http://www.worldcat.org/oclc/7795693","WorldCat Record")</f>
        <v/>
      </c>
      <c r="AW43" t="inlineStr">
        <is>
          <t>2989962:eng</t>
        </is>
      </c>
      <c r="AX43" t="inlineStr">
        <is>
          <t>7795693</t>
        </is>
      </c>
      <c r="AY43" t="inlineStr">
        <is>
          <t>991005161909702656</t>
        </is>
      </c>
      <c r="AZ43" t="inlineStr">
        <is>
          <t>991005161909702656</t>
        </is>
      </c>
      <c r="BA43" t="inlineStr">
        <is>
          <t>2267971670002656</t>
        </is>
      </c>
      <c r="BB43" t="inlineStr">
        <is>
          <t>BOOK</t>
        </is>
      </c>
      <c r="BD43" t="inlineStr">
        <is>
          <t>9780030540011</t>
        </is>
      </c>
      <c r="BE43" t="inlineStr">
        <is>
          <t>32285001143048</t>
        </is>
      </c>
      <c r="BF43" t="inlineStr">
        <is>
          <t>893701116</t>
        </is>
      </c>
    </row>
    <row r="44">
      <c r="B44" t="inlineStr">
        <is>
          <t>CURAL</t>
        </is>
      </c>
      <c r="C44" t="inlineStr">
        <is>
          <t>SHELVES</t>
        </is>
      </c>
      <c r="D44" t="inlineStr">
        <is>
          <t>CB245 .C86 1982</t>
        </is>
      </c>
      <c r="E44" t="inlineStr">
        <is>
          <t>0                      CB 0245000C  86          1982</t>
        </is>
      </c>
      <c r="F44" t="inlineStr">
        <is>
          <t>Culture and values : a survey of the Western humanities / Lawrence Cunningham, John Reich.</t>
        </is>
      </c>
      <c r="G44" t="inlineStr">
        <is>
          <t>V.1</t>
        </is>
      </c>
      <c r="H44" t="inlineStr">
        <is>
          <t>Yes</t>
        </is>
      </c>
      <c r="I44" t="inlineStr">
        <is>
          <t>1</t>
        </is>
      </c>
      <c r="J44" t="inlineStr">
        <is>
          <t>No</t>
        </is>
      </c>
      <c r="K44" t="inlineStr">
        <is>
          <t>No</t>
        </is>
      </c>
      <c r="L44" t="inlineStr">
        <is>
          <t>0</t>
        </is>
      </c>
      <c r="M44" t="inlineStr">
        <is>
          <t>Cunningham, Lawrence.</t>
        </is>
      </c>
      <c r="N44" t="inlineStr">
        <is>
          <t>New York : Holt, Rinehart and Winston, c1982.</t>
        </is>
      </c>
      <c r="O44" t="inlineStr">
        <is>
          <t>1982</t>
        </is>
      </c>
      <c r="Q44" t="inlineStr">
        <is>
          <t>eng</t>
        </is>
      </c>
      <c r="R44" t="inlineStr">
        <is>
          <t>nyu</t>
        </is>
      </c>
      <c r="T44" t="inlineStr">
        <is>
          <t xml:space="preserve">CB </t>
        </is>
      </c>
      <c r="U44" t="n">
        <v>7</v>
      </c>
      <c r="V44" t="n">
        <v>13</v>
      </c>
      <c r="W44" t="inlineStr">
        <is>
          <t>2006-06-06</t>
        </is>
      </c>
      <c r="X44" t="inlineStr">
        <is>
          <t>2006-06-06</t>
        </is>
      </c>
      <c r="Y44" t="inlineStr">
        <is>
          <t>1992-06-01</t>
        </is>
      </c>
      <c r="Z44" t="inlineStr">
        <is>
          <t>1992-06-01</t>
        </is>
      </c>
      <c r="AA44" t="n">
        <v>186</v>
      </c>
      <c r="AB44" t="n">
        <v>158</v>
      </c>
      <c r="AC44" t="n">
        <v>460</v>
      </c>
      <c r="AD44" t="n">
        <v>2</v>
      </c>
      <c r="AE44" t="n">
        <v>5</v>
      </c>
      <c r="AF44" t="n">
        <v>9</v>
      </c>
      <c r="AG44" t="n">
        <v>19</v>
      </c>
      <c r="AH44" t="n">
        <v>4</v>
      </c>
      <c r="AI44" t="n">
        <v>7</v>
      </c>
      <c r="AJ44" t="n">
        <v>2</v>
      </c>
      <c r="AK44" t="n">
        <v>5</v>
      </c>
      <c r="AL44" t="n">
        <v>3</v>
      </c>
      <c r="AM44" t="n">
        <v>7</v>
      </c>
      <c r="AN44" t="n">
        <v>1</v>
      </c>
      <c r="AO44" t="n">
        <v>4</v>
      </c>
      <c r="AP44" t="n">
        <v>0</v>
      </c>
      <c r="AQ44" t="n">
        <v>0</v>
      </c>
      <c r="AR44" t="inlineStr">
        <is>
          <t>No</t>
        </is>
      </c>
      <c r="AS44" t="inlineStr">
        <is>
          <t>Yes</t>
        </is>
      </c>
      <c r="AT44">
        <f>HYPERLINK("http://catalog.hathitrust.org/Record/101922372","HathiTrust Record")</f>
        <v/>
      </c>
      <c r="AU44">
        <f>HYPERLINK("https://creighton-primo.hosted.exlibrisgroup.com/primo-explore/search?tab=default_tab&amp;search_scope=EVERYTHING&amp;vid=01CRU&amp;lang=en_US&amp;offset=0&amp;query=any,contains,991005161909702656","Catalog Record")</f>
        <v/>
      </c>
      <c r="AV44">
        <f>HYPERLINK("http://www.worldcat.org/oclc/7795693","WorldCat Record")</f>
        <v/>
      </c>
      <c r="AW44" t="inlineStr">
        <is>
          <t>2989962:eng</t>
        </is>
      </c>
      <c r="AX44" t="inlineStr">
        <is>
          <t>7795693</t>
        </is>
      </c>
      <c r="AY44" t="inlineStr">
        <is>
          <t>991005161909702656</t>
        </is>
      </c>
      <c r="AZ44" t="inlineStr">
        <is>
          <t>991005161909702656</t>
        </is>
      </c>
      <c r="BA44" t="inlineStr">
        <is>
          <t>2267971670002656</t>
        </is>
      </c>
      <c r="BB44" t="inlineStr">
        <is>
          <t>BOOK</t>
        </is>
      </c>
      <c r="BD44" t="inlineStr">
        <is>
          <t>9780030540011</t>
        </is>
      </c>
      <c r="BE44" t="inlineStr">
        <is>
          <t>32285001143030</t>
        </is>
      </c>
      <c r="BF44" t="inlineStr">
        <is>
          <t>893719893</t>
        </is>
      </c>
    </row>
    <row r="45">
      <c r="B45" t="inlineStr">
        <is>
          <t>CURAL</t>
        </is>
      </c>
      <c r="C45" t="inlineStr">
        <is>
          <t>SHELVES</t>
        </is>
      </c>
      <c r="D45" t="inlineStr">
        <is>
          <t>CB245 .D44 1996</t>
        </is>
      </c>
      <c r="E45" t="inlineStr">
        <is>
          <t>0                      CB 0245000D  44          1996</t>
        </is>
      </c>
      <c r="F45" t="inlineStr">
        <is>
          <t>Great books : my adventures with Homer, Rousseau, Woolf, and other indestructible writers of the Western world / David Denby.</t>
        </is>
      </c>
      <c r="H45" t="inlineStr">
        <is>
          <t>No</t>
        </is>
      </c>
      <c r="I45" t="inlineStr">
        <is>
          <t>1</t>
        </is>
      </c>
      <c r="J45" t="inlineStr">
        <is>
          <t>No</t>
        </is>
      </c>
      <c r="K45" t="inlineStr">
        <is>
          <t>No</t>
        </is>
      </c>
      <c r="L45" t="inlineStr">
        <is>
          <t>0</t>
        </is>
      </c>
      <c r="M45" t="inlineStr">
        <is>
          <t>Denby, David, 1943-</t>
        </is>
      </c>
      <c r="N45" t="inlineStr">
        <is>
          <t>New York : Simon &amp; Schuster, c1996.</t>
        </is>
      </c>
      <c r="O45" t="inlineStr">
        <is>
          <t>1996</t>
        </is>
      </c>
      <c r="Q45" t="inlineStr">
        <is>
          <t>eng</t>
        </is>
      </c>
      <c r="R45" t="inlineStr">
        <is>
          <t>nyu</t>
        </is>
      </c>
      <c r="T45" t="inlineStr">
        <is>
          <t xml:space="preserve">CB </t>
        </is>
      </c>
      <c r="U45" t="n">
        <v>4</v>
      </c>
      <c r="V45" t="n">
        <v>4</v>
      </c>
      <c r="W45" t="inlineStr">
        <is>
          <t>2006-03-31</t>
        </is>
      </c>
      <c r="X45" t="inlineStr">
        <is>
          <t>2006-03-31</t>
        </is>
      </c>
      <c r="Y45" t="inlineStr">
        <is>
          <t>1996-09-24</t>
        </is>
      </c>
      <c r="Z45" t="inlineStr">
        <is>
          <t>1996-09-24</t>
        </is>
      </c>
      <c r="AA45" t="n">
        <v>1746</v>
      </c>
      <c r="AB45" t="n">
        <v>1624</v>
      </c>
      <c r="AC45" t="n">
        <v>1816</v>
      </c>
      <c r="AD45" t="n">
        <v>11</v>
      </c>
      <c r="AE45" t="n">
        <v>12</v>
      </c>
      <c r="AF45" t="n">
        <v>42</v>
      </c>
      <c r="AG45" t="n">
        <v>45</v>
      </c>
      <c r="AH45" t="n">
        <v>18</v>
      </c>
      <c r="AI45" t="n">
        <v>20</v>
      </c>
      <c r="AJ45" t="n">
        <v>9</v>
      </c>
      <c r="AK45" t="n">
        <v>9</v>
      </c>
      <c r="AL45" t="n">
        <v>19</v>
      </c>
      <c r="AM45" t="n">
        <v>21</v>
      </c>
      <c r="AN45" t="n">
        <v>6</v>
      </c>
      <c r="AO45" t="n">
        <v>6</v>
      </c>
      <c r="AP45" t="n">
        <v>1</v>
      </c>
      <c r="AQ45" t="n">
        <v>1</v>
      </c>
      <c r="AR45" t="inlineStr">
        <is>
          <t>No</t>
        </is>
      </c>
      <c r="AS45" t="inlineStr">
        <is>
          <t>Yes</t>
        </is>
      </c>
      <c r="AT45">
        <f>HYPERLINK("http://catalog.hathitrust.org/Record/003087454","HathiTrust Record")</f>
        <v/>
      </c>
      <c r="AU45">
        <f>HYPERLINK("https://creighton-primo.hosted.exlibrisgroup.com/primo-explore/search?tab=default_tab&amp;search_scope=EVERYTHING&amp;vid=01CRU&amp;lang=en_US&amp;offset=0&amp;query=any,contains,991002654299702656","Catalog Record")</f>
        <v/>
      </c>
      <c r="AV45">
        <f>HYPERLINK("http://www.worldcat.org/oclc/34704952","WorldCat Record")</f>
        <v/>
      </c>
      <c r="AW45" t="inlineStr">
        <is>
          <t>572503:eng</t>
        </is>
      </c>
      <c r="AX45" t="inlineStr">
        <is>
          <t>34704952</t>
        </is>
      </c>
      <c r="AY45" t="inlineStr">
        <is>
          <t>991002654299702656</t>
        </is>
      </c>
      <c r="AZ45" t="inlineStr">
        <is>
          <t>991002654299702656</t>
        </is>
      </c>
      <c r="BA45" t="inlineStr">
        <is>
          <t>2264923500002656</t>
        </is>
      </c>
      <c r="BB45" t="inlineStr">
        <is>
          <t>BOOK</t>
        </is>
      </c>
      <c r="BD45" t="inlineStr">
        <is>
          <t>9780684809755</t>
        </is>
      </c>
      <c r="BE45" t="inlineStr">
        <is>
          <t>32285002318870</t>
        </is>
      </c>
      <c r="BF45" t="inlineStr">
        <is>
          <t>893317094</t>
        </is>
      </c>
    </row>
    <row r="46">
      <c r="B46" t="inlineStr">
        <is>
          <t>CURAL</t>
        </is>
      </c>
      <c r="C46" t="inlineStr">
        <is>
          <t>SHELVES</t>
        </is>
      </c>
      <c r="D46" t="inlineStr">
        <is>
          <t>CB245 .D76 1992</t>
        </is>
      </c>
      <c r="E46" t="inlineStr">
        <is>
          <t>0                      CB 0245000D  76          1992</t>
        </is>
      </c>
      <c r="F46" t="inlineStr">
        <is>
          <t>The rebirth of the West : the Americanization of the democratic world, 1945-1958 / Peter Duignan and L.H. Gann.</t>
        </is>
      </c>
      <c r="H46" t="inlineStr">
        <is>
          <t>No</t>
        </is>
      </c>
      <c r="I46" t="inlineStr">
        <is>
          <t>1</t>
        </is>
      </c>
      <c r="J46" t="inlineStr">
        <is>
          <t>No</t>
        </is>
      </c>
      <c r="K46" t="inlineStr">
        <is>
          <t>No</t>
        </is>
      </c>
      <c r="L46" t="inlineStr">
        <is>
          <t>0</t>
        </is>
      </c>
      <c r="M46" t="inlineStr">
        <is>
          <t>Duignan, Peter.</t>
        </is>
      </c>
      <c r="N46" t="inlineStr">
        <is>
          <t>Cambridge, Mass., USA : Blackwell, 1992.</t>
        </is>
      </c>
      <c r="O46" t="inlineStr">
        <is>
          <t>1992</t>
        </is>
      </c>
      <c r="Q46" t="inlineStr">
        <is>
          <t>eng</t>
        </is>
      </c>
      <c r="R46" t="inlineStr">
        <is>
          <t>mau</t>
        </is>
      </c>
      <c r="T46" t="inlineStr">
        <is>
          <t xml:space="preserve">CB </t>
        </is>
      </c>
      <c r="U46" t="n">
        <v>4</v>
      </c>
      <c r="V46" t="n">
        <v>4</v>
      </c>
      <c r="W46" t="inlineStr">
        <is>
          <t>1998-02-24</t>
        </is>
      </c>
      <c r="X46" t="inlineStr">
        <is>
          <t>1998-02-24</t>
        </is>
      </c>
      <c r="Y46" t="inlineStr">
        <is>
          <t>1994-01-05</t>
        </is>
      </c>
      <c r="Z46" t="inlineStr">
        <is>
          <t>1994-01-05</t>
        </is>
      </c>
      <c r="AA46" t="n">
        <v>497</v>
      </c>
      <c r="AB46" t="n">
        <v>372</v>
      </c>
      <c r="AC46" t="n">
        <v>461</v>
      </c>
      <c r="AD46" t="n">
        <v>2</v>
      </c>
      <c r="AE46" t="n">
        <v>3</v>
      </c>
      <c r="AF46" t="n">
        <v>17</v>
      </c>
      <c r="AG46" t="n">
        <v>21</v>
      </c>
      <c r="AH46" t="n">
        <v>6</v>
      </c>
      <c r="AI46" t="n">
        <v>7</v>
      </c>
      <c r="AJ46" t="n">
        <v>3</v>
      </c>
      <c r="AK46" t="n">
        <v>6</v>
      </c>
      <c r="AL46" t="n">
        <v>11</v>
      </c>
      <c r="AM46" t="n">
        <v>12</v>
      </c>
      <c r="AN46" t="n">
        <v>1</v>
      </c>
      <c r="AO46" t="n">
        <v>2</v>
      </c>
      <c r="AP46" t="n">
        <v>0</v>
      </c>
      <c r="AQ46" t="n">
        <v>0</v>
      </c>
      <c r="AR46" t="inlineStr">
        <is>
          <t>No</t>
        </is>
      </c>
      <c r="AS46" t="inlineStr">
        <is>
          <t>No</t>
        </is>
      </c>
      <c r="AU46">
        <f>HYPERLINK("https://creighton-primo.hosted.exlibrisgroup.com/primo-explore/search?tab=default_tab&amp;search_scope=EVERYTHING&amp;vid=01CRU&amp;lang=en_US&amp;offset=0&amp;query=any,contains,991001676959702656","Catalog Record")</f>
        <v/>
      </c>
      <c r="AV46">
        <f>HYPERLINK("http://www.worldcat.org/oclc/21333124","WorldCat Record")</f>
        <v/>
      </c>
      <c r="AW46" t="inlineStr">
        <is>
          <t>970504:eng</t>
        </is>
      </c>
      <c r="AX46" t="inlineStr">
        <is>
          <t>21333124</t>
        </is>
      </c>
      <c r="AY46" t="inlineStr">
        <is>
          <t>991001676959702656</t>
        </is>
      </c>
      <c r="AZ46" t="inlineStr">
        <is>
          <t>991001676959702656</t>
        </is>
      </c>
      <c r="BA46" t="inlineStr">
        <is>
          <t>2258488140002656</t>
        </is>
      </c>
      <c r="BB46" t="inlineStr">
        <is>
          <t>BOOK</t>
        </is>
      </c>
      <c r="BD46" t="inlineStr">
        <is>
          <t>9781557860897</t>
        </is>
      </c>
      <c r="BE46" t="inlineStr">
        <is>
          <t>32285001819506</t>
        </is>
      </c>
      <c r="BF46" t="inlineStr">
        <is>
          <t>893346690</t>
        </is>
      </c>
    </row>
    <row r="47">
      <c r="B47" t="inlineStr">
        <is>
          <t>CURAL</t>
        </is>
      </c>
      <c r="C47" t="inlineStr">
        <is>
          <t>SHELVES</t>
        </is>
      </c>
      <c r="D47" t="inlineStr">
        <is>
          <t>CB245 .E513</t>
        </is>
      </c>
      <c r="E47" t="inlineStr">
        <is>
          <t>0                      CB 0245000E  513</t>
        </is>
      </c>
      <c r="F47" t="inlineStr">
        <is>
          <t>The betrayal of the West / Jacques Ellul ; translated by Matthew J. O'Connell.</t>
        </is>
      </c>
      <c r="H47" t="inlineStr">
        <is>
          <t>No</t>
        </is>
      </c>
      <c r="I47" t="inlineStr">
        <is>
          <t>1</t>
        </is>
      </c>
      <c r="J47" t="inlineStr">
        <is>
          <t>No</t>
        </is>
      </c>
      <c r="K47" t="inlineStr">
        <is>
          <t>No</t>
        </is>
      </c>
      <c r="L47" t="inlineStr">
        <is>
          <t>0</t>
        </is>
      </c>
      <c r="M47" t="inlineStr">
        <is>
          <t>Ellul, Jacques, 1912-1994.</t>
        </is>
      </c>
      <c r="N47" t="inlineStr">
        <is>
          <t>New York : Seabury Press, c1978.</t>
        </is>
      </c>
      <c r="O47" t="inlineStr">
        <is>
          <t>1978</t>
        </is>
      </c>
      <c r="Q47" t="inlineStr">
        <is>
          <t>eng</t>
        </is>
      </c>
      <c r="R47" t="inlineStr">
        <is>
          <t>nyu</t>
        </is>
      </c>
      <c r="S47" t="inlineStr">
        <is>
          <t>A Continuum book</t>
        </is>
      </c>
      <c r="T47" t="inlineStr">
        <is>
          <t xml:space="preserve">CB </t>
        </is>
      </c>
      <c r="U47" t="n">
        <v>1</v>
      </c>
      <c r="V47" t="n">
        <v>1</v>
      </c>
      <c r="W47" t="inlineStr">
        <is>
          <t>2004-11-02</t>
        </is>
      </c>
      <c r="X47" t="inlineStr">
        <is>
          <t>2004-11-02</t>
        </is>
      </c>
      <c r="Y47" t="inlineStr">
        <is>
          <t>1992-06-01</t>
        </is>
      </c>
      <c r="Z47" t="inlineStr">
        <is>
          <t>1992-06-01</t>
        </is>
      </c>
      <c r="AA47" t="n">
        <v>783</v>
      </c>
      <c r="AB47" t="n">
        <v>675</v>
      </c>
      <c r="AC47" t="n">
        <v>682</v>
      </c>
      <c r="AD47" t="n">
        <v>6</v>
      </c>
      <c r="AE47" t="n">
        <v>6</v>
      </c>
      <c r="AF47" t="n">
        <v>30</v>
      </c>
      <c r="AG47" t="n">
        <v>30</v>
      </c>
      <c r="AH47" t="n">
        <v>8</v>
      </c>
      <c r="AI47" t="n">
        <v>8</v>
      </c>
      <c r="AJ47" t="n">
        <v>6</v>
      </c>
      <c r="AK47" t="n">
        <v>6</v>
      </c>
      <c r="AL47" t="n">
        <v>17</v>
      </c>
      <c r="AM47" t="n">
        <v>17</v>
      </c>
      <c r="AN47" t="n">
        <v>4</v>
      </c>
      <c r="AO47" t="n">
        <v>4</v>
      </c>
      <c r="AP47" t="n">
        <v>0</v>
      </c>
      <c r="AQ47" t="n">
        <v>0</v>
      </c>
      <c r="AR47" t="inlineStr">
        <is>
          <t>No</t>
        </is>
      </c>
      <c r="AS47" t="inlineStr">
        <is>
          <t>Yes</t>
        </is>
      </c>
      <c r="AT47">
        <f>HYPERLINK("http://catalog.hathitrust.org/Record/000089640","HathiTrust Record")</f>
        <v/>
      </c>
      <c r="AU47">
        <f>HYPERLINK("https://creighton-primo.hosted.exlibrisgroup.com/primo-explore/search?tab=default_tab&amp;search_scope=EVERYTHING&amp;vid=01CRU&amp;lang=en_US&amp;offset=0&amp;query=any,contains,991004460249702656","Catalog Record")</f>
        <v/>
      </c>
      <c r="AV47">
        <f>HYPERLINK("http://www.worldcat.org/oclc/3542762","WorldCat Record")</f>
        <v/>
      </c>
      <c r="AW47" t="inlineStr">
        <is>
          <t>179421162:eng</t>
        </is>
      </c>
      <c r="AX47" t="inlineStr">
        <is>
          <t>3542762</t>
        </is>
      </c>
      <c r="AY47" t="inlineStr">
        <is>
          <t>991004460249702656</t>
        </is>
      </c>
      <c r="AZ47" t="inlineStr">
        <is>
          <t>991004460249702656</t>
        </is>
      </c>
      <c r="BA47" t="inlineStr">
        <is>
          <t>2264818290002656</t>
        </is>
      </c>
      <c r="BB47" t="inlineStr">
        <is>
          <t>BOOK</t>
        </is>
      </c>
      <c r="BD47" t="inlineStr">
        <is>
          <t>9780816493388</t>
        </is>
      </c>
      <c r="BE47" t="inlineStr">
        <is>
          <t>32285001143055</t>
        </is>
      </c>
      <c r="BF47" t="inlineStr">
        <is>
          <t>893442637</t>
        </is>
      </c>
    </row>
    <row r="48">
      <c r="B48" t="inlineStr">
        <is>
          <t>CURAL</t>
        </is>
      </c>
      <c r="C48" t="inlineStr">
        <is>
          <t>SHELVES</t>
        </is>
      </c>
      <c r="D48" t="inlineStr">
        <is>
          <t>CB245 .E69 1994</t>
        </is>
      </c>
      <c r="E48" t="inlineStr">
        <is>
          <t>0                      CB 0245000E  69          1994</t>
        </is>
      </c>
      <c r="F48" t="inlineStr">
        <is>
          <t>The western world : prehistory to the present / Anthony Esler.</t>
        </is>
      </c>
      <c r="H48" t="inlineStr">
        <is>
          <t>No</t>
        </is>
      </c>
      <c r="I48" t="inlineStr">
        <is>
          <t>1</t>
        </is>
      </c>
      <c r="J48" t="inlineStr">
        <is>
          <t>No</t>
        </is>
      </c>
      <c r="K48" t="inlineStr">
        <is>
          <t>No</t>
        </is>
      </c>
      <c r="L48" t="inlineStr">
        <is>
          <t>0</t>
        </is>
      </c>
      <c r="M48" t="inlineStr">
        <is>
          <t>Esler, Anthony.</t>
        </is>
      </c>
      <c r="N48" t="inlineStr">
        <is>
          <t>Englewood Cliffs, N.J. : Prentice Hall, 1994.</t>
        </is>
      </c>
      <c r="O48" t="inlineStr">
        <is>
          <t>1994</t>
        </is>
      </c>
      <c r="Q48" t="inlineStr">
        <is>
          <t>eng</t>
        </is>
      </c>
      <c r="R48" t="inlineStr">
        <is>
          <t>nju</t>
        </is>
      </c>
      <c r="T48" t="inlineStr">
        <is>
          <t xml:space="preserve">CB </t>
        </is>
      </c>
      <c r="U48" t="n">
        <v>7</v>
      </c>
      <c r="V48" t="n">
        <v>7</v>
      </c>
      <c r="W48" t="inlineStr">
        <is>
          <t>1999-03-27</t>
        </is>
      </c>
      <c r="X48" t="inlineStr">
        <is>
          <t>1999-03-27</t>
        </is>
      </c>
      <c r="Y48" t="inlineStr">
        <is>
          <t>1994-05-06</t>
        </is>
      </c>
      <c r="Z48" t="inlineStr">
        <is>
          <t>1994-05-06</t>
        </is>
      </c>
      <c r="AA48" t="n">
        <v>45</v>
      </c>
      <c r="AB48" t="n">
        <v>43</v>
      </c>
      <c r="AC48" t="n">
        <v>112</v>
      </c>
      <c r="AD48" t="n">
        <v>1</v>
      </c>
      <c r="AE48" t="n">
        <v>1</v>
      </c>
      <c r="AF48" t="n">
        <v>1</v>
      </c>
      <c r="AG48" t="n">
        <v>4</v>
      </c>
      <c r="AH48" t="n">
        <v>1</v>
      </c>
      <c r="AI48" t="n">
        <v>2</v>
      </c>
      <c r="AJ48" t="n">
        <v>0</v>
      </c>
      <c r="AK48" t="n">
        <v>0</v>
      </c>
      <c r="AL48" t="n">
        <v>0</v>
      </c>
      <c r="AM48" t="n">
        <v>3</v>
      </c>
      <c r="AN48" t="n">
        <v>0</v>
      </c>
      <c r="AO48" t="n">
        <v>0</v>
      </c>
      <c r="AP48" t="n">
        <v>0</v>
      </c>
      <c r="AQ48" t="n">
        <v>0</v>
      </c>
      <c r="AR48" t="inlineStr">
        <is>
          <t>No</t>
        </is>
      </c>
      <c r="AS48" t="inlineStr">
        <is>
          <t>No</t>
        </is>
      </c>
      <c r="AU48">
        <f>HYPERLINK("https://creighton-primo.hosted.exlibrisgroup.com/primo-explore/search?tab=default_tab&amp;search_scope=EVERYTHING&amp;vid=01CRU&amp;lang=en_US&amp;offset=0&amp;query=any,contains,991002171479702656","Catalog Record")</f>
        <v/>
      </c>
      <c r="AV48">
        <f>HYPERLINK("http://www.worldcat.org/oclc/27937657","WorldCat Record")</f>
        <v/>
      </c>
      <c r="AW48" t="inlineStr">
        <is>
          <t>40860481:eng</t>
        </is>
      </c>
      <c r="AX48" t="inlineStr">
        <is>
          <t>27937657</t>
        </is>
      </c>
      <c r="AY48" t="inlineStr">
        <is>
          <t>991002171479702656</t>
        </is>
      </c>
      <c r="AZ48" t="inlineStr">
        <is>
          <t>991002171479702656</t>
        </is>
      </c>
      <c r="BA48" t="inlineStr">
        <is>
          <t>2255540100002656</t>
        </is>
      </c>
      <c r="BB48" t="inlineStr">
        <is>
          <t>BOOK</t>
        </is>
      </c>
      <c r="BD48" t="inlineStr">
        <is>
          <t>9780139466748</t>
        </is>
      </c>
      <c r="BE48" t="inlineStr">
        <is>
          <t>32285001864577</t>
        </is>
      </c>
      <c r="BF48" t="inlineStr">
        <is>
          <t>893603266</t>
        </is>
      </c>
    </row>
    <row r="49">
      <c r="B49" t="inlineStr">
        <is>
          <t>CURAL</t>
        </is>
      </c>
      <c r="C49" t="inlineStr">
        <is>
          <t>SHELVES</t>
        </is>
      </c>
      <c r="D49" t="inlineStr">
        <is>
          <t>CB245 .G6</t>
        </is>
      </c>
      <c r="E49" t="inlineStr">
        <is>
          <t>0                      CB 0245000G  6</t>
        </is>
      </c>
      <c r="F49" t="inlineStr">
        <is>
          <t>The shaping of western society; an inquiry approach [by] John M. Good.</t>
        </is>
      </c>
      <c r="H49" t="inlineStr">
        <is>
          <t>No</t>
        </is>
      </c>
      <c r="I49" t="inlineStr">
        <is>
          <t>1</t>
        </is>
      </c>
      <c r="J49" t="inlineStr">
        <is>
          <t>No</t>
        </is>
      </c>
      <c r="K49" t="inlineStr">
        <is>
          <t>No</t>
        </is>
      </c>
      <c r="L49" t="inlineStr">
        <is>
          <t>0</t>
        </is>
      </c>
      <c r="M49" t="inlineStr">
        <is>
          <t>Good, John M.</t>
        </is>
      </c>
      <c r="N49" t="inlineStr">
        <is>
          <t>New York, Holt, Rinehart and Winston [1968]</t>
        </is>
      </c>
      <c r="O49" t="inlineStr">
        <is>
          <t>1968</t>
        </is>
      </c>
      <c r="Q49" t="inlineStr">
        <is>
          <t>eng</t>
        </is>
      </c>
      <c r="R49" t="inlineStr">
        <is>
          <t>nyu</t>
        </is>
      </c>
      <c r="S49" t="inlineStr">
        <is>
          <t>Holt social studies curriculum</t>
        </is>
      </c>
      <c r="T49" t="inlineStr">
        <is>
          <t xml:space="preserve">CB </t>
        </is>
      </c>
      <c r="U49" t="n">
        <v>5</v>
      </c>
      <c r="V49" t="n">
        <v>5</v>
      </c>
      <c r="W49" t="inlineStr">
        <is>
          <t>1996-12-03</t>
        </is>
      </c>
      <c r="X49" t="inlineStr">
        <is>
          <t>1996-12-03</t>
        </is>
      </c>
      <c r="Y49" t="inlineStr">
        <is>
          <t>1996-08-15</t>
        </is>
      </c>
      <c r="Z49" t="inlineStr">
        <is>
          <t>1996-08-15</t>
        </is>
      </c>
      <c r="AA49" t="n">
        <v>89</v>
      </c>
      <c r="AB49" t="n">
        <v>70</v>
      </c>
      <c r="AC49" t="n">
        <v>79</v>
      </c>
      <c r="AD49" t="n">
        <v>1</v>
      </c>
      <c r="AE49" t="n">
        <v>1</v>
      </c>
      <c r="AF49" t="n">
        <v>1</v>
      </c>
      <c r="AG49" t="n">
        <v>1</v>
      </c>
      <c r="AH49" t="n">
        <v>1</v>
      </c>
      <c r="AI49" t="n">
        <v>1</v>
      </c>
      <c r="AJ49" t="n">
        <v>0</v>
      </c>
      <c r="AK49" t="n">
        <v>0</v>
      </c>
      <c r="AL49" t="n">
        <v>1</v>
      </c>
      <c r="AM49" t="n">
        <v>1</v>
      </c>
      <c r="AN49" t="n">
        <v>0</v>
      </c>
      <c r="AO49" t="n">
        <v>0</v>
      </c>
      <c r="AP49" t="n">
        <v>0</v>
      </c>
      <c r="AQ49" t="n">
        <v>0</v>
      </c>
      <c r="AR49" t="inlineStr">
        <is>
          <t>No</t>
        </is>
      </c>
      <c r="AS49" t="inlineStr">
        <is>
          <t>Yes</t>
        </is>
      </c>
      <c r="AT49">
        <f>HYPERLINK("http://catalog.hathitrust.org/Record/012269416","HathiTrust Record")</f>
        <v/>
      </c>
      <c r="AU49">
        <f>HYPERLINK("https://creighton-primo.hosted.exlibrisgroup.com/primo-explore/search?tab=default_tab&amp;search_scope=EVERYTHING&amp;vid=01CRU&amp;lang=en_US&amp;offset=0&amp;query=any,contains,991000097389702656","Catalog Record")</f>
        <v/>
      </c>
      <c r="AV49">
        <f>HYPERLINK("http://www.worldcat.org/oclc/42157","WorldCat Record")</f>
        <v/>
      </c>
      <c r="AW49" t="inlineStr">
        <is>
          <t>197099397:eng</t>
        </is>
      </c>
      <c r="AX49" t="inlineStr">
        <is>
          <t>42157</t>
        </is>
      </c>
      <c r="AY49" t="inlineStr">
        <is>
          <t>991000097389702656</t>
        </is>
      </c>
      <c r="AZ49" t="inlineStr">
        <is>
          <t>991000097389702656</t>
        </is>
      </c>
      <c r="BA49" t="inlineStr">
        <is>
          <t>2260355120002656</t>
        </is>
      </c>
      <c r="BB49" t="inlineStr">
        <is>
          <t>BOOK</t>
        </is>
      </c>
      <c r="BE49" t="inlineStr">
        <is>
          <t>32285002264744</t>
        </is>
      </c>
      <c r="BF49" t="inlineStr">
        <is>
          <t>893327005</t>
        </is>
      </c>
    </row>
    <row r="50">
      <c r="B50" t="inlineStr">
        <is>
          <t>CURAL</t>
        </is>
      </c>
      <c r="C50" t="inlineStr">
        <is>
          <t>SHELVES</t>
        </is>
      </c>
      <c r="D50" t="inlineStr">
        <is>
          <t>CB245 .G68 1992</t>
        </is>
      </c>
      <c r="E50" t="inlineStr">
        <is>
          <t>0                      CB 0245000G  68          1992</t>
        </is>
      </c>
      <c r="F50" t="inlineStr">
        <is>
          <t>Great issues in Western civilization / [compiled by] Brian Tierney, Donald Kagan, L. Pearce Williams.</t>
        </is>
      </c>
      <c r="G50" t="inlineStr">
        <is>
          <t>V.3</t>
        </is>
      </c>
      <c r="H50" t="inlineStr">
        <is>
          <t>Yes</t>
        </is>
      </c>
      <c r="I50" t="inlineStr">
        <is>
          <t>1</t>
        </is>
      </c>
      <c r="J50" t="inlineStr">
        <is>
          <t>No</t>
        </is>
      </c>
      <c r="K50" t="inlineStr">
        <is>
          <t>No</t>
        </is>
      </c>
      <c r="L50" t="inlineStr">
        <is>
          <t>0</t>
        </is>
      </c>
      <c r="N50" t="inlineStr">
        <is>
          <t>New York : McGraw-Hill, c1992.</t>
        </is>
      </c>
      <c r="O50" t="inlineStr">
        <is>
          <t>1992</t>
        </is>
      </c>
      <c r="P50" t="inlineStr">
        <is>
          <t>4th ed.</t>
        </is>
      </c>
      <c r="Q50" t="inlineStr">
        <is>
          <t>eng</t>
        </is>
      </c>
      <c r="R50" t="inlineStr">
        <is>
          <t>nyu</t>
        </is>
      </c>
      <c r="T50" t="inlineStr">
        <is>
          <t xml:space="preserve">CB </t>
        </is>
      </c>
      <c r="U50" t="n">
        <v>3</v>
      </c>
      <c r="V50" t="n">
        <v>3</v>
      </c>
      <c r="W50" t="inlineStr">
        <is>
          <t>2002-04-14</t>
        </is>
      </c>
      <c r="X50" t="inlineStr">
        <is>
          <t>2002-04-14</t>
        </is>
      </c>
      <c r="Y50" t="inlineStr">
        <is>
          <t>1995-11-20</t>
        </is>
      </c>
      <c r="Z50" t="inlineStr">
        <is>
          <t>1995-11-20</t>
        </is>
      </c>
      <c r="AA50" t="n">
        <v>147</v>
      </c>
      <c r="AB50" t="n">
        <v>100</v>
      </c>
      <c r="AC50" t="n">
        <v>690</v>
      </c>
      <c r="AD50" t="n">
        <v>2</v>
      </c>
      <c r="AE50" t="n">
        <v>7</v>
      </c>
      <c r="AF50" t="n">
        <v>3</v>
      </c>
      <c r="AG50" t="n">
        <v>27</v>
      </c>
      <c r="AH50" t="n">
        <v>1</v>
      </c>
      <c r="AI50" t="n">
        <v>10</v>
      </c>
      <c r="AJ50" t="n">
        <v>1</v>
      </c>
      <c r="AK50" t="n">
        <v>7</v>
      </c>
      <c r="AL50" t="n">
        <v>0</v>
      </c>
      <c r="AM50" t="n">
        <v>13</v>
      </c>
      <c r="AN50" t="n">
        <v>1</v>
      </c>
      <c r="AO50" t="n">
        <v>4</v>
      </c>
      <c r="AP50" t="n">
        <v>0</v>
      </c>
      <c r="AQ50" t="n">
        <v>0</v>
      </c>
      <c r="AR50" t="inlineStr">
        <is>
          <t>No</t>
        </is>
      </c>
      <c r="AS50" t="inlineStr">
        <is>
          <t>No</t>
        </is>
      </c>
      <c r="AU50">
        <f>HYPERLINK("https://creighton-primo.hosted.exlibrisgroup.com/primo-explore/search?tab=default_tab&amp;search_scope=EVERYTHING&amp;vid=01CRU&amp;lang=en_US&amp;offset=0&amp;query=any,contains,991001925469702656","Catalog Record")</f>
        <v/>
      </c>
      <c r="AV50">
        <f>HYPERLINK("http://www.worldcat.org/oclc/24318948","WorldCat Record")</f>
        <v/>
      </c>
      <c r="AW50" t="inlineStr">
        <is>
          <t>3373245289:eng</t>
        </is>
      </c>
      <c r="AX50" t="inlineStr">
        <is>
          <t>24318948</t>
        </is>
      </c>
      <c r="AY50" t="inlineStr">
        <is>
          <t>991001925469702656</t>
        </is>
      </c>
      <c r="AZ50" t="inlineStr">
        <is>
          <t>991001925469702656</t>
        </is>
      </c>
      <c r="BA50" t="inlineStr">
        <is>
          <t>2272407260002656</t>
        </is>
      </c>
      <c r="BB50" t="inlineStr">
        <is>
          <t>BOOK</t>
        </is>
      </c>
      <c r="BD50" t="inlineStr">
        <is>
          <t>9780070645769</t>
        </is>
      </c>
      <c r="BE50" t="inlineStr">
        <is>
          <t>32285002104023</t>
        </is>
      </c>
      <c r="BF50" t="inlineStr">
        <is>
          <t>893609255</t>
        </is>
      </c>
    </row>
    <row r="51">
      <c r="B51" t="inlineStr">
        <is>
          <t>CURAL</t>
        </is>
      </c>
      <c r="C51" t="inlineStr">
        <is>
          <t>SHELVES</t>
        </is>
      </c>
      <c r="D51" t="inlineStr">
        <is>
          <t>CB245 .H25 1996</t>
        </is>
      </c>
      <c r="E51" t="inlineStr">
        <is>
          <t>0                      CB 0245000H  25          1996</t>
        </is>
      </c>
      <c r="F51" t="inlineStr">
        <is>
          <t>Origins : the ancient Near Eastern background of some modern western institutions / by William W. Hallo.</t>
        </is>
      </c>
      <c r="H51" t="inlineStr">
        <is>
          <t>No</t>
        </is>
      </c>
      <c r="I51" t="inlineStr">
        <is>
          <t>1</t>
        </is>
      </c>
      <c r="J51" t="inlineStr">
        <is>
          <t>No</t>
        </is>
      </c>
      <c r="K51" t="inlineStr">
        <is>
          <t>No</t>
        </is>
      </c>
      <c r="L51" t="inlineStr">
        <is>
          <t>0</t>
        </is>
      </c>
      <c r="M51" t="inlineStr">
        <is>
          <t>Hallo, William W.</t>
        </is>
      </c>
      <c r="N51" t="inlineStr">
        <is>
          <t>New York : Brill, 1996.</t>
        </is>
      </c>
      <c r="O51" t="inlineStr">
        <is>
          <t>1996</t>
        </is>
      </c>
      <c r="Q51" t="inlineStr">
        <is>
          <t>eng</t>
        </is>
      </c>
      <c r="R51" t="inlineStr">
        <is>
          <t>nyu</t>
        </is>
      </c>
      <c r="S51" t="inlineStr">
        <is>
          <t>Studies in the history of the ancient Near East, 0169-9024 ; v. 6</t>
        </is>
      </c>
      <c r="T51" t="inlineStr">
        <is>
          <t xml:space="preserve">CB </t>
        </is>
      </c>
      <c r="U51" t="n">
        <v>2</v>
      </c>
      <c r="V51" t="n">
        <v>2</v>
      </c>
      <c r="W51" t="inlineStr">
        <is>
          <t>1996-11-19</t>
        </is>
      </c>
      <c r="X51" t="inlineStr">
        <is>
          <t>1996-11-19</t>
        </is>
      </c>
      <c r="Y51" t="inlineStr">
        <is>
          <t>1996-10-28</t>
        </is>
      </c>
      <c r="Z51" t="inlineStr">
        <is>
          <t>1996-10-28</t>
        </is>
      </c>
      <c r="AA51" t="n">
        <v>299</v>
      </c>
      <c r="AB51" t="n">
        <v>201</v>
      </c>
      <c r="AC51" t="n">
        <v>235</v>
      </c>
      <c r="AD51" t="n">
        <v>3</v>
      </c>
      <c r="AE51" t="n">
        <v>3</v>
      </c>
      <c r="AF51" t="n">
        <v>10</v>
      </c>
      <c r="AG51" t="n">
        <v>12</v>
      </c>
      <c r="AH51" t="n">
        <v>1</v>
      </c>
      <c r="AI51" t="n">
        <v>3</v>
      </c>
      <c r="AJ51" t="n">
        <v>4</v>
      </c>
      <c r="AK51" t="n">
        <v>4</v>
      </c>
      <c r="AL51" t="n">
        <v>4</v>
      </c>
      <c r="AM51" t="n">
        <v>4</v>
      </c>
      <c r="AN51" t="n">
        <v>2</v>
      </c>
      <c r="AO51" t="n">
        <v>2</v>
      </c>
      <c r="AP51" t="n">
        <v>0</v>
      </c>
      <c r="AQ51" t="n">
        <v>0</v>
      </c>
      <c r="AR51" t="inlineStr">
        <is>
          <t>No</t>
        </is>
      </c>
      <c r="AS51" t="inlineStr">
        <is>
          <t>Yes</t>
        </is>
      </c>
      <c r="AT51">
        <f>HYPERLINK("http://catalog.hathitrust.org/Record/003094451","HathiTrust Record")</f>
        <v/>
      </c>
      <c r="AU51">
        <f>HYPERLINK("https://creighton-primo.hosted.exlibrisgroup.com/primo-explore/search?tab=default_tab&amp;search_scope=EVERYTHING&amp;vid=01CRU&amp;lang=en_US&amp;offset=0&amp;query=any,contains,991002606199702656","Catalog Record")</f>
        <v/>
      </c>
      <c r="AV51">
        <f>HYPERLINK("http://www.worldcat.org/oclc/34149445","WorldCat Record")</f>
        <v/>
      </c>
      <c r="AW51" t="inlineStr">
        <is>
          <t>360166:eng</t>
        </is>
      </c>
      <c r="AX51" t="inlineStr">
        <is>
          <t>34149445</t>
        </is>
      </c>
      <c r="AY51" t="inlineStr">
        <is>
          <t>991002606199702656</t>
        </is>
      </c>
      <c r="AZ51" t="inlineStr">
        <is>
          <t>991002606199702656</t>
        </is>
      </c>
      <c r="BA51" t="inlineStr">
        <is>
          <t>2271396060002656</t>
        </is>
      </c>
      <c r="BB51" t="inlineStr">
        <is>
          <t>BOOK</t>
        </is>
      </c>
      <c r="BD51" t="inlineStr">
        <is>
          <t>9789004103283</t>
        </is>
      </c>
      <c r="BE51" t="inlineStr">
        <is>
          <t>32285002369196</t>
        </is>
      </c>
      <c r="BF51" t="inlineStr">
        <is>
          <t>893786330</t>
        </is>
      </c>
    </row>
    <row r="52">
      <c r="B52" t="inlineStr">
        <is>
          <t>CURAL</t>
        </is>
      </c>
      <c r="C52" t="inlineStr">
        <is>
          <t>SHELVES</t>
        </is>
      </c>
      <c r="D52" t="inlineStr">
        <is>
          <t>CB245 .H429 1997</t>
        </is>
      </c>
      <c r="E52" t="inlineStr">
        <is>
          <t>0                      CB 0245000H  429         1997</t>
        </is>
      </c>
      <c r="F52" t="inlineStr">
        <is>
          <t>The idea of decline in Western history / Arthur Herman.</t>
        </is>
      </c>
      <c r="H52" t="inlineStr">
        <is>
          <t>No</t>
        </is>
      </c>
      <c r="I52" t="inlineStr">
        <is>
          <t>1</t>
        </is>
      </c>
      <c r="J52" t="inlineStr">
        <is>
          <t>No</t>
        </is>
      </c>
      <c r="K52" t="inlineStr">
        <is>
          <t>No</t>
        </is>
      </c>
      <c r="L52" t="inlineStr">
        <is>
          <t>0</t>
        </is>
      </c>
      <c r="M52" t="inlineStr">
        <is>
          <t>Herman, Arthur, 1956-</t>
        </is>
      </c>
      <c r="N52" t="inlineStr">
        <is>
          <t>New York : Free Press, c1997.</t>
        </is>
      </c>
      <c r="O52" t="inlineStr">
        <is>
          <t>1997</t>
        </is>
      </c>
      <c r="Q52" t="inlineStr">
        <is>
          <t>eng</t>
        </is>
      </c>
      <c r="R52" t="inlineStr">
        <is>
          <t>nyu</t>
        </is>
      </c>
      <c r="T52" t="inlineStr">
        <is>
          <t xml:space="preserve">CB </t>
        </is>
      </c>
      <c r="U52" t="n">
        <v>3</v>
      </c>
      <c r="V52" t="n">
        <v>3</v>
      </c>
      <c r="W52" t="inlineStr">
        <is>
          <t>2008-10-28</t>
        </is>
      </c>
      <c r="X52" t="inlineStr">
        <is>
          <t>2008-10-28</t>
        </is>
      </c>
      <c r="Y52" t="inlineStr">
        <is>
          <t>1997-12-15</t>
        </is>
      </c>
      <c r="Z52" t="inlineStr">
        <is>
          <t>1997-12-15</t>
        </is>
      </c>
      <c r="AA52" t="n">
        <v>856</v>
      </c>
      <c r="AB52" t="n">
        <v>732</v>
      </c>
      <c r="AC52" t="n">
        <v>753</v>
      </c>
      <c r="AD52" t="n">
        <v>5</v>
      </c>
      <c r="AE52" t="n">
        <v>5</v>
      </c>
      <c r="AF52" t="n">
        <v>28</v>
      </c>
      <c r="AG52" t="n">
        <v>28</v>
      </c>
      <c r="AH52" t="n">
        <v>9</v>
      </c>
      <c r="AI52" t="n">
        <v>9</v>
      </c>
      <c r="AJ52" t="n">
        <v>7</v>
      </c>
      <c r="AK52" t="n">
        <v>7</v>
      </c>
      <c r="AL52" t="n">
        <v>15</v>
      </c>
      <c r="AM52" t="n">
        <v>15</v>
      </c>
      <c r="AN52" t="n">
        <v>4</v>
      </c>
      <c r="AO52" t="n">
        <v>4</v>
      </c>
      <c r="AP52" t="n">
        <v>0</v>
      </c>
      <c r="AQ52" t="n">
        <v>0</v>
      </c>
      <c r="AR52" t="inlineStr">
        <is>
          <t>No</t>
        </is>
      </c>
      <c r="AS52" t="inlineStr">
        <is>
          <t>Yes</t>
        </is>
      </c>
      <c r="AT52">
        <f>HYPERLINK("http://catalog.hathitrust.org/Record/003122841","HathiTrust Record")</f>
        <v/>
      </c>
      <c r="AU52">
        <f>HYPERLINK("https://creighton-primo.hosted.exlibrisgroup.com/primo-explore/search?tab=default_tab&amp;search_scope=EVERYTHING&amp;vid=01CRU&amp;lang=en_US&amp;offset=0&amp;query=any,contains,991002705189702656","Catalog Record")</f>
        <v/>
      </c>
      <c r="AV52">
        <f>HYPERLINK("http://www.worldcat.org/oclc/35318248","WorldCat Record")</f>
        <v/>
      </c>
      <c r="AW52" t="inlineStr">
        <is>
          <t>20645177:eng</t>
        </is>
      </c>
      <c r="AX52" t="inlineStr">
        <is>
          <t>35318248</t>
        </is>
      </c>
      <c r="AY52" t="inlineStr">
        <is>
          <t>991002705189702656</t>
        </is>
      </c>
      <c r="AZ52" t="inlineStr">
        <is>
          <t>991002705189702656</t>
        </is>
      </c>
      <c r="BA52" t="inlineStr">
        <is>
          <t>2255224730002656</t>
        </is>
      </c>
      <c r="BB52" t="inlineStr">
        <is>
          <t>BOOK</t>
        </is>
      </c>
      <c r="BD52" t="inlineStr">
        <is>
          <t>9780684827919</t>
        </is>
      </c>
      <c r="BE52" t="inlineStr">
        <is>
          <t>32285003283388</t>
        </is>
      </c>
      <c r="BF52" t="inlineStr">
        <is>
          <t>893698139</t>
        </is>
      </c>
    </row>
    <row r="53">
      <c r="B53" t="inlineStr">
        <is>
          <t>CURAL</t>
        </is>
      </c>
      <c r="C53" t="inlineStr">
        <is>
          <t>SHELVES</t>
        </is>
      </c>
      <c r="D53" t="inlineStr">
        <is>
          <t>CB245 .K28 1995</t>
        </is>
      </c>
      <c r="E53" t="inlineStr">
        <is>
          <t>0                      CB 0245000K  28          1995</t>
        </is>
      </c>
      <c r="F53" t="inlineStr">
        <is>
          <t>The Western heritage / Donald Kagan, Steven Ozment, Frank M. Turner.</t>
        </is>
      </c>
      <c r="H53" t="inlineStr">
        <is>
          <t>No</t>
        </is>
      </c>
      <c r="I53" t="inlineStr">
        <is>
          <t>1</t>
        </is>
      </c>
      <c r="J53" t="inlineStr">
        <is>
          <t>No</t>
        </is>
      </c>
      <c r="K53" t="inlineStr">
        <is>
          <t>No</t>
        </is>
      </c>
      <c r="L53" t="inlineStr">
        <is>
          <t>0</t>
        </is>
      </c>
      <c r="M53" t="inlineStr">
        <is>
          <t>Kagan, Donald.</t>
        </is>
      </c>
      <c r="N53" t="inlineStr">
        <is>
          <t>Englewood Cliffs, N.J. : Prentice Hall, c1995.</t>
        </is>
      </c>
      <c r="O53" t="inlineStr">
        <is>
          <t>1995</t>
        </is>
      </c>
      <c r="P53" t="inlineStr">
        <is>
          <t>5th ed.</t>
        </is>
      </c>
      <c r="Q53" t="inlineStr">
        <is>
          <t>eng</t>
        </is>
      </c>
      <c r="R53" t="inlineStr">
        <is>
          <t>nyu</t>
        </is>
      </c>
      <c r="T53" t="inlineStr">
        <is>
          <t xml:space="preserve">CB </t>
        </is>
      </c>
      <c r="U53" t="n">
        <v>8</v>
      </c>
      <c r="V53" t="n">
        <v>8</v>
      </c>
      <c r="W53" t="inlineStr">
        <is>
          <t>2010-06-02</t>
        </is>
      </c>
      <c r="X53" t="inlineStr">
        <is>
          <t>2010-06-02</t>
        </is>
      </c>
      <c r="Y53" t="inlineStr">
        <is>
          <t>1995-11-15</t>
        </is>
      </c>
      <c r="Z53" t="inlineStr">
        <is>
          <t>1995-11-15</t>
        </is>
      </c>
      <c r="AA53" t="n">
        <v>104</v>
      </c>
      <c r="AB53" t="n">
        <v>81</v>
      </c>
      <c r="AC53" t="n">
        <v>84</v>
      </c>
      <c r="AD53" t="n">
        <v>2</v>
      </c>
      <c r="AE53" t="n">
        <v>2</v>
      </c>
      <c r="AF53" t="n">
        <v>3</v>
      </c>
      <c r="AG53" t="n">
        <v>3</v>
      </c>
      <c r="AH53" t="n">
        <v>1</v>
      </c>
      <c r="AI53" t="n">
        <v>1</v>
      </c>
      <c r="AJ53" t="n">
        <v>0</v>
      </c>
      <c r="AK53" t="n">
        <v>0</v>
      </c>
      <c r="AL53" t="n">
        <v>3</v>
      </c>
      <c r="AM53" t="n">
        <v>3</v>
      </c>
      <c r="AN53" t="n">
        <v>0</v>
      </c>
      <c r="AO53" t="n">
        <v>0</v>
      </c>
      <c r="AP53" t="n">
        <v>0</v>
      </c>
      <c r="AQ53" t="n">
        <v>0</v>
      </c>
      <c r="AR53" t="inlineStr">
        <is>
          <t>No</t>
        </is>
      </c>
      <c r="AS53" t="inlineStr">
        <is>
          <t>Yes</t>
        </is>
      </c>
      <c r="AT53">
        <f>HYPERLINK("http://catalog.hathitrust.org/Record/012269419","HathiTrust Record")</f>
        <v/>
      </c>
      <c r="AU53">
        <f>HYPERLINK("https://creighton-primo.hosted.exlibrisgroup.com/primo-explore/search?tab=default_tab&amp;search_scope=EVERYTHING&amp;vid=01CRU&amp;lang=en_US&amp;offset=0&amp;query=any,contains,991002345439702656","Catalog Record")</f>
        <v/>
      </c>
      <c r="AV53">
        <f>HYPERLINK("http://www.worldcat.org/oclc/30543924","WorldCat Record")</f>
        <v/>
      </c>
      <c r="AW53" t="inlineStr">
        <is>
          <t>4919144533:eng</t>
        </is>
      </c>
      <c r="AX53" t="inlineStr">
        <is>
          <t>30543924</t>
        </is>
      </c>
      <c r="AY53" t="inlineStr">
        <is>
          <t>991002345439702656</t>
        </is>
      </c>
      <c r="AZ53" t="inlineStr">
        <is>
          <t>991002345439702656</t>
        </is>
      </c>
      <c r="BA53" t="inlineStr">
        <is>
          <t>2260097700002656</t>
        </is>
      </c>
      <c r="BB53" t="inlineStr">
        <is>
          <t>BOOK</t>
        </is>
      </c>
      <c r="BD53" t="inlineStr">
        <is>
          <t>9780023632624</t>
        </is>
      </c>
      <c r="BE53" t="inlineStr">
        <is>
          <t>32285002103413</t>
        </is>
      </c>
      <c r="BF53" t="inlineStr">
        <is>
          <t>893886143</t>
        </is>
      </c>
    </row>
    <row r="54">
      <c r="B54" t="inlineStr">
        <is>
          <t>CURAL</t>
        </is>
      </c>
      <c r="C54" t="inlineStr">
        <is>
          <t>SHELVES</t>
        </is>
      </c>
      <c r="D54" t="inlineStr">
        <is>
          <t>CB245 .K562 2000</t>
        </is>
      </c>
      <c r="E54" t="inlineStr">
        <is>
          <t>0                      CB 0245000K  562         2000</t>
        </is>
      </c>
      <c r="F54" t="inlineStr">
        <is>
          <t>Western civilization : a social and cultural history, since 1300 / Margaret L. King.</t>
        </is>
      </c>
      <c r="H54" t="inlineStr">
        <is>
          <t>No</t>
        </is>
      </c>
      <c r="I54" t="inlineStr">
        <is>
          <t>1</t>
        </is>
      </c>
      <c r="J54" t="inlineStr">
        <is>
          <t>No</t>
        </is>
      </c>
      <c r="K54" t="inlineStr">
        <is>
          <t>No</t>
        </is>
      </c>
      <c r="L54" t="inlineStr">
        <is>
          <t>0</t>
        </is>
      </c>
      <c r="M54" t="inlineStr">
        <is>
          <t>King, Margaret L.</t>
        </is>
      </c>
      <c r="N54" t="inlineStr">
        <is>
          <t>Upper Saddle River : Prentice Hall, c2000.</t>
        </is>
      </c>
      <c r="O54" t="inlineStr">
        <is>
          <t>2000</t>
        </is>
      </c>
      <c r="Q54" t="inlineStr">
        <is>
          <t>eng</t>
        </is>
      </c>
      <c r="R54" t="inlineStr">
        <is>
          <t>nju</t>
        </is>
      </c>
      <c r="T54" t="inlineStr">
        <is>
          <t xml:space="preserve">CB </t>
        </is>
      </c>
      <c r="U54" t="n">
        <v>1</v>
      </c>
      <c r="V54" t="n">
        <v>1</v>
      </c>
      <c r="W54" t="inlineStr">
        <is>
          <t>2008-05-14</t>
        </is>
      </c>
      <c r="X54" t="inlineStr">
        <is>
          <t>2008-05-14</t>
        </is>
      </c>
      <c r="Y54" t="inlineStr">
        <is>
          <t>2008-05-14</t>
        </is>
      </c>
      <c r="Z54" t="inlineStr">
        <is>
          <t>2008-05-14</t>
        </is>
      </c>
      <c r="AA54" t="n">
        <v>16</v>
      </c>
      <c r="AB54" t="n">
        <v>11</v>
      </c>
      <c r="AC54" t="n">
        <v>175</v>
      </c>
      <c r="AD54" t="n">
        <v>1</v>
      </c>
      <c r="AE54" t="n">
        <v>1</v>
      </c>
      <c r="AF54" t="n">
        <v>0</v>
      </c>
      <c r="AG54" t="n">
        <v>4</v>
      </c>
      <c r="AH54" t="n">
        <v>0</v>
      </c>
      <c r="AI54" t="n">
        <v>1</v>
      </c>
      <c r="AJ54" t="n">
        <v>0</v>
      </c>
      <c r="AK54" t="n">
        <v>0</v>
      </c>
      <c r="AL54" t="n">
        <v>0</v>
      </c>
      <c r="AM54" t="n">
        <v>4</v>
      </c>
      <c r="AN54" t="n">
        <v>0</v>
      </c>
      <c r="AO54" t="n">
        <v>0</v>
      </c>
      <c r="AP54" t="n">
        <v>0</v>
      </c>
      <c r="AQ54" t="n">
        <v>0</v>
      </c>
      <c r="AR54" t="inlineStr">
        <is>
          <t>No</t>
        </is>
      </c>
      <c r="AS54" t="inlineStr">
        <is>
          <t>No</t>
        </is>
      </c>
      <c r="AU54">
        <f>HYPERLINK("https://creighton-primo.hosted.exlibrisgroup.com/primo-explore/search?tab=default_tab&amp;search_scope=EVERYTHING&amp;vid=01CRU&amp;lang=en_US&amp;offset=0&amp;query=any,contains,991005221189702656","Catalog Record")</f>
        <v/>
      </c>
      <c r="AV54">
        <f>HYPERLINK("http://www.worldcat.org/oclc/45535220","WorldCat Record")</f>
        <v/>
      </c>
      <c r="AW54" t="inlineStr">
        <is>
          <t>983939:eng</t>
        </is>
      </c>
      <c r="AX54" t="inlineStr">
        <is>
          <t>45535220</t>
        </is>
      </c>
      <c r="AY54" t="inlineStr">
        <is>
          <t>991005221189702656</t>
        </is>
      </c>
      <c r="AZ54" t="inlineStr">
        <is>
          <t>991005221189702656</t>
        </is>
      </c>
      <c r="BA54" t="inlineStr">
        <is>
          <t>2271739090002656</t>
        </is>
      </c>
      <c r="BB54" t="inlineStr">
        <is>
          <t>BOOK</t>
        </is>
      </c>
      <c r="BD54" t="inlineStr">
        <is>
          <t>9780130289230</t>
        </is>
      </c>
      <c r="BE54" t="inlineStr">
        <is>
          <t>32285005407985</t>
        </is>
      </c>
      <c r="BF54" t="inlineStr">
        <is>
          <t>893607030</t>
        </is>
      </c>
    </row>
    <row r="55">
      <c r="B55" t="inlineStr">
        <is>
          <t>CURAL</t>
        </is>
      </c>
      <c r="C55" t="inlineStr">
        <is>
          <t>SHELVES</t>
        </is>
      </c>
      <c r="D55" t="inlineStr">
        <is>
          <t>CB245 .M66 2001</t>
        </is>
      </c>
      <c r="E55" t="inlineStr">
        <is>
          <t>0                      CB 0245000M  66          2001</t>
        </is>
      </c>
      <c r="F55" t="inlineStr">
        <is>
          <t>Imperial ends : the decay, collapse, and revival of empires / Alexander J. Motyl.</t>
        </is>
      </c>
      <c r="H55" t="inlineStr">
        <is>
          <t>No</t>
        </is>
      </c>
      <c r="I55" t="inlineStr">
        <is>
          <t>1</t>
        </is>
      </c>
      <c r="J55" t="inlineStr">
        <is>
          <t>No</t>
        </is>
      </c>
      <c r="K55" t="inlineStr">
        <is>
          <t>No</t>
        </is>
      </c>
      <c r="L55" t="inlineStr">
        <is>
          <t>0</t>
        </is>
      </c>
      <c r="M55" t="inlineStr">
        <is>
          <t>Motyl, Alexander J.</t>
        </is>
      </c>
      <c r="N55" t="inlineStr">
        <is>
          <t>New York : Columbia University Press, c2001.</t>
        </is>
      </c>
      <c r="O55" t="inlineStr">
        <is>
          <t>2001</t>
        </is>
      </c>
      <c r="Q55" t="inlineStr">
        <is>
          <t>eng</t>
        </is>
      </c>
      <c r="R55" t="inlineStr">
        <is>
          <t>nyu</t>
        </is>
      </c>
      <c r="T55" t="inlineStr">
        <is>
          <t xml:space="preserve">CB </t>
        </is>
      </c>
      <c r="U55" t="n">
        <v>1</v>
      </c>
      <c r="V55" t="n">
        <v>1</v>
      </c>
      <c r="W55" t="inlineStr">
        <is>
          <t>2004-08-16</t>
        </is>
      </c>
      <c r="X55" t="inlineStr">
        <is>
          <t>2004-08-16</t>
        </is>
      </c>
      <c r="Y55" t="inlineStr">
        <is>
          <t>2004-08-16</t>
        </is>
      </c>
      <c r="Z55" t="inlineStr">
        <is>
          <t>2004-08-16</t>
        </is>
      </c>
      <c r="AA55" t="n">
        <v>343</v>
      </c>
      <c r="AB55" t="n">
        <v>259</v>
      </c>
      <c r="AC55" t="n">
        <v>781</v>
      </c>
      <c r="AD55" t="n">
        <v>3</v>
      </c>
      <c r="AE55" t="n">
        <v>27</v>
      </c>
      <c r="AF55" t="n">
        <v>13</v>
      </c>
      <c r="AG55" t="n">
        <v>27</v>
      </c>
      <c r="AH55" t="n">
        <v>4</v>
      </c>
      <c r="AI55" t="n">
        <v>7</v>
      </c>
      <c r="AJ55" t="n">
        <v>5</v>
      </c>
      <c r="AK55" t="n">
        <v>5</v>
      </c>
      <c r="AL55" t="n">
        <v>7</v>
      </c>
      <c r="AM55" t="n">
        <v>9</v>
      </c>
      <c r="AN55" t="n">
        <v>2</v>
      </c>
      <c r="AO55" t="n">
        <v>12</v>
      </c>
      <c r="AP55" t="n">
        <v>0</v>
      </c>
      <c r="AQ55" t="n">
        <v>0</v>
      </c>
      <c r="AR55" t="inlineStr">
        <is>
          <t>No</t>
        </is>
      </c>
      <c r="AS55" t="inlineStr">
        <is>
          <t>No</t>
        </is>
      </c>
      <c r="AU55">
        <f>HYPERLINK("https://creighton-primo.hosted.exlibrisgroup.com/primo-explore/search?tab=default_tab&amp;search_scope=EVERYTHING&amp;vid=01CRU&amp;lang=en_US&amp;offset=0&amp;query=any,contains,991004346939702656","Catalog Record")</f>
        <v/>
      </c>
      <c r="AV55">
        <f>HYPERLINK("http://www.worldcat.org/oclc/45757759","WorldCat Record")</f>
        <v/>
      </c>
      <c r="AW55" t="inlineStr">
        <is>
          <t>793037730:eng</t>
        </is>
      </c>
      <c r="AX55" t="inlineStr">
        <is>
          <t>45757759</t>
        </is>
      </c>
      <c r="AY55" t="inlineStr">
        <is>
          <t>991004346939702656</t>
        </is>
      </c>
      <c r="AZ55" t="inlineStr">
        <is>
          <t>991004346939702656</t>
        </is>
      </c>
      <c r="BA55" t="inlineStr">
        <is>
          <t>2265023630002656</t>
        </is>
      </c>
      <c r="BB55" t="inlineStr">
        <is>
          <t>BOOK</t>
        </is>
      </c>
      <c r="BD55" t="inlineStr">
        <is>
          <t>9780231121101</t>
        </is>
      </c>
      <c r="BE55" t="inlineStr">
        <is>
          <t>32285004981436</t>
        </is>
      </c>
      <c r="BF55" t="inlineStr">
        <is>
          <t>893353348</t>
        </is>
      </c>
    </row>
    <row r="56">
      <c r="B56" t="inlineStr">
        <is>
          <t>CURAL</t>
        </is>
      </c>
      <c r="C56" t="inlineStr">
        <is>
          <t>SHELVES</t>
        </is>
      </c>
      <c r="D56" t="inlineStr">
        <is>
          <t>CB245 .R28 1969</t>
        </is>
      </c>
      <c r="E56" t="inlineStr">
        <is>
          <t>0                      CB 0245000R  28          1969</t>
        </is>
      </c>
      <c r="F56" t="inlineStr">
        <is>
          <t>The Spartan tradition in European thought.</t>
        </is>
      </c>
      <c r="H56" t="inlineStr">
        <is>
          <t>No</t>
        </is>
      </c>
      <c r="I56" t="inlineStr">
        <is>
          <t>1</t>
        </is>
      </c>
      <c r="J56" t="inlineStr">
        <is>
          <t>No</t>
        </is>
      </c>
      <c r="K56" t="inlineStr">
        <is>
          <t>No</t>
        </is>
      </c>
      <c r="L56" t="inlineStr">
        <is>
          <t>0</t>
        </is>
      </c>
      <c r="M56" t="inlineStr">
        <is>
          <t>Rawson, Elizabeth.</t>
        </is>
      </c>
      <c r="N56" t="inlineStr">
        <is>
          <t>Oxford, Clarendon P., 1969.</t>
        </is>
      </c>
      <c r="O56" t="inlineStr">
        <is>
          <t>1969</t>
        </is>
      </c>
      <c r="Q56" t="inlineStr">
        <is>
          <t>eng</t>
        </is>
      </c>
      <c r="R56" t="inlineStr">
        <is>
          <t>enk</t>
        </is>
      </c>
      <c r="T56" t="inlineStr">
        <is>
          <t xml:space="preserve">CB </t>
        </is>
      </c>
      <c r="U56" t="n">
        <v>1</v>
      </c>
      <c r="V56" t="n">
        <v>1</v>
      </c>
      <c r="W56" t="inlineStr">
        <is>
          <t>2010-05-24</t>
        </is>
      </c>
      <c r="X56" t="inlineStr">
        <is>
          <t>2010-05-24</t>
        </is>
      </c>
      <c r="Y56" t="inlineStr">
        <is>
          <t>1996-08-15</t>
        </is>
      </c>
      <c r="Z56" t="inlineStr">
        <is>
          <t>1996-08-15</t>
        </is>
      </c>
      <c r="AA56" t="n">
        <v>608</v>
      </c>
      <c r="AB56" t="n">
        <v>452</v>
      </c>
      <c r="AC56" t="n">
        <v>549</v>
      </c>
      <c r="AD56" t="n">
        <v>2</v>
      </c>
      <c r="AE56" t="n">
        <v>2</v>
      </c>
      <c r="AF56" t="n">
        <v>23</v>
      </c>
      <c r="AG56" t="n">
        <v>27</v>
      </c>
      <c r="AH56" t="n">
        <v>9</v>
      </c>
      <c r="AI56" t="n">
        <v>11</v>
      </c>
      <c r="AJ56" t="n">
        <v>7</v>
      </c>
      <c r="AK56" t="n">
        <v>8</v>
      </c>
      <c r="AL56" t="n">
        <v>15</v>
      </c>
      <c r="AM56" t="n">
        <v>18</v>
      </c>
      <c r="AN56" t="n">
        <v>1</v>
      </c>
      <c r="AO56" t="n">
        <v>1</v>
      </c>
      <c r="AP56" t="n">
        <v>0</v>
      </c>
      <c r="AQ56" t="n">
        <v>0</v>
      </c>
      <c r="AR56" t="inlineStr">
        <is>
          <t>No</t>
        </is>
      </c>
      <c r="AS56" t="inlineStr">
        <is>
          <t>Yes</t>
        </is>
      </c>
      <c r="AT56">
        <f>HYPERLINK("http://catalog.hathitrust.org/Record/001962187","HathiTrust Record")</f>
        <v/>
      </c>
      <c r="AU56">
        <f>HYPERLINK("https://creighton-primo.hosted.exlibrisgroup.com/primo-explore/search?tab=default_tab&amp;search_scope=EVERYTHING&amp;vid=01CRU&amp;lang=en_US&amp;offset=0&amp;query=any,contains,991000303199702656","Catalog Record")</f>
        <v/>
      </c>
      <c r="AV56">
        <f>HYPERLINK("http://www.worldcat.org/oclc/69198","WorldCat Record")</f>
        <v/>
      </c>
      <c r="AW56" t="inlineStr">
        <is>
          <t>1237158:eng</t>
        </is>
      </c>
      <c r="AX56" t="inlineStr">
        <is>
          <t>69198</t>
        </is>
      </c>
      <c r="AY56" t="inlineStr">
        <is>
          <t>991000303199702656</t>
        </is>
      </c>
      <c r="AZ56" t="inlineStr">
        <is>
          <t>991000303199702656</t>
        </is>
      </c>
      <c r="BA56" t="inlineStr">
        <is>
          <t>2259510360002656</t>
        </is>
      </c>
      <c r="BB56" t="inlineStr">
        <is>
          <t>BOOK</t>
        </is>
      </c>
      <c r="BD56" t="inlineStr">
        <is>
          <t>9780198143505</t>
        </is>
      </c>
      <c r="BE56" t="inlineStr">
        <is>
          <t>32285002264843</t>
        </is>
      </c>
      <c r="BF56" t="inlineStr">
        <is>
          <t>893884274</t>
        </is>
      </c>
    </row>
    <row r="57">
      <c r="B57" t="inlineStr">
        <is>
          <t>CURAL</t>
        </is>
      </c>
      <c r="C57" t="inlineStr">
        <is>
          <t>SHELVES</t>
        </is>
      </c>
      <c r="D57" t="inlineStr">
        <is>
          <t>CB245 .S84 1995</t>
        </is>
      </c>
      <c r="E57" t="inlineStr">
        <is>
          <t>0                      CB 0245000S  84          1995</t>
        </is>
      </c>
      <c r="F57" t="inlineStr">
        <is>
          <t>Men, women, and history : a biographical reader in Western civilization since the sixteenth century / Roland N. Stromberg.</t>
        </is>
      </c>
      <c r="H57" t="inlineStr">
        <is>
          <t>No</t>
        </is>
      </c>
      <c r="I57" t="inlineStr">
        <is>
          <t>1</t>
        </is>
      </c>
      <c r="J57" t="inlineStr">
        <is>
          <t>No</t>
        </is>
      </c>
      <c r="K57" t="inlineStr">
        <is>
          <t>No</t>
        </is>
      </c>
      <c r="L57" t="inlineStr">
        <is>
          <t>0</t>
        </is>
      </c>
      <c r="M57" t="inlineStr">
        <is>
          <t>Stromberg, Roland N., 1916-2004.</t>
        </is>
      </c>
      <c r="N57" t="inlineStr">
        <is>
          <t>Englewood Cliffs, N.J. : Prentice Hall, c1995.</t>
        </is>
      </c>
      <c r="O57" t="inlineStr">
        <is>
          <t>1995</t>
        </is>
      </c>
      <c r="Q57" t="inlineStr">
        <is>
          <t>eng</t>
        </is>
      </c>
      <c r="R57" t="inlineStr">
        <is>
          <t>nju</t>
        </is>
      </c>
      <c r="T57" t="inlineStr">
        <is>
          <t xml:space="preserve">CB </t>
        </is>
      </c>
      <c r="U57" t="n">
        <v>2</v>
      </c>
      <c r="V57" t="n">
        <v>2</v>
      </c>
      <c r="W57" t="inlineStr">
        <is>
          <t>1995-12-18</t>
        </is>
      </c>
      <c r="X57" t="inlineStr">
        <is>
          <t>1995-12-18</t>
        </is>
      </c>
      <c r="Y57" t="inlineStr">
        <is>
          <t>1995-11-20</t>
        </is>
      </c>
      <c r="Z57" t="inlineStr">
        <is>
          <t>1995-11-20</t>
        </is>
      </c>
      <c r="AA57" t="n">
        <v>95</v>
      </c>
      <c r="AB57" t="n">
        <v>80</v>
      </c>
      <c r="AC57" t="n">
        <v>80</v>
      </c>
      <c r="AD57" t="n">
        <v>2</v>
      </c>
      <c r="AE57" t="n">
        <v>2</v>
      </c>
      <c r="AF57" t="n">
        <v>4</v>
      </c>
      <c r="AG57" t="n">
        <v>4</v>
      </c>
      <c r="AH57" t="n">
        <v>0</v>
      </c>
      <c r="AI57" t="n">
        <v>0</v>
      </c>
      <c r="AJ57" t="n">
        <v>0</v>
      </c>
      <c r="AK57" t="n">
        <v>0</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HYPERLINK("https://creighton-primo.hosted.exlibrisgroup.com/primo-explore/search?tab=default_tab&amp;search_scope=EVERYTHING&amp;vid=01CRU&amp;lang=en_US&amp;offset=0&amp;query=any,contains,991002336299702656","Catalog Record")</f>
        <v/>
      </c>
      <c r="AV57">
        <f>HYPERLINK("http://www.worldcat.org/oclc/30400169","WorldCat Record")</f>
        <v/>
      </c>
      <c r="AW57" t="inlineStr">
        <is>
          <t>836876619:eng</t>
        </is>
      </c>
      <c r="AX57" t="inlineStr">
        <is>
          <t>30400169</t>
        </is>
      </c>
      <c r="AY57" t="inlineStr">
        <is>
          <t>991002336299702656</t>
        </is>
      </c>
      <c r="AZ57" t="inlineStr">
        <is>
          <t>991002336299702656</t>
        </is>
      </c>
      <c r="BA57" t="inlineStr">
        <is>
          <t>2265841370002656</t>
        </is>
      </c>
      <c r="BB57" t="inlineStr">
        <is>
          <t>BOOK</t>
        </is>
      </c>
      <c r="BD57" t="inlineStr">
        <is>
          <t>9780131466715</t>
        </is>
      </c>
      <c r="BE57" t="inlineStr">
        <is>
          <t>32285002103983</t>
        </is>
      </c>
      <c r="BF57" t="inlineStr">
        <is>
          <t>893257167</t>
        </is>
      </c>
    </row>
    <row r="58">
      <c r="B58" t="inlineStr">
        <is>
          <t>CURAL</t>
        </is>
      </c>
      <c r="C58" t="inlineStr">
        <is>
          <t>SHELVES</t>
        </is>
      </c>
      <c r="D58" t="inlineStr">
        <is>
          <t>CB245 .T33 1990</t>
        </is>
      </c>
      <c r="E58" t="inlineStr">
        <is>
          <t>0                      CB 0245000T  33          1990</t>
        </is>
      </c>
      <c r="F58" t="inlineStr">
        <is>
          <t>Greek fire / Oliver Taplin.</t>
        </is>
      </c>
      <c r="H58" t="inlineStr">
        <is>
          <t>No</t>
        </is>
      </c>
      <c r="I58" t="inlineStr">
        <is>
          <t>1</t>
        </is>
      </c>
      <c r="J58" t="inlineStr">
        <is>
          <t>No</t>
        </is>
      </c>
      <c r="K58" t="inlineStr">
        <is>
          <t>No</t>
        </is>
      </c>
      <c r="L58" t="inlineStr">
        <is>
          <t>0</t>
        </is>
      </c>
      <c r="M58" t="inlineStr">
        <is>
          <t>Taplin, Oliver.</t>
        </is>
      </c>
      <c r="N58" t="inlineStr">
        <is>
          <t>New York : Atheneum, 1990, c1989.</t>
        </is>
      </c>
      <c r="O58" t="inlineStr">
        <is>
          <t>1990</t>
        </is>
      </c>
      <c r="Q58" t="inlineStr">
        <is>
          <t>eng</t>
        </is>
      </c>
      <c r="R58" t="inlineStr">
        <is>
          <t>nyu</t>
        </is>
      </c>
      <c r="T58" t="inlineStr">
        <is>
          <t xml:space="preserve">CB </t>
        </is>
      </c>
      <c r="U58" t="n">
        <v>3</v>
      </c>
      <c r="V58" t="n">
        <v>3</v>
      </c>
      <c r="W58" t="inlineStr">
        <is>
          <t>2010-05-24</t>
        </is>
      </c>
      <c r="X58" t="inlineStr">
        <is>
          <t>2010-05-24</t>
        </is>
      </c>
      <c r="Y58" t="inlineStr">
        <is>
          <t>1991-02-08</t>
        </is>
      </c>
      <c r="Z58" t="inlineStr">
        <is>
          <t>1991-02-08</t>
        </is>
      </c>
      <c r="AA58" t="n">
        <v>494</v>
      </c>
      <c r="AB58" t="n">
        <v>451</v>
      </c>
      <c r="AC58" t="n">
        <v>514</v>
      </c>
      <c r="AD58" t="n">
        <v>3</v>
      </c>
      <c r="AE58" t="n">
        <v>4</v>
      </c>
      <c r="AF58" t="n">
        <v>16</v>
      </c>
      <c r="AG58" t="n">
        <v>19</v>
      </c>
      <c r="AH58" t="n">
        <v>6</v>
      </c>
      <c r="AI58" t="n">
        <v>6</v>
      </c>
      <c r="AJ58" t="n">
        <v>1</v>
      </c>
      <c r="AK58" t="n">
        <v>2</v>
      </c>
      <c r="AL58" t="n">
        <v>11</v>
      </c>
      <c r="AM58" t="n">
        <v>13</v>
      </c>
      <c r="AN58" t="n">
        <v>2</v>
      </c>
      <c r="AO58" t="n">
        <v>3</v>
      </c>
      <c r="AP58" t="n">
        <v>0</v>
      </c>
      <c r="AQ58" t="n">
        <v>0</v>
      </c>
      <c r="AR58" t="inlineStr">
        <is>
          <t>No</t>
        </is>
      </c>
      <c r="AS58" t="inlineStr">
        <is>
          <t>No</t>
        </is>
      </c>
      <c r="AU58">
        <f>HYPERLINK("https://creighton-primo.hosted.exlibrisgroup.com/primo-explore/search?tab=default_tab&amp;search_scope=EVERYTHING&amp;vid=01CRU&amp;lang=en_US&amp;offset=0&amp;query=any,contains,991001536579702656","Catalog Record")</f>
        <v/>
      </c>
      <c r="AV58">
        <f>HYPERLINK("http://www.worldcat.org/oclc/20089680","WorldCat Record")</f>
        <v/>
      </c>
      <c r="AW58" t="inlineStr">
        <is>
          <t>21803993:eng</t>
        </is>
      </c>
      <c r="AX58" t="inlineStr">
        <is>
          <t>20089680</t>
        </is>
      </c>
      <c r="AY58" t="inlineStr">
        <is>
          <t>991001536579702656</t>
        </is>
      </c>
      <c r="AZ58" t="inlineStr">
        <is>
          <t>991001536579702656</t>
        </is>
      </c>
      <c r="BA58" t="inlineStr">
        <is>
          <t>2272314520002656</t>
        </is>
      </c>
      <c r="BB58" t="inlineStr">
        <is>
          <t>BOOK</t>
        </is>
      </c>
      <c r="BD58" t="inlineStr">
        <is>
          <t>9780689120961</t>
        </is>
      </c>
      <c r="BE58" t="inlineStr">
        <is>
          <t>32285000464114</t>
        </is>
      </c>
      <c r="BF58" t="inlineStr">
        <is>
          <t>893778853</t>
        </is>
      </c>
    </row>
    <row r="59">
      <c r="B59" t="inlineStr">
        <is>
          <t>CURAL</t>
        </is>
      </c>
      <c r="C59" t="inlineStr">
        <is>
          <t>SHELVES</t>
        </is>
      </c>
      <c r="D59" t="inlineStr">
        <is>
          <t>CB245.S5693 S64</t>
        </is>
      </c>
      <c r="E59" t="inlineStr">
        <is>
          <t>0                      CB 0245000S  5693               S  64</t>
        </is>
      </c>
      <c r="F59" t="inlineStr">
        <is>
          <t>Solzhenitsyn at Harvard : the address, twelve early responses, and six later reflections / Ronald Berman ... [et al.] ; edited by Ronald Berman.</t>
        </is>
      </c>
      <c r="H59" t="inlineStr">
        <is>
          <t>No</t>
        </is>
      </c>
      <c r="I59" t="inlineStr">
        <is>
          <t>1</t>
        </is>
      </c>
      <c r="J59" t="inlineStr">
        <is>
          <t>No</t>
        </is>
      </c>
      <c r="K59" t="inlineStr">
        <is>
          <t>No</t>
        </is>
      </c>
      <c r="L59" t="inlineStr">
        <is>
          <t>0</t>
        </is>
      </c>
      <c r="N59" t="inlineStr">
        <is>
          <t>Washington : Ethics and Public Policy Center, c1980.</t>
        </is>
      </c>
      <c r="O59" t="inlineStr">
        <is>
          <t>1980</t>
        </is>
      </c>
      <c r="Q59" t="inlineStr">
        <is>
          <t>eng</t>
        </is>
      </c>
      <c r="R59" t="inlineStr">
        <is>
          <t>dcu</t>
        </is>
      </c>
      <c r="S59" t="inlineStr">
        <is>
          <t>Ethics and public policy reprints</t>
        </is>
      </c>
      <c r="T59" t="inlineStr">
        <is>
          <t xml:space="preserve">CB </t>
        </is>
      </c>
      <c r="U59" t="n">
        <v>9</v>
      </c>
      <c r="V59" t="n">
        <v>9</v>
      </c>
      <c r="W59" t="inlineStr">
        <is>
          <t>2002-10-02</t>
        </is>
      </c>
      <c r="X59" t="inlineStr">
        <is>
          <t>2002-10-02</t>
        </is>
      </c>
      <c r="Y59" t="inlineStr">
        <is>
          <t>1992-06-01</t>
        </is>
      </c>
      <c r="Z59" t="inlineStr">
        <is>
          <t>1992-06-01</t>
        </is>
      </c>
      <c r="AA59" t="n">
        <v>834</v>
      </c>
      <c r="AB59" t="n">
        <v>770</v>
      </c>
      <c r="AC59" t="n">
        <v>793</v>
      </c>
      <c r="AD59" t="n">
        <v>7</v>
      </c>
      <c r="AE59" t="n">
        <v>7</v>
      </c>
      <c r="AF59" t="n">
        <v>38</v>
      </c>
      <c r="AG59" t="n">
        <v>38</v>
      </c>
      <c r="AH59" t="n">
        <v>15</v>
      </c>
      <c r="AI59" t="n">
        <v>15</v>
      </c>
      <c r="AJ59" t="n">
        <v>7</v>
      </c>
      <c r="AK59" t="n">
        <v>7</v>
      </c>
      <c r="AL59" t="n">
        <v>18</v>
      </c>
      <c r="AM59" t="n">
        <v>18</v>
      </c>
      <c r="AN59" t="n">
        <v>5</v>
      </c>
      <c r="AO59" t="n">
        <v>5</v>
      </c>
      <c r="AP59" t="n">
        <v>2</v>
      </c>
      <c r="AQ59" t="n">
        <v>2</v>
      </c>
      <c r="AR59" t="inlineStr">
        <is>
          <t>No</t>
        </is>
      </c>
      <c r="AS59" t="inlineStr">
        <is>
          <t>Yes</t>
        </is>
      </c>
      <c r="AT59">
        <f>HYPERLINK("http://catalog.hathitrust.org/Record/000169786","HathiTrust Record")</f>
        <v/>
      </c>
      <c r="AU59">
        <f>HYPERLINK("https://creighton-primo.hosted.exlibrisgroup.com/primo-explore/search?tab=default_tab&amp;search_scope=EVERYTHING&amp;vid=01CRU&amp;lang=en_US&amp;offset=0&amp;query=any,contains,991004866009702656","Catalog Record")</f>
        <v/>
      </c>
      <c r="AV59">
        <f>HYPERLINK("http://www.worldcat.org/oclc/5726817","WorldCat Record")</f>
        <v/>
      </c>
      <c r="AW59" t="inlineStr">
        <is>
          <t>982590919:eng</t>
        </is>
      </c>
      <c r="AX59" t="inlineStr">
        <is>
          <t>5726817</t>
        </is>
      </c>
      <c r="AY59" t="inlineStr">
        <is>
          <t>991004866009702656</t>
        </is>
      </c>
      <c r="AZ59" t="inlineStr">
        <is>
          <t>991004866009702656</t>
        </is>
      </c>
      <c r="BA59" t="inlineStr">
        <is>
          <t>2263359180002656</t>
        </is>
      </c>
      <c r="BB59" t="inlineStr">
        <is>
          <t>BOOK</t>
        </is>
      </c>
      <c r="BD59" t="inlineStr">
        <is>
          <t>9780896330238</t>
        </is>
      </c>
      <c r="BE59" t="inlineStr">
        <is>
          <t>32285001143071</t>
        </is>
      </c>
      <c r="BF59" t="inlineStr">
        <is>
          <t>893507318</t>
        </is>
      </c>
    </row>
    <row r="60">
      <c r="B60" t="inlineStr">
        <is>
          <t>CURAL</t>
        </is>
      </c>
      <c r="C60" t="inlineStr">
        <is>
          <t>SHELVES</t>
        </is>
      </c>
      <c r="D60" t="inlineStr">
        <is>
          <t>CB25 .F4 1966</t>
        </is>
      </c>
      <c r="E60" t="inlineStr">
        <is>
          <t>0                      CB 0025000F  4           1966</t>
        </is>
      </c>
      <c r="F60" t="inlineStr">
        <is>
          <t>An essay on the history of civil society, 1767 / edited, with an introduction, by Duncan Forbes.</t>
        </is>
      </c>
      <c r="H60" t="inlineStr">
        <is>
          <t>No</t>
        </is>
      </c>
      <c r="I60" t="inlineStr">
        <is>
          <t>1</t>
        </is>
      </c>
      <c r="J60" t="inlineStr">
        <is>
          <t>No</t>
        </is>
      </c>
      <c r="K60" t="inlineStr">
        <is>
          <t>No</t>
        </is>
      </c>
      <c r="L60" t="inlineStr">
        <is>
          <t>0</t>
        </is>
      </c>
      <c r="M60" t="inlineStr">
        <is>
          <t>Ferguson, Adam, 1723-1816.</t>
        </is>
      </c>
      <c r="N60" t="inlineStr">
        <is>
          <t>Edinburgh : Edinburgh U.P., 1966.</t>
        </is>
      </c>
      <c r="O60" t="inlineStr">
        <is>
          <t>1966</t>
        </is>
      </c>
      <c r="Q60" t="inlineStr">
        <is>
          <t>eng</t>
        </is>
      </c>
      <c r="R60" t="inlineStr">
        <is>
          <t>stk</t>
        </is>
      </c>
      <c r="T60" t="inlineStr">
        <is>
          <t xml:space="preserve">CB </t>
        </is>
      </c>
      <c r="U60" t="n">
        <v>8</v>
      </c>
      <c r="V60" t="n">
        <v>8</v>
      </c>
      <c r="W60" t="inlineStr">
        <is>
          <t>2006-10-25</t>
        </is>
      </c>
      <c r="X60" t="inlineStr">
        <is>
          <t>2006-10-25</t>
        </is>
      </c>
      <c r="Y60" t="inlineStr">
        <is>
          <t>1993-05-14</t>
        </is>
      </c>
      <c r="Z60" t="inlineStr">
        <is>
          <t>1993-05-14</t>
        </is>
      </c>
      <c r="AA60" t="n">
        <v>298</v>
      </c>
      <c r="AB60" t="n">
        <v>244</v>
      </c>
      <c r="AC60" t="n">
        <v>312</v>
      </c>
      <c r="AD60" t="n">
        <v>1</v>
      </c>
      <c r="AE60" t="n">
        <v>2</v>
      </c>
      <c r="AF60" t="n">
        <v>12</v>
      </c>
      <c r="AG60" t="n">
        <v>15</v>
      </c>
      <c r="AH60" t="n">
        <v>2</v>
      </c>
      <c r="AI60" t="n">
        <v>3</v>
      </c>
      <c r="AJ60" t="n">
        <v>5</v>
      </c>
      <c r="AK60" t="n">
        <v>5</v>
      </c>
      <c r="AL60" t="n">
        <v>9</v>
      </c>
      <c r="AM60" t="n">
        <v>11</v>
      </c>
      <c r="AN60" t="n">
        <v>0</v>
      </c>
      <c r="AO60" t="n">
        <v>1</v>
      </c>
      <c r="AP60" t="n">
        <v>0</v>
      </c>
      <c r="AQ60" t="n">
        <v>0</v>
      </c>
      <c r="AR60" t="inlineStr">
        <is>
          <t>No</t>
        </is>
      </c>
      <c r="AS60" t="inlineStr">
        <is>
          <t>Yes</t>
        </is>
      </c>
      <c r="AT60">
        <f>HYPERLINK("http://catalog.hathitrust.org/Record/007120614","HathiTrust Record")</f>
        <v/>
      </c>
      <c r="AU60">
        <f>HYPERLINK("https://creighton-primo.hosted.exlibrisgroup.com/primo-explore/search?tab=default_tab&amp;search_scope=EVERYTHING&amp;vid=01CRU&amp;lang=en_US&amp;offset=0&amp;query=any,contains,991002658339702656","Catalog Record")</f>
        <v/>
      </c>
      <c r="AV60">
        <f>HYPERLINK("http://www.worldcat.org/oclc/390361","WorldCat Record")</f>
        <v/>
      </c>
      <c r="AW60" t="inlineStr">
        <is>
          <t>3855571754:eng</t>
        </is>
      </c>
      <c r="AX60" t="inlineStr">
        <is>
          <t>390361</t>
        </is>
      </c>
      <c r="AY60" t="inlineStr">
        <is>
          <t>991002658339702656</t>
        </is>
      </c>
      <c r="AZ60" t="inlineStr">
        <is>
          <t>991002658339702656</t>
        </is>
      </c>
      <c r="BA60" t="inlineStr">
        <is>
          <t>2262020780002656</t>
        </is>
      </c>
      <c r="BB60" t="inlineStr">
        <is>
          <t>BOOK</t>
        </is>
      </c>
      <c r="BE60" t="inlineStr">
        <is>
          <t>32285001656478</t>
        </is>
      </c>
      <c r="BF60" t="inlineStr">
        <is>
          <t>893792735</t>
        </is>
      </c>
    </row>
    <row r="61">
      <c r="B61" t="inlineStr">
        <is>
          <t>CURAL</t>
        </is>
      </c>
      <c r="C61" t="inlineStr">
        <is>
          <t>SHELVES</t>
        </is>
      </c>
      <c r="D61" t="inlineStr">
        <is>
          <t>CB251 .B57 2004</t>
        </is>
      </c>
      <c r="E61" t="inlineStr">
        <is>
          <t>0                      CB 0251000B  57          2004</t>
        </is>
      </c>
      <c r="F61" t="inlineStr">
        <is>
          <t>Creating East and West : Renaissance humanists and the Ottoman Turks / Nancy Bisaha.</t>
        </is>
      </c>
      <c r="H61" t="inlineStr">
        <is>
          <t>No</t>
        </is>
      </c>
      <c r="I61" t="inlineStr">
        <is>
          <t>1</t>
        </is>
      </c>
      <c r="J61" t="inlineStr">
        <is>
          <t>No</t>
        </is>
      </c>
      <c r="K61" t="inlineStr">
        <is>
          <t>No</t>
        </is>
      </c>
      <c r="L61" t="inlineStr">
        <is>
          <t>0</t>
        </is>
      </c>
      <c r="M61" t="inlineStr">
        <is>
          <t>Bisaha, Nancy.</t>
        </is>
      </c>
      <c r="N61" t="inlineStr">
        <is>
          <t>Philadelphia : University of Pennsylvania Press, c2004.</t>
        </is>
      </c>
      <c r="O61" t="inlineStr">
        <is>
          <t>2004</t>
        </is>
      </c>
      <c r="Q61" t="inlineStr">
        <is>
          <t>eng</t>
        </is>
      </c>
      <c r="R61" t="inlineStr">
        <is>
          <t>pau</t>
        </is>
      </c>
      <c r="T61" t="inlineStr">
        <is>
          <t xml:space="preserve">CB </t>
        </is>
      </c>
      <c r="U61" t="n">
        <v>2</v>
      </c>
      <c r="V61" t="n">
        <v>2</v>
      </c>
      <c r="W61" t="inlineStr">
        <is>
          <t>2009-11-29</t>
        </is>
      </c>
      <c r="X61" t="inlineStr">
        <is>
          <t>2009-11-29</t>
        </is>
      </c>
      <c r="Y61" t="inlineStr">
        <is>
          <t>2006-04-20</t>
        </is>
      </c>
      <c r="Z61" t="inlineStr">
        <is>
          <t>2006-04-20</t>
        </is>
      </c>
      <c r="AA61" t="n">
        <v>448</v>
      </c>
      <c r="AB61" t="n">
        <v>349</v>
      </c>
      <c r="AC61" t="n">
        <v>585</v>
      </c>
      <c r="AD61" t="n">
        <v>3</v>
      </c>
      <c r="AE61" t="n">
        <v>3</v>
      </c>
      <c r="AF61" t="n">
        <v>29</v>
      </c>
      <c r="AG61" t="n">
        <v>36</v>
      </c>
      <c r="AH61" t="n">
        <v>10</v>
      </c>
      <c r="AI61" t="n">
        <v>16</v>
      </c>
      <c r="AJ61" t="n">
        <v>11</v>
      </c>
      <c r="AK61" t="n">
        <v>11</v>
      </c>
      <c r="AL61" t="n">
        <v>13</v>
      </c>
      <c r="AM61" t="n">
        <v>17</v>
      </c>
      <c r="AN61" t="n">
        <v>2</v>
      </c>
      <c r="AO61" t="n">
        <v>2</v>
      </c>
      <c r="AP61" t="n">
        <v>0</v>
      </c>
      <c r="AQ61" t="n">
        <v>0</v>
      </c>
      <c r="AR61" t="inlineStr">
        <is>
          <t>No</t>
        </is>
      </c>
      <c r="AS61" t="inlineStr">
        <is>
          <t>No</t>
        </is>
      </c>
      <c r="AU61">
        <f>HYPERLINK("https://creighton-primo.hosted.exlibrisgroup.com/primo-explore/search?tab=default_tab&amp;search_scope=EVERYTHING&amp;vid=01CRU&amp;lang=en_US&amp;offset=0&amp;query=any,contains,991004785619702656","Catalog Record")</f>
        <v/>
      </c>
      <c r="AV61">
        <f>HYPERLINK("http://www.worldcat.org/oclc/54046760","WorldCat Record")</f>
        <v/>
      </c>
      <c r="AW61" t="inlineStr">
        <is>
          <t>784443581:eng</t>
        </is>
      </c>
      <c r="AX61" t="inlineStr">
        <is>
          <t>54046760</t>
        </is>
      </c>
      <c r="AY61" t="inlineStr">
        <is>
          <t>991004785619702656</t>
        </is>
      </c>
      <c r="AZ61" t="inlineStr">
        <is>
          <t>991004785619702656</t>
        </is>
      </c>
      <c r="BA61" t="inlineStr">
        <is>
          <t>2259584370002656</t>
        </is>
      </c>
      <c r="BB61" t="inlineStr">
        <is>
          <t>BOOK</t>
        </is>
      </c>
      <c r="BD61" t="inlineStr">
        <is>
          <t>9780812238068</t>
        </is>
      </c>
      <c r="BE61" t="inlineStr">
        <is>
          <t>32285005064646</t>
        </is>
      </c>
      <c r="BF61" t="inlineStr">
        <is>
          <t>893411942</t>
        </is>
      </c>
    </row>
    <row r="62">
      <c r="B62" t="inlineStr">
        <is>
          <t>CURAL</t>
        </is>
      </c>
      <c r="C62" t="inlineStr">
        <is>
          <t>SHELVES</t>
        </is>
      </c>
      <c r="D62" t="inlineStr">
        <is>
          <t>CB251 .G87 2003</t>
        </is>
      </c>
      <c r="E62" t="inlineStr">
        <is>
          <t>0                      CB 0251000G  87          2003</t>
        </is>
      </c>
      <c r="F62" t="inlineStr">
        <is>
          <t>First globalization : the Eurasian exchange, 1500 to 1800 / Geoffrey C. Gunn.</t>
        </is>
      </c>
      <c r="H62" t="inlineStr">
        <is>
          <t>No</t>
        </is>
      </c>
      <c r="I62" t="inlineStr">
        <is>
          <t>1</t>
        </is>
      </c>
      <c r="J62" t="inlineStr">
        <is>
          <t>No</t>
        </is>
      </c>
      <c r="K62" t="inlineStr">
        <is>
          <t>No</t>
        </is>
      </c>
      <c r="L62" t="inlineStr">
        <is>
          <t>0</t>
        </is>
      </c>
      <c r="M62" t="inlineStr">
        <is>
          <t>Gunn, Geoffrey C.</t>
        </is>
      </c>
      <c r="N62" t="inlineStr">
        <is>
          <t>Lanham, Md. : Rowman &amp; Littlefield, c2003.</t>
        </is>
      </c>
      <c r="O62" t="inlineStr">
        <is>
          <t>2003</t>
        </is>
      </c>
      <c r="Q62" t="inlineStr">
        <is>
          <t>eng</t>
        </is>
      </c>
      <c r="R62" t="inlineStr">
        <is>
          <t>mdu</t>
        </is>
      </c>
      <c r="S62" t="inlineStr">
        <is>
          <t>World social change</t>
        </is>
      </c>
      <c r="T62" t="inlineStr">
        <is>
          <t xml:space="preserve">CB </t>
        </is>
      </c>
      <c r="U62" t="n">
        <v>3</v>
      </c>
      <c r="V62" t="n">
        <v>3</v>
      </c>
      <c r="W62" t="inlineStr">
        <is>
          <t>2008-09-14</t>
        </is>
      </c>
      <c r="X62" t="inlineStr">
        <is>
          <t>2008-09-14</t>
        </is>
      </c>
      <c r="Y62" t="inlineStr">
        <is>
          <t>2005-03-03</t>
        </is>
      </c>
      <c r="Z62" t="inlineStr">
        <is>
          <t>2005-03-03</t>
        </is>
      </c>
      <c r="AA62" t="n">
        <v>407</v>
      </c>
      <c r="AB62" t="n">
        <v>325</v>
      </c>
      <c r="AC62" t="n">
        <v>344</v>
      </c>
      <c r="AD62" t="n">
        <v>1</v>
      </c>
      <c r="AE62" t="n">
        <v>1</v>
      </c>
      <c r="AF62" t="n">
        <v>20</v>
      </c>
      <c r="AG62" t="n">
        <v>20</v>
      </c>
      <c r="AH62" t="n">
        <v>9</v>
      </c>
      <c r="AI62" t="n">
        <v>9</v>
      </c>
      <c r="AJ62" t="n">
        <v>6</v>
      </c>
      <c r="AK62" t="n">
        <v>6</v>
      </c>
      <c r="AL62" t="n">
        <v>11</v>
      </c>
      <c r="AM62" t="n">
        <v>11</v>
      </c>
      <c r="AN62" t="n">
        <v>0</v>
      </c>
      <c r="AO62" t="n">
        <v>0</v>
      </c>
      <c r="AP62" t="n">
        <v>0</v>
      </c>
      <c r="AQ62" t="n">
        <v>0</v>
      </c>
      <c r="AR62" t="inlineStr">
        <is>
          <t>No</t>
        </is>
      </c>
      <c r="AS62" t="inlineStr">
        <is>
          <t>Yes</t>
        </is>
      </c>
      <c r="AT62">
        <f>HYPERLINK("http://catalog.hathitrust.org/Record/004326873","HathiTrust Record")</f>
        <v/>
      </c>
      <c r="AU62">
        <f>HYPERLINK("https://creighton-primo.hosted.exlibrisgroup.com/primo-explore/search?tab=default_tab&amp;search_scope=EVERYTHING&amp;vid=01CRU&amp;lang=en_US&amp;offset=0&amp;query=any,contains,991004465239702656","Catalog Record")</f>
        <v/>
      </c>
      <c r="AV62">
        <f>HYPERLINK("http://www.worldcat.org/oclc/51040828","WorldCat Record")</f>
        <v/>
      </c>
      <c r="AW62" t="inlineStr">
        <is>
          <t>292389968:eng</t>
        </is>
      </c>
      <c r="AX62" t="inlineStr">
        <is>
          <t>51040828</t>
        </is>
      </c>
      <c r="AY62" t="inlineStr">
        <is>
          <t>991004465239702656</t>
        </is>
      </c>
      <c r="AZ62" t="inlineStr">
        <is>
          <t>991004465239702656</t>
        </is>
      </c>
      <c r="BA62" t="inlineStr">
        <is>
          <t>2255152480002656</t>
        </is>
      </c>
      <c r="BB62" t="inlineStr">
        <is>
          <t>BOOK</t>
        </is>
      </c>
      <c r="BD62" t="inlineStr">
        <is>
          <t>9780742526617</t>
        </is>
      </c>
      <c r="BE62" t="inlineStr">
        <is>
          <t>32285005029920</t>
        </is>
      </c>
      <c r="BF62" t="inlineStr">
        <is>
          <t>893337757</t>
        </is>
      </c>
    </row>
    <row r="63">
      <c r="B63" t="inlineStr">
        <is>
          <t>CURAL</t>
        </is>
      </c>
      <c r="C63" t="inlineStr">
        <is>
          <t>SHELVES</t>
        </is>
      </c>
      <c r="D63" t="inlineStr">
        <is>
          <t>CB251 .H35</t>
        </is>
      </c>
      <c r="E63" t="inlineStr">
        <is>
          <t>0                      CB 0251000H  35</t>
        </is>
      </c>
      <c r="F63" t="inlineStr">
        <is>
          <t>Asian ideas of east and west; Tagore and his critics in Japan, China, and India [by] Stephen N. Hay.</t>
        </is>
      </c>
      <c r="H63" t="inlineStr">
        <is>
          <t>No</t>
        </is>
      </c>
      <c r="I63" t="inlineStr">
        <is>
          <t>1</t>
        </is>
      </c>
      <c r="J63" t="inlineStr">
        <is>
          <t>No</t>
        </is>
      </c>
      <c r="K63" t="inlineStr">
        <is>
          <t>No</t>
        </is>
      </c>
      <c r="L63" t="inlineStr">
        <is>
          <t>0</t>
        </is>
      </c>
      <c r="M63" t="inlineStr">
        <is>
          <t>Hay, Stephen N.</t>
        </is>
      </c>
      <c r="N63" t="inlineStr">
        <is>
          <t>Cambridge, Harvard University Press, 1970.</t>
        </is>
      </c>
      <c r="O63" t="inlineStr">
        <is>
          <t>1970</t>
        </is>
      </c>
      <c r="Q63" t="inlineStr">
        <is>
          <t>eng</t>
        </is>
      </c>
      <c r="R63" t="inlineStr">
        <is>
          <t>mau</t>
        </is>
      </c>
      <c r="S63" t="inlineStr">
        <is>
          <t>Harvard East Asian series ; 40</t>
        </is>
      </c>
      <c r="T63" t="inlineStr">
        <is>
          <t xml:space="preserve">CB </t>
        </is>
      </c>
      <c r="U63" t="n">
        <v>12</v>
      </c>
      <c r="V63" t="n">
        <v>12</v>
      </c>
      <c r="W63" t="inlineStr">
        <is>
          <t>2005-04-03</t>
        </is>
      </c>
      <c r="X63" t="inlineStr">
        <is>
          <t>2005-04-03</t>
        </is>
      </c>
      <c r="Y63" t="inlineStr">
        <is>
          <t>1996-08-15</t>
        </is>
      </c>
      <c r="Z63" t="inlineStr">
        <is>
          <t>1996-08-15</t>
        </is>
      </c>
      <c r="AA63" t="n">
        <v>710</v>
      </c>
      <c r="AB63" t="n">
        <v>564</v>
      </c>
      <c r="AC63" t="n">
        <v>571</v>
      </c>
      <c r="AD63" t="n">
        <v>5</v>
      </c>
      <c r="AE63" t="n">
        <v>5</v>
      </c>
      <c r="AF63" t="n">
        <v>26</v>
      </c>
      <c r="AG63" t="n">
        <v>26</v>
      </c>
      <c r="AH63" t="n">
        <v>6</v>
      </c>
      <c r="AI63" t="n">
        <v>6</v>
      </c>
      <c r="AJ63" t="n">
        <v>7</v>
      </c>
      <c r="AK63" t="n">
        <v>7</v>
      </c>
      <c r="AL63" t="n">
        <v>15</v>
      </c>
      <c r="AM63" t="n">
        <v>15</v>
      </c>
      <c r="AN63" t="n">
        <v>4</v>
      </c>
      <c r="AO63" t="n">
        <v>4</v>
      </c>
      <c r="AP63" t="n">
        <v>0</v>
      </c>
      <c r="AQ63" t="n">
        <v>0</v>
      </c>
      <c r="AR63" t="inlineStr">
        <is>
          <t>No</t>
        </is>
      </c>
      <c r="AS63" t="inlineStr">
        <is>
          <t>Yes</t>
        </is>
      </c>
      <c r="AT63">
        <f>HYPERLINK("http://catalog.hathitrust.org/Record/001652804","HathiTrust Record")</f>
        <v/>
      </c>
      <c r="AU63">
        <f>HYPERLINK("https://creighton-primo.hosted.exlibrisgroup.com/primo-explore/search?tab=default_tab&amp;search_scope=EVERYTHING&amp;vid=01CRU&amp;lang=en_US&amp;offset=0&amp;query=any,contains,991000389389702656","Catalog Record")</f>
        <v/>
      </c>
      <c r="AV63">
        <f>HYPERLINK("http://www.worldcat.org/oclc/72756","WorldCat Record")</f>
        <v/>
      </c>
      <c r="AW63" t="inlineStr">
        <is>
          <t>794959741:eng</t>
        </is>
      </c>
      <c r="AX63" t="inlineStr">
        <is>
          <t>72756</t>
        </is>
      </c>
      <c r="AY63" t="inlineStr">
        <is>
          <t>991000389389702656</t>
        </is>
      </c>
      <c r="AZ63" t="inlineStr">
        <is>
          <t>991000389389702656</t>
        </is>
      </c>
      <c r="BA63" t="inlineStr">
        <is>
          <t>2271642150002656</t>
        </is>
      </c>
      <c r="BB63" t="inlineStr">
        <is>
          <t>BOOK</t>
        </is>
      </c>
      <c r="BD63" t="inlineStr">
        <is>
          <t>9780674049758</t>
        </is>
      </c>
      <c r="BE63" t="inlineStr">
        <is>
          <t>32285002264900</t>
        </is>
      </c>
      <c r="BF63" t="inlineStr">
        <is>
          <t>893224947</t>
        </is>
      </c>
    </row>
    <row r="64">
      <c r="B64" t="inlineStr">
        <is>
          <t>CURAL</t>
        </is>
      </c>
      <c r="C64" t="inlineStr">
        <is>
          <t>SHELVES</t>
        </is>
      </c>
      <c r="D64" t="inlineStr">
        <is>
          <t>CB251 .S42 2000</t>
        </is>
      </c>
      <c r="E64" t="inlineStr">
        <is>
          <t>0                      CB 0251000S  42          2000</t>
        </is>
      </c>
      <c r="F64" t="inlineStr">
        <is>
          <t>Inter-civilizational relations and the destiny of the West : dialogue or confrontation? / Victor Segesvary.</t>
        </is>
      </c>
      <c r="H64" t="inlineStr">
        <is>
          <t>No</t>
        </is>
      </c>
      <c r="I64" t="inlineStr">
        <is>
          <t>1</t>
        </is>
      </c>
      <c r="J64" t="inlineStr">
        <is>
          <t>No</t>
        </is>
      </c>
      <c r="K64" t="inlineStr">
        <is>
          <t>No</t>
        </is>
      </c>
      <c r="L64" t="inlineStr">
        <is>
          <t>0</t>
        </is>
      </c>
      <c r="M64" t="inlineStr">
        <is>
          <t>Segesvary, Victor.</t>
        </is>
      </c>
      <c r="N64" t="inlineStr">
        <is>
          <t>Lanham, MD : University Press of America, c2000.</t>
        </is>
      </c>
      <c r="O64" t="inlineStr">
        <is>
          <t>2000</t>
        </is>
      </c>
      <c r="Q64" t="inlineStr">
        <is>
          <t>eng</t>
        </is>
      </c>
      <c r="R64" t="inlineStr">
        <is>
          <t>mdu</t>
        </is>
      </c>
      <c r="T64" t="inlineStr">
        <is>
          <t xml:space="preserve">CB </t>
        </is>
      </c>
      <c r="U64" t="n">
        <v>2</v>
      </c>
      <c r="V64" t="n">
        <v>2</v>
      </c>
      <c r="W64" t="inlineStr">
        <is>
          <t>2002-10-23</t>
        </is>
      </c>
      <c r="X64" t="inlineStr">
        <is>
          <t>2002-10-23</t>
        </is>
      </c>
      <c r="Y64" t="inlineStr">
        <is>
          <t>2002-10-23</t>
        </is>
      </c>
      <c r="Z64" t="inlineStr">
        <is>
          <t>2002-10-23</t>
        </is>
      </c>
      <c r="AA64" t="n">
        <v>45</v>
      </c>
      <c r="AB64" t="n">
        <v>35</v>
      </c>
      <c r="AC64" t="n">
        <v>40</v>
      </c>
      <c r="AD64" t="n">
        <v>1</v>
      </c>
      <c r="AE64" t="n">
        <v>1</v>
      </c>
      <c r="AF64" t="n">
        <v>2</v>
      </c>
      <c r="AG64" t="n">
        <v>2</v>
      </c>
      <c r="AH64" t="n">
        <v>1</v>
      </c>
      <c r="AI64" t="n">
        <v>1</v>
      </c>
      <c r="AJ64" t="n">
        <v>0</v>
      </c>
      <c r="AK64" t="n">
        <v>0</v>
      </c>
      <c r="AL64" t="n">
        <v>1</v>
      </c>
      <c r="AM64" t="n">
        <v>1</v>
      </c>
      <c r="AN64" t="n">
        <v>0</v>
      </c>
      <c r="AO64" t="n">
        <v>0</v>
      </c>
      <c r="AP64" t="n">
        <v>0</v>
      </c>
      <c r="AQ64" t="n">
        <v>0</v>
      </c>
      <c r="AR64" t="inlineStr">
        <is>
          <t>No</t>
        </is>
      </c>
      <c r="AS64" t="inlineStr">
        <is>
          <t>No</t>
        </is>
      </c>
      <c r="AU64">
        <f>HYPERLINK("https://creighton-primo.hosted.exlibrisgroup.com/primo-explore/search?tab=default_tab&amp;search_scope=EVERYTHING&amp;vid=01CRU&amp;lang=en_US&amp;offset=0&amp;query=any,contains,991003857129702656","Catalog Record")</f>
        <v/>
      </c>
      <c r="AV64">
        <f>HYPERLINK("http://www.worldcat.org/oclc/44313344","WorldCat Record")</f>
        <v/>
      </c>
      <c r="AW64" t="inlineStr">
        <is>
          <t>33012464:eng</t>
        </is>
      </c>
      <c r="AX64" t="inlineStr">
        <is>
          <t>44313344</t>
        </is>
      </c>
      <c r="AY64" t="inlineStr">
        <is>
          <t>991003857129702656</t>
        </is>
      </c>
      <c r="AZ64" t="inlineStr">
        <is>
          <t>991003857129702656</t>
        </is>
      </c>
      <c r="BA64" t="inlineStr">
        <is>
          <t>2257137940002656</t>
        </is>
      </c>
      <c r="BB64" t="inlineStr">
        <is>
          <t>BOOK</t>
        </is>
      </c>
      <c r="BD64" t="inlineStr">
        <is>
          <t>9780761817246</t>
        </is>
      </c>
      <c r="BE64" t="inlineStr">
        <is>
          <t>32285004657390</t>
        </is>
      </c>
      <c r="BF64" t="inlineStr">
        <is>
          <t>893499795</t>
        </is>
      </c>
    </row>
    <row r="65">
      <c r="B65" t="inlineStr">
        <is>
          <t>CURAL</t>
        </is>
      </c>
      <c r="C65" t="inlineStr">
        <is>
          <t>SHELVES</t>
        </is>
      </c>
      <c r="D65" t="inlineStr">
        <is>
          <t>CB251 .S45 2002</t>
        </is>
      </c>
      <c r="E65" t="inlineStr">
        <is>
          <t>0                      CB 0251000S  45          2002</t>
        </is>
      </c>
      <c r="F65" t="inlineStr">
        <is>
          <t>The clash within civilizations : coming to terms with cultural conflicts / Dieter Senghaas.</t>
        </is>
      </c>
      <c r="H65" t="inlineStr">
        <is>
          <t>No</t>
        </is>
      </c>
      <c r="I65" t="inlineStr">
        <is>
          <t>1</t>
        </is>
      </c>
      <c r="J65" t="inlineStr">
        <is>
          <t>No</t>
        </is>
      </c>
      <c r="K65" t="inlineStr">
        <is>
          <t>No</t>
        </is>
      </c>
      <c r="L65" t="inlineStr">
        <is>
          <t>0</t>
        </is>
      </c>
      <c r="M65" t="inlineStr">
        <is>
          <t>Senghaas, Dieter, 1940-</t>
        </is>
      </c>
      <c r="N65" t="inlineStr">
        <is>
          <t>London ; New York : Routledge, 2002.</t>
        </is>
      </c>
      <c r="O65" t="inlineStr">
        <is>
          <t>2002</t>
        </is>
      </c>
      <c r="Q65" t="inlineStr">
        <is>
          <t>eng</t>
        </is>
      </c>
      <c r="R65" t="inlineStr">
        <is>
          <t>enk</t>
        </is>
      </c>
      <c r="S65" t="inlineStr">
        <is>
          <t>Routledge/RIPE series in global political economy. RIPE series in global political economy</t>
        </is>
      </c>
      <c r="T65" t="inlineStr">
        <is>
          <t xml:space="preserve">CB </t>
        </is>
      </c>
      <c r="U65" t="n">
        <v>3</v>
      </c>
      <c r="V65" t="n">
        <v>3</v>
      </c>
      <c r="W65" t="inlineStr">
        <is>
          <t>2003-03-09</t>
        </is>
      </c>
      <c r="X65" t="inlineStr">
        <is>
          <t>2003-03-09</t>
        </is>
      </c>
      <c r="Y65" t="inlineStr">
        <is>
          <t>2002-12-04</t>
        </is>
      </c>
      <c r="Z65" t="inlineStr">
        <is>
          <t>2002-12-04</t>
        </is>
      </c>
      <c r="AA65" t="n">
        <v>260</v>
      </c>
      <c r="AB65" t="n">
        <v>177</v>
      </c>
      <c r="AC65" t="n">
        <v>208</v>
      </c>
      <c r="AD65" t="n">
        <v>1</v>
      </c>
      <c r="AE65" t="n">
        <v>1</v>
      </c>
      <c r="AF65" t="n">
        <v>9</v>
      </c>
      <c r="AG65" t="n">
        <v>9</v>
      </c>
      <c r="AH65" t="n">
        <v>4</v>
      </c>
      <c r="AI65" t="n">
        <v>4</v>
      </c>
      <c r="AJ65" t="n">
        <v>4</v>
      </c>
      <c r="AK65" t="n">
        <v>4</v>
      </c>
      <c r="AL65" t="n">
        <v>4</v>
      </c>
      <c r="AM65" t="n">
        <v>4</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HYPERLINK("https://creighton-primo.hosted.exlibrisgroup.com/primo-explore/search?tab=default_tab&amp;search_scope=EVERYTHING&amp;vid=01CRU&amp;lang=en_US&amp;offset=0&amp;query=any,contains,991003915689702656","Catalog Record")</f>
        <v/>
      </c>
      <c r="AV65">
        <f>HYPERLINK("http://www.worldcat.org/oclc/46837090","WorldCat Record")</f>
        <v/>
      </c>
      <c r="AW65" t="inlineStr">
        <is>
          <t>795363053:eng</t>
        </is>
      </c>
      <c r="AX65" t="inlineStr">
        <is>
          <t>46837090</t>
        </is>
      </c>
      <c r="AY65" t="inlineStr">
        <is>
          <t>991003915689702656</t>
        </is>
      </c>
      <c r="AZ65" t="inlineStr">
        <is>
          <t>991003915689702656</t>
        </is>
      </c>
      <c r="BA65" t="inlineStr">
        <is>
          <t>2261109900002656</t>
        </is>
      </c>
      <c r="BB65" t="inlineStr">
        <is>
          <t>BOOK</t>
        </is>
      </c>
      <c r="BD65" t="inlineStr">
        <is>
          <t>9780415262286</t>
        </is>
      </c>
      <c r="BE65" t="inlineStr">
        <is>
          <t>32285004667654</t>
        </is>
      </c>
      <c r="BF65" t="inlineStr">
        <is>
          <t>893794259</t>
        </is>
      </c>
    </row>
    <row r="66">
      <c r="B66" t="inlineStr">
        <is>
          <t>CURAL</t>
        </is>
      </c>
      <c r="C66" t="inlineStr">
        <is>
          <t>SHELVES</t>
        </is>
      </c>
      <c r="D66" t="inlineStr">
        <is>
          <t>CB253 .N313 1964</t>
        </is>
      </c>
      <c r="E66" t="inlineStr">
        <is>
          <t>0                      CB 0253000N  313         1964</t>
        </is>
      </c>
      <c r="F66" t="inlineStr">
        <is>
          <t>Ways of thinking of Eastern peoples: India, China, Tibet, Japan. Rev. English translation, edited by Philip P. Wiener.</t>
        </is>
      </c>
      <c r="H66" t="inlineStr">
        <is>
          <t>No</t>
        </is>
      </c>
      <c r="I66" t="inlineStr">
        <is>
          <t>1</t>
        </is>
      </c>
      <c r="J66" t="inlineStr">
        <is>
          <t>No</t>
        </is>
      </c>
      <c r="K66" t="inlineStr">
        <is>
          <t>No</t>
        </is>
      </c>
      <c r="L66" t="inlineStr">
        <is>
          <t>0</t>
        </is>
      </c>
      <c r="M66" t="inlineStr">
        <is>
          <t>Nakamura, Hajime, 1912-1999.</t>
        </is>
      </c>
      <c r="N66" t="inlineStr">
        <is>
          <t>Honolulu, East-West Center Press [c1964]</t>
        </is>
      </c>
      <c r="O66" t="inlineStr">
        <is>
          <t>1964</t>
        </is>
      </c>
      <c r="Q66" t="inlineStr">
        <is>
          <t>eng</t>
        </is>
      </c>
      <c r="R66" t="inlineStr">
        <is>
          <t>hiu</t>
        </is>
      </c>
      <c r="T66" t="inlineStr">
        <is>
          <t xml:space="preserve">CB </t>
        </is>
      </c>
      <c r="U66" t="n">
        <v>3</v>
      </c>
      <c r="V66" t="n">
        <v>3</v>
      </c>
      <c r="W66" t="inlineStr">
        <is>
          <t>2007-07-20</t>
        </is>
      </c>
      <c r="X66" t="inlineStr">
        <is>
          <t>2007-07-20</t>
        </is>
      </c>
      <c r="Y66" t="inlineStr">
        <is>
          <t>1996-08-15</t>
        </is>
      </c>
      <c r="Z66" t="inlineStr">
        <is>
          <t>1996-08-15</t>
        </is>
      </c>
      <c r="AA66" t="n">
        <v>1391</v>
      </c>
      <c r="AB66" t="n">
        <v>1237</v>
      </c>
      <c r="AC66" t="n">
        <v>1713</v>
      </c>
      <c r="AD66" t="n">
        <v>10</v>
      </c>
      <c r="AE66" t="n">
        <v>10</v>
      </c>
      <c r="AF66" t="n">
        <v>47</v>
      </c>
      <c r="AG66" t="n">
        <v>52</v>
      </c>
      <c r="AH66" t="n">
        <v>20</v>
      </c>
      <c r="AI66" t="n">
        <v>23</v>
      </c>
      <c r="AJ66" t="n">
        <v>7</v>
      </c>
      <c r="AK66" t="n">
        <v>9</v>
      </c>
      <c r="AL66" t="n">
        <v>21</v>
      </c>
      <c r="AM66" t="n">
        <v>23</v>
      </c>
      <c r="AN66" t="n">
        <v>9</v>
      </c>
      <c r="AO66" t="n">
        <v>9</v>
      </c>
      <c r="AP66" t="n">
        <v>0</v>
      </c>
      <c r="AQ66" t="n">
        <v>0</v>
      </c>
      <c r="AR66" t="inlineStr">
        <is>
          <t>No</t>
        </is>
      </c>
      <c r="AS66" t="inlineStr">
        <is>
          <t>Yes</t>
        </is>
      </c>
      <c r="AT66">
        <f>HYPERLINK("http://catalog.hathitrust.org/Record/001595326","HathiTrust Record")</f>
        <v/>
      </c>
      <c r="AU66">
        <f>HYPERLINK("https://creighton-primo.hosted.exlibrisgroup.com/primo-explore/search?tab=default_tab&amp;search_scope=EVERYTHING&amp;vid=01CRU&amp;lang=en_US&amp;offset=0&amp;query=any,contains,991002229549702656","Catalog Record")</f>
        <v/>
      </c>
      <c r="AV66">
        <f>HYPERLINK("http://www.worldcat.org/oclc/293506","WorldCat Record")</f>
        <v/>
      </c>
      <c r="AW66" t="inlineStr">
        <is>
          <t>102685860:eng</t>
        </is>
      </c>
      <c r="AX66" t="inlineStr">
        <is>
          <t>293506</t>
        </is>
      </c>
      <c r="AY66" t="inlineStr">
        <is>
          <t>991002229549702656</t>
        </is>
      </c>
      <c r="AZ66" t="inlineStr">
        <is>
          <t>991002229549702656</t>
        </is>
      </c>
      <c r="BA66" t="inlineStr">
        <is>
          <t>2266726560002656</t>
        </is>
      </c>
      <c r="BB66" t="inlineStr">
        <is>
          <t>BOOK</t>
        </is>
      </c>
      <c r="BE66" t="inlineStr">
        <is>
          <t>32285002264959</t>
        </is>
      </c>
      <c r="BF66" t="inlineStr">
        <is>
          <t>893341186</t>
        </is>
      </c>
    </row>
    <row r="67">
      <c r="B67" t="inlineStr">
        <is>
          <t>CURAL</t>
        </is>
      </c>
      <c r="C67" t="inlineStr">
        <is>
          <t>SHELVES</t>
        </is>
      </c>
      <c r="D67" t="inlineStr">
        <is>
          <t>CB301 .G66 1965</t>
        </is>
      </c>
      <c r="E67" t="inlineStr">
        <is>
          <t>0                      CB 0301000G  66          1965</t>
        </is>
      </c>
      <c r="F67" t="inlineStr">
        <is>
          <t>The common background of Greek and Hebrew civilizations / Cyrus H. Gordon.</t>
        </is>
      </c>
      <c r="H67" t="inlineStr">
        <is>
          <t>No</t>
        </is>
      </c>
      <c r="I67" t="inlineStr">
        <is>
          <t>1</t>
        </is>
      </c>
      <c r="J67" t="inlineStr">
        <is>
          <t>No</t>
        </is>
      </c>
      <c r="K67" t="inlineStr">
        <is>
          <t>No</t>
        </is>
      </c>
      <c r="L67" t="inlineStr">
        <is>
          <t>0</t>
        </is>
      </c>
      <c r="M67" t="inlineStr">
        <is>
          <t>Gordon, Cyrus H. (Cyrus Herzl), 1908-2001.</t>
        </is>
      </c>
      <c r="N67" t="inlineStr">
        <is>
          <t>New York : Norton Library, 1965.</t>
        </is>
      </c>
      <c r="O67" t="inlineStr">
        <is>
          <t>1965</t>
        </is>
      </c>
      <c r="Q67" t="inlineStr">
        <is>
          <t>eng</t>
        </is>
      </c>
      <c r="R67" t="inlineStr">
        <is>
          <t>nyu</t>
        </is>
      </c>
      <c r="S67" t="inlineStr">
        <is>
          <t>Norton library ; N293</t>
        </is>
      </c>
      <c r="T67" t="inlineStr">
        <is>
          <t xml:space="preserve">CB </t>
        </is>
      </c>
      <c r="U67" t="n">
        <v>2</v>
      </c>
      <c r="V67" t="n">
        <v>2</v>
      </c>
      <c r="W67" t="inlineStr">
        <is>
          <t>2002-12-03</t>
        </is>
      </c>
      <c r="X67" t="inlineStr">
        <is>
          <t>2002-12-03</t>
        </is>
      </c>
      <c r="Y67" t="inlineStr">
        <is>
          <t>2002-12-03</t>
        </is>
      </c>
      <c r="Z67" t="inlineStr">
        <is>
          <t>2002-12-03</t>
        </is>
      </c>
      <c r="AA67" t="n">
        <v>509</v>
      </c>
      <c r="AB67" t="n">
        <v>458</v>
      </c>
      <c r="AC67" t="n">
        <v>480</v>
      </c>
      <c r="AD67" t="n">
        <v>2</v>
      </c>
      <c r="AE67" t="n">
        <v>2</v>
      </c>
      <c r="AF67" t="n">
        <v>17</v>
      </c>
      <c r="AG67" t="n">
        <v>17</v>
      </c>
      <c r="AH67" t="n">
        <v>7</v>
      </c>
      <c r="AI67" t="n">
        <v>7</v>
      </c>
      <c r="AJ67" t="n">
        <v>4</v>
      </c>
      <c r="AK67" t="n">
        <v>4</v>
      </c>
      <c r="AL67" t="n">
        <v>9</v>
      </c>
      <c r="AM67" t="n">
        <v>9</v>
      </c>
      <c r="AN67" t="n">
        <v>1</v>
      </c>
      <c r="AO67" t="n">
        <v>1</v>
      </c>
      <c r="AP67" t="n">
        <v>0</v>
      </c>
      <c r="AQ67" t="n">
        <v>0</v>
      </c>
      <c r="AR67" t="inlineStr">
        <is>
          <t>No</t>
        </is>
      </c>
      <c r="AS67" t="inlineStr">
        <is>
          <t>No</t>
        </is>
      </c>
      <c r="AU67">
        <f>HYPERLINK("https://creighton-primo.hosted.exlibrisgroup.com/primo-explore/search?tab=default_tab&amp;search_scope=EVERYTHING&amp;vid=01CRU&amp;lang=en_US&amp;offset=0&amp;query=any,contains,991003954649702656","Catalog Record")</f>
        <v/>
      </c>
      <c r="AV67">
        <f>HYPERLINK("http://www.worldcat.org/oclc/13601732","WorldCat Record")</f>
        <v/>
      </c>
      <c r="AW67" t="inlineStr">
        <is>
          <t>3901080697:eng</t>
        </is>
      </c>
      <c r="AX67" t="inlineStr">
        <is>
          <t>13601732</t>
        </is>
      </c>
      <c r="AY67" t="inlineStr">
        <is>
          <t>991003954649702656</t>
        </is>
      </c>
      <c r="AZ67" t="inlineStr">
        <is>
          <t>991003954649702656</t>
        </is>
      </c>
      <c r="BA67" t="inlineStr">
        <is>
          <t>2261461060002656</t>
        </is>
      </c>
      <c r="BB67" t="inlineStr">
        <is>
          <t>BOOK</t>
        </is>
      </c>
      <c r="BE67" t="inlineStr">
        <is>
          <t>32285004667316</t>
        </is>
      </c>
      <c r="BF67" t="inlineStr">
        <is>
          <t>893806468</t>
        </is>
      </c>
    </row>
    <row r="68">
      <c r="B68" t="inlineStr">
        <is>
          <t>CURAL</t>
        </is>
      </c>
      <c r="C68" t="inlineStr">
        <is>
          <t>SHELVES</t>
        </is>
      </c>
      <c r="D68" t="inlineStr">
        <is>
          <t>CB301 .M38</t>
        </is>
      </c>
      <c r="E68" t="inlineStr">
        <is>
          <t>0                      CB 0301000M  38</t>
        </is>
      </c>
      <c r="F68" t="inlineStr">
        <is>
          <t>Earliest civilizations of the Near East.</t>
        </is>
      </c>
      <c r="H68" t="inlineStr">
        <is>
          <t>No</t>
        </is>
      </c>
      <c r="I68" t="inlineStr">
        <is>
          <t>1</t>
        </is>
      </c>
      <c r="J68" t="inlineStr">
        <is>
          <t>No</t>
        </is>
      </c>
      <c r="K68" t="inlineStr">
        <is>
          <t>No</t>
        </is>
      </c>
      <c r="L68" t="inlineStr">
        <is>
          <t>0</t>
        </is>
      </c>
      <c r="M68" t="inlineStr">
        <is>
          <t>Mellaart, James.</t>
        </is>
      </c>
      <c r="N68" t="inlineStr">
        <is>
          <t>New York, McGraw-Hill [1965]</t>
        </is>
      </c>
      <c r="O68" t="inlineStr">
        <is>
          <t>1965</t>
        </is>
      </c>
      <c r="Q68" t="inlineStr">
        <is>
          <t>eng</t>
        </is>
      </c>
      <c r="R68" t="inlineStr">
        <is>
          <t>nyu</t>
        </is>
      </c>
      <c r="S68" t="inlineStr">
        <is>
          <t>The Library of early civilizations</t>
        </is>
      </c>
      <c r="T68" t="inlineStr">
        <is>
          <t xml:space="preserve">CB </t>
        </is>
      </c>
      <c r="U68" t="n">
        <v>2</v>
      </c>
      <c r="V68" t="n">
        <v>2</v>
      </c>
      <c r="W68" t="inlineStr">
        <is>
          <t>1999-11-26</t>
        </is>
      </c>
      <c r="X68" t="inlineStr">
        <is>
          <t>1999-11-26</t>
        </is>
      </c>
      <c r="Y68" t="inlineStr">
        <is>
          <t>1996-08-19</t>
        </is>
      </c>
      <c r="Z68" t="inlineStr">
        <is>
          <t>1996-08-19</t>
        </is>
      </c>
      <c r="AA68" t="n">
        <v>1123</v>
      </c>
      <c r="AB68" t="n">
        <v>1027</v>
      </c>
      <c r="AC68" t="n">
        <v>1108</v>
      </c>
      <c r="AD68" t="n">
        <v>5</v>
      </c>
      <c r="AE68" t="n">
        <v>5</v>
      </c>
      <c r="AF68" t="n">
        <v>28</v>
      </c>
      <c r="AG68" t="n">
        <v>30</v>
      </c>
      <c r="AH68" t="n">
        <v>8</v>
      </c>
      <c r="AI68" t="n">
        <v>9</v>
      </c>
      <c r="AJ68" t="n">
        <v>8</v>
      </c>
      <c r="AK68" t="n">
        <v>8</v>
      </c>
      <c r="AL68" t="n">
        <v>15</v>
      </c>
      <c r="AM68" t="n">
        <v>16</v>
      </c>
      <c r="AN68" t="n">
        <v>3</v>
      </c>
      <c r="AO68" t="n">
        <v>3</v>
      </c>
      <c r="AP68" t="n">
        <v>0</v>
      </c>
      <c r="AQ68" t="n">
        <v>0</v>
      </c>
      <c r="AR68" t="inlineStr">
        <is>
          <t>No</t>
        </is>
      </c>
      <c r="AS68" t="inlineStr">
        <is>
          <t>Yes</t>
        </is>
      </c>
      <c r="AT68">
        <f>HYPERLINK("http://catalog.hathitrust.org/Record/001241010","HathiTrust Record")</f>
        <v/>
      </c>
      <c r="AU68">
        <f>HYPERLINK("https://creighton-primo.hosted.exlibrisgroup.com/primo-explore/search?tab=default_tab&amp;search_scope=EVERYTHING&amp;vid=01CRU&amp;lang=en_US&amp;offset=0&amp;query=any,contains,991002404209702656","Catalog Record")</f>
        <v/>
      </c>
      <c r="AV68">
        <f>HYPERLINK("http://www.worldcat.org/oclc/338345","WorldCat Record")</f>
        <v/>
      </c>
      <c r="AW68" t="inlineStr">
        <is>
          <t>405926:eng</t>
        </is>
      </c>
      <c r="AX68" t="inlineStr">
        <is>
          <t>338345</t>
        </is>
      </c>
      <c r="AY68" t="inlineStr">
        <is>
          <t>991002404209702656</t>
        </is>
      </c>
      <c r="AZ68" t="inlineStr">
        <is>
          <t>991002404209702656</t>
        </is>
      </c>
      <c r="BA68" t="inlineStr">
        <is>
          <t>2257139560002656</t>
        </is>
      </c>
      <c r="BB68" t="inlineStr">
        <is>
          <t>BOOK</t>
        </is>
      </c>
      <c r="BE68" t="inlineStr">
        <is>
          <t>32285002275062</t>
        </is>
      </c>
      <c r="BF68" t="inlineStr">
        <is>
          <t>893498073</t>
        </is>
      </c>
    </row>
    <row r="69">
      <c r="B69" t="inlineStr">
        <is>
          <t>CURAL</t>
        </is>
      </c>
      <c r="C69" t="inlineStr">
        <is>
          <t>SHELVES</t>
        </is>
      </c>
      <c r="D69" t="inlineStr">
        <is>
          <t>CB311 .C3</t>
        </is>
      </c>
      <c r="E69" t="inlineStr">
        <is>
          <t>0                      CB 0311000C  3</t>
        </is>
      </c>
      <c r="F69" t="inlineStr">
        <is>
          <t>The ancient world, by Wallace Everett Caldwell ...</t>
        </is>
      </c>
      <c r="H69" t="inlineStr">
        <is>
          <t>No</t>
        </is>
      </c>
      <c r="I69" t="inlineStr">
        <is>
          <t>1</t>
        </is>
      </c>
      <c r="J69" t="inlineStr">
        <is>
          <t>No</t>
        </is>
      </c>
      <c r="K69" t="inlineStr">
        <is>
          <t>No</t>
        </is>
      </c>
      <c r="L69" t="inlineStr">
        <is>
          <t>0</t>
        </is>
      </c>
      <c r="M69" t="inlineStr">
        <is>
          <t>Caldwell, Wallace Everett, 1890-1961.</t>
        </is>
      </c>
      <c r="N69" t="inlineStr">
        <is>
          <t>New York, Farrar &amp; Rinehart, inc. [c1937]</t>
        </is>
      </c>
      <c r="O69" t="inlineStr">
        <is>
          <t>1937</t>
        </is>
      </c>
      <c r="Q69" t="inlineStr">
        <is>
          <t>eng</t>
        </is>
      </c>
      <c r="R69" t="inlineStr">
        <is>
          <t>nyu</t>
        </is>
      </c>
      <c r="S69" t="inlineStr">
        <is>
          <t>The Civilization of the western world. vol. 1</t>
        </is>
      </c>
      <c r="T69" t="inlineStr">
        <is>
          <t xml:space="preserve">CB </t>
        </is>
      </c>
      <c r="U69" t="n">
        <v>3</v>
      </c>
      <c r="V69" t="n">
        <v>3</v>
      </c>
      <c r="W69" t="inlineStr">
        <is>
          <t>2001-03-16</t>
        </is>
      </c>
      <c r="X69" t="inlineStr">
        <is>
          <t>2001-03-16</t>
        </is>
      </c>
      <c r="Y69" t="inlineStr">
        <is>
          <t>1996-08-19</t>
        </is>
      </c>
      <c r="Z69" t="inlineStr">
        <is>
          <t>1996-08-19</t>
        </is>
      </c>
      <c r="AA69" t="n">
        <v>228</v>
      </c>
      <c r="AB69" t="n">
        <v>211</v>
      </c>
      <c r="AC69" t="n">
        <v>626</v>
      </c>
      <c r="AD69" t="n">
        <v>2</v>
      </c>
      <c r="AE69" t="n">
        <v>5</v>
      </c>
      <c r="AF69" t="n">
        <v>7</v>
      </c>
      <c r="AG69" t="n">
        <v>24</v>
      </c>
      <c r="AH69" t="n">
        <v>2</v>
      </c>
      <c r="AI69" t="n">
        <v>10</v>
      </c>
      <c r="AJ69" t="n">
        <v>1</v>
      </c>
      <c r="AK69" t="n">
        <v>3</v>
      </c>
      <c r="AL69" t="n">
        <v>4</v>
      </c>
      <c r="AM69" t="n">
        <v>10</v>
      </c>
      <c r="AN69" t="n">
        <v>1</v>
      </c>
      <c r="AO69" t="n">
        <v>4</v>
      </c>
      <c r="AP69" t="n">
        <v>0</v>
      </c>
      <c r="AQ69" t="n">
        <v>0</v>
      </c>
      <c r="AR69" t="inlineStr">
        <is>
          <t>No</t>
        </is>
      </c>
      <c r="AS69" t="inlineStr">
        <is>
          <t>Yes</t>
        </is>
      </c>
      <c r="AT69">
        <f>HYPERLINK("http://catalog.hathitrust.org/Record/000479899","HathiTrust Record")</f>
        <v/>
      </c>
      <c r="AU69">
        <f>HYPERLINK("https://creighton-primo.hosted.exlibrisgroup.com/primo-explore/search?tab=default_tab&amp;search_scope=EVERYTHING&amp;vid=01CRU&amp;lang=en_US&amp;offset=0&amp;query=any,contains,991002659919702656","Catalog Record")</f>
        <v/>
      </c>
      <c r="AV69">
        <f>HYPERLINK("http://www.worldcat.org/oclc/391016","WorldCat Record")</f>
        <v/>
      </c>
      <c r="AW69" t="inlineStr">
        <is>
          <t>1435289:eng</t>
        </is>
      </c>
      <c r="AX69" t="inlineStr">
        <is>
          <t>391016</t>
        </is>
      </c>
      <c r="AY69" t="inlineStr">
        <is>
          <t>991002659919702656</t>
        </is>
      </c>
      <c r="AZ69" t="inlineStr">
        <is>
          <t>991002659919702656</t>
        </is>
      </c>
      <c r="BA69" t="inlineStr">
        <is>
          <t>2260852450002656</t>
        </is>
      </c>
      <c r="BB69" t="inlineStr">
        <is>
          <t>BOOK</t>
        </is>
      </c>
      <c r="BE69" t="inlineStr">
        <is>
          <t>32285002275096</t>
        </is>
      </c>
      <c r="BF69" t="inlineStr">
        <is>
          <t>893591618</t>
        </is>
      </c>
    </row>
    <row r="70">
      <c r="B70" t="inlineStr">
        <is>
          <t>CURAL</t>
        </is>
      </c>
      <c r="C70" t="inlineStr">
        <is>
          <t>SHELVES</t>
        </is>
      </c>
      <c r="D70" t="inlineStr">
        <is>
          <t>CB311 .C334 2003</t>
        </is>
      </c>
      <c r="E70" t="inlineStr">
        <is>
          <t>0                      CB 0311000C  334         2003</t>
        </is>
      </c>
      <c r="F70" t="inlineStr">
        <is>
          <t>Antiquity : the civilization of the ancient world / Norman F. Cantor.</t>
        </is>
      </c>
      <c r="H70" t="inlineStr">
        <is>
          <t>No</t>
        </is>
      </c>
      <c r="I70" t="inlineStr">
        <is>
          <t>1</t>
        </is>
      </c>
      <c r="J70" t="inlineStr">
        <is>
          <t>No</t>
        </is>
      </c>
      <c r="K70" t="inlineStr">
        <is>
          <t>No</t>
        </is>
      </c>
      <c r="L70" t="inlineStr">
        <is>
          <t>0</t>
        </is>
      </c>
      <c r="M70" t="inlineStr">
        <is>
          <t>Cantor, Norman F.</t>
        </is>
      </c>
      <c r="N70" t="inlineStr">
        <is>
          <t>New York : HarperCollins, c2003.</t>
        </is>
      </c>
      <c r="O70" t="inlineStr">
        <is>
          <t>2003</t>
        </is>
      </c>
      <c r="P70" t="inlineStr">
        <is>
          <t>1st ed.</t>
        </is>
      </c>
      <c r="Q70" t="inlineStr">
        <is>
          <t>eng</t>
        </is>
      </c>
      <c r="R70" t="inlineStr">
        <is>
          <t>nyu</t>
        </is>
      </c>
      <c r="T70" t="inlineStr">
        <is>
          <t xml:space="preserve">CB </t>
        </is>
      </c>
      <c r="U70" t="n">
        <v>2</v>
      </c>
      <c r="V70" t="n">
        <v>2</v>
      </c>
      <c r="W70" t="inlineStr">
        <is>
          <t>2004-05-19</t>
        </is>
      </c>
      <c r="X70" t="inlineStr">
        <is>
          <t>2004-05-19</t>
        </is>
      </c>
      <c r="Y70" t="inlineStr">
        <is>
          <t>2003-10-07</t>
        </is>
      </c>
      <c r="Z70" t="inlineStr">
        <is>
          <t>2003-10-07</t>
        </is>
      </c>
      <c r="AA70" t="n">
        <v>955</v>
      </c>
      <c r="AB70" t="n">
        <v>896</v>
      </c>
      <c r="AC70" t="n">
        <v>901</v>
      </c>
      <c r="AD70" t="n">
        <v>3</v>
      </c>
      <c r="AE70" t="n">
        <v>3</v>
      </c>
      <c r="AF70" t="n">
        <v>15</v>
      </c>
      <c r="AG70" t="n">
        <v>15</v>
      </c>
      <c r="AH70" t="n">
        <v>7</v>
      </c>
      <c r="AI70" t="n">
        <v>7</v>
      </c>
      <c r="AJ70" t="n">
        <v>3</v>
      </c>
      <c r="AK70" t="n">
        <v>3</v>
      </c>
      <c r="AL70" t="n">
        <v>9</v>
      </c>
      <c r="AM70" t="n">
        <v>9</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HYPERLINK("https://creighton-primo.hosted.exlibrisgroup.com/primo-explore/search?tab=default_tab&amp;search_scope=EVERYTHING&amp;vid=01CRU&amp;lang=en_US&amp;offset=0&amp;query=any,contains,991004111869702656","Catalog Record")</f>
        <v/>
      </c>
      <c r="AV70">
        <f>HYPERLINK("http://www.worldcat.org/oclc/51810881","WorldCat Record")</f>
        <v/>
      </c>
      <c r="AW70" t="inlineStr">
        <is>
          <t>13345854:eng</t>
        </is>
      </c>
      <c r="AX70" t="inlineStr">
        <is>
          <t>51810881</t>
        </is>
      </c>
      <c r="AY70" t="inlineStr">
        <is>
          <t>991004111869702656</t>
        </is>
      </c>
      <c r="AZ70" t="inlineStr">
        <is>
          <t>991004111869702656</t>
        </is>
      </c>
      <c r="BA70" t="inlineStr">
        <is>
          <t>2256666110002656</t>
        </is>
      </c>
      <c r="BB70" t="inlineStr">
        <is>
          <t>BOOK</t>
        </is>
      </c>
      <c r="BD70" t="inlineStr">
        <is>
          <t>9780060174095</t>
        </is>
      </c>
      <c r="BE70" t="inlineStr">
        <is>
          <t>32285004786637</t>
        </is>
      </c>
      <c r="BF70" t="inlineStr">
        <is>
          <t>893693531</t>
        </is>
      </c>
    </row>
    <row r="71">
      <c r="B71" t="inlineStr">
        <is>
          <t>CURAL</t>
        </is>
      </c>
      <c r="C71" t="inlineStr">
        <is>
          <t>SHELVES</t>
        </is>
      </c>
      <c r="D71" t="inlineStr">
        <is>
          <t>CB311 .C37</t>
        </is>
      </c>
      <c r="E71" t="inlineStr">
        <is>
          <t>0                      CB 0311000C  37</t>
        </is>
      </c>
      <c r="F71" t="inlineStr">
        <is>
          <t>Exploring the unknown : great mysteries reexamined / Charles J. Cazeau and Stuart D. Scott, Jr.</t>
        </is>
      </c>
      <c r="H71" t="inlineStr">
        <is>
          <t>No</t>
        </is>
      </c>
      <c r="I71" t="inlineStr">
        <is>
          <t>1</t>
        </is>
      </c>
      <c r="J71" t="inlineStr">
        <is>
          <t>No</t>
        </is>
      </c>
      <c r="K71" t="inlineStr">
        <is>
          <t>No</t>
        </is>
      </c>
      <c r="L71" t="inlineStr">
        <is>
          <t>0</t>
        </is>
      </c>
      <c r="M71" t="inlineStr">
        <is>
          <t>Cazeau, Charles J.</t>
        </is>
      </c>
      <c r="N71" t="inlineStr">
        <is>
          <t>New York : Plenum Press, c1979.</t>
        </is>
      </c>
      <c r="O71" t="inlineStr">
        <is>
          <t>1979</t>
        </is>
      </c>
      <c r="Q71" t="inlineStr">
        <is>
          <t>eng</t>
        </is>
      </c>
      <c r="R71" t="inlineStr">
        <is>
          <t>nyu</t>
        </is>
      </c>
      <c r="T71" t="inlineStr">
        <is>
          <t xml:space="preserve">CB </t>
        </is>
      </c>
      <c r="U71" t="n">
        <v>2</v>
      </c>
      <c r="V71" t="n">
        <v>2</v>
      </c>
      <c r="W71" t="inlineStr">
        <is>
          <t>1994-02-11</t>
        </is>
      </c>
      <c r="X71" t="inlineStr">
        <is>
          <t>1994-02-11</t>
        </is>
      </c>
      <c r="Y71" t="inlineStr">
        <is>
          <t>1992-06-01</t>
        </is>
      </c>
      <c r="Z71" t="inlineStr">
        <is>
          <t>1992-06-01</t>
        </is>
      </c>
      <c r="AA71" t="n">
        <v>426</v>
      </c>
      <c r="AB71" t="n">
        <v>354</v>
      </c>
      <c r="AC71" t="n">
        <v>414</v>
      </c>
      <c r="AD71" t="n">
        <v>3</v>
      </c>
      <c r="AE71" t="n">
        <v>3</v>
      </c>
      <c r="AF71" t="n">
        <v>10</v>
      </c>
      <c r="AG71" t="n">
        <v>11</v>
      </c>
      <c r="AH71" t="n">
        <v>5</v>
      </c>
      <c r="AI71" t="n">
        <v>6</v>
      </c>
      <c r="AJ71" t="n">
        <v>2</v>
      </c>
      <c r="AK71" t="n">
        <v>2</v>
      </c>
      <c r="AL71" t="n">
        <v>4</v>
      </c>
      <c r="AM71" t="n">
        <v>5</v>
      </c>
      <c r="AN71" t="n">
        <v>2</v>
      </c>
      <c r="AO71" t="n">
        <v>2</v>
      </c>
      <c r="AP71" t="n">
        <v>0</v>
      </c>
      <c r="AQ71" t="n">
        <v>0</v>
      </c>
      <c r="AR71" t="inlineStr">
        <is>
          <t>No</t>
        </is>
      </c>
      <c r="AS71" t="inlineStr">
        <is>
          <t>Yes</t>
        </is>
      </c>
      <c r="AT71">
        <f>HYPERLINK("http://catalog.hathitrust.org/Record/000044673","HathiTrust Record")</f>
        <v/>
      </c>
      <c r="AU71">
        <f>HYPERLINK("https://creighton-primo.hosted.exlibrisgroup.com/primo-explore/search?tab=default_tab&amp;search_scope=EVERYTHING&amp;vid=01CRU&amp;lang=en_US&amp;offset=0&amp;query=any,contains,991004670389702656","Catalog Record")</f>
        <v/>
      </c>
      <c r="AV71">
        <f>HYPERLINK("http://www.worldcat.org/oclc/4515347","WorldCat Record")</f>
        <v/>
      </c>
      <c r="AW71" t="inlineStr">
        <is>
          <t>440010:eng</t>
        </is>
      </c>
      <c r="AX71" t="inlineStr">
        <is>
          <t>4515347</t>
        </is>
      </c>
      <c r="AY71" t="inlineStr">
        <is>
          <t>991004670389702656</t>
        </is>
      </c>
      <c r="AZ71" t="inlineStr">
        <is>
          <t>991004670389702656</t>
        </is>
      </c>
      <c r="BA71" t="inlineStr">
        <is>
          <t>2265565830002656</t>
        </is>
      </c>
      <c r="BB71" t="inlineStr">
        <is>
          <t>BOOK</t>
        </is>
      </c>
      <c r="BD71" t="inlineStr">
        <is>
          <t>9780306402104</t>
        </is>
      </c>
      <c r="BE71" t="inlineStr">
        <is>
          <t>32285001143162</t>
        </is>
      </c>
      <c r="BF71" t="inlineStr">
        <is>
          <t>893350262</t>
        </is>
      </c>
    </row>
    <row r="72">
      <c r="B72" t="inlineStr">
        <is>
          <t>CURAL</t>
        </is>
      </c>
      <c r="C72" t="inlineStr">
        <is>
          <t>SHELVES</t>
        </is>
      </c>
      <c r="D72" t="inlineStr">
        <is>
          <t>CB311 .D4713 1978</t>
        </is>
      </c>
      <c r="E72" t="inlineStr">
        <is>
          <t>0                      CB 0311000D  4713        1978</t>
        </is>
      </c>
      <c r="F72" t="inlineStr">
        <is>
          <t>The World's last mysteries.</t>
        </is>
      </c>
      <c r="H72" t="inlineStr">
        <is>
          <t>No</t>
        </is>
      </c>
      <c r="I72" t="inlineStr">
        <is>
          <t>1</t>
        </is>
      </c>
      <c r="J72" t="inlineStr">
        <is>
          <t>No</t>
        </is>
      </c>
      <c r="K72" t="inlineStr">
        <is>
          <t>No</t>
        </is>
      </c>
      <c r="L72" t="inlineStr">
        <is>
          <t>0</t>
        </is>
      </c>
      <c r="M72" t="inlineStr">
        <is>
          <t>Derniers mystères du monde. English.</t>
        </is>
      </c>
      <c r="N72" t="inlineStr">
        <is>
          <t>Pleasantville, N.Y. : Reader's Digest Association, c1978.</t>
        </is>
      </c>
      <c r="O72" t="inlineStr">
        <is>
          <t>1978</t>
        </is>
      </c>
      <c r="Q72" t="inlineStr">
        <is>
          <t>eng</t>
        </is>
      </c>
      <c r="R72" t="inlineStr">
        <is>
          <t>nyu</t>
        </is>
      </c>
      <c r="T72" t="inlineStr">
        <is>
          <t xml:space="preserve">CB </t>
        </is>
      </c>
      <c r="U72" t="n">
        <v>3</v>
      </c>
      <c r="V72" t="n">
        <v>3</v>
      </c>
      <c r="W72" t="inlineStr">
        <is>
          <t>2006-01-30</t>
        </is>
      </c>
      <c r="X72" t="inlineStr">
        <is>
          <t>2006-01-30</t>
        </is>
      </c>
      <c r="Y72" t="inlineStr">
        <is>
          <t>1990-10-30</t>
        </is>
      </c>
      <c r="Z72" t="inlineStr">
        <is>
          <t>1990-10-30</t>
        </is>
      </c>
      <c r="AA72" t="n">
        <v>2139</v>
      </c>
      <c r="AB72" t="n">
        <v>2066</v>
      </c>
      <c r="AC72" t="n">
        <v>2137</v>
      </c>
      <c r="AD72" t="n">
        <v>21</v>
      </c>
      <c r="AE72" t="n">
        <v>22</v>
      </c>
      <c r="AF72" t="n">
        <v>19</v>
      </c>
      <c r="AG72" t="n">
        <v>20</v>
      </c>
      <c r="AH72" t="n">
        <v>12</v>
      </c>
      <c r="AI72" t="n">
        <v>12</v>
      </c>
      <c r="AJ72" t="n">
        <v>1</v>
      </c>
      <c r="AK72" t="n">
        <v>2</v>
      </c>
      <c r="AL72" t="n">
        <v>5</v>
      </c>
      <c r="AM72" t="n">
        <v>5</v>
      </c>
      <c r="AN72" t="n">
        <v>3</v>
      </c>
      <c r="AO72" t="n">
        <v>3</v>
      </c>
      <c r="AP72" t="n">
        <v>1</v>
      </c>
      <c r="AQ72" t="n">
        <v>1</v>
      </c>
      <c r="AR72" t="inlineStr">
        <is>
          <t>No</t>
        </is>
      </c>
      <c r="AS72" t="inlineStr">
        <is>
          <t>Yes</t>
        </is>
      </c>
      <c r="AT72">
        <f>HYPERLINK("http://catalog.hathitrust.org/Record/101490970","HathiTrust Record")</f>
        <v/>
      </c>
      <c r="AU72">
        <f>HYPERLINK("https://creighton-primo.hosted.exlibrisgroup.com/primo-explore/search?tab=default_tab&amp;search_scope=EVERYTHING&amp;vid=01CRU&amp;lang=en_US&amp;offset=0&amp;query=any,contains,991004550949702656","Catalog Record")</f>
        <v/>
      </c>
      <c r="AV72">
        <f>HYPERLINK("http://www.worldcat.org/oclc/3934528","WorldCat Record")</f>
        <v/>
      </c>
      <c r="AW72" t="inlineStr">
        <is>
          <t>1151067656:eng</t>
        </is>
      </c>
      <c r="AX72" t="inlineStr">
        <is>
          <t>3934528</t>
        </is>
      </c>
      <c r="AY72" t="inlineStr">
        <is>
          <t>991004550949702656</t>
        </is>
      </c>
      <c r="AZ72" t="inlineStr">
        <is>
          <t>991004550949702656</t>
        </is>
      </c>
      <c r="BA72" t="inlineStr">
        <is>
          <t>2268245310002656</t>
        </is>
      </c>
      <c r="BB72" t="inlineStr">
        <is>
          <t>BOOK</t>
        </is>
      </c>
      <c r="BD72" t="inlineStr">
        <is>
          <t>9780895770448</t>
        </is>
      </c>
      <c r="BE72" t="inlineStr">
        <is>
          <t>32285000296052</t>
        </is>
      </c>
      <c r="BF72" t="inlineStr">
        <is>
          <t>893712758</t>
        </is>
      </c>
    </row>
    <row r="73">
      <c r="B73" t="inlineStr">
        <is>
          <t>CURAL</t>
        </is>
      </c>
      <c r="C73" t="inlineStr">
        <is>
          <t>SHELVES</t>
        </is>
      </c>
      <c r="D73" t="inlineStr">
        <is>
          <t>CB311 .J385 1999</t>
        </is>
      </c>
      <c r="E73" t="inlineStr">
        <is>
          <t>0                      CB 0311000J  385         1999</t>
        </is>
      </c>
      <c r="F73" t="inlineStr">
        <is>
          <t>Ancient mysteries / Peter James &amp; Nick Thorpe.</t>
        </is>
      </c>
      <c r="H73" t="inlineStr">
        <is>
          <t>No</t>
        </is>
      </c>
      <c r="I73" t="inlineStr">
        <is>
          <t>1</t>
        </is>
      </c>
      <c r="J73" t="inlineStr">
        <is>
          <t>No</t>
        </is>
      </c>
      <c r="K73" t="inlineStr">
        <is>
          <t>No</t>
        </is>
      </c>
      <c r="L73" t="inlineStr">
        <is>
          <t>0</t>
        </is>
      </c>
      <c r="M73" t="inlineStr">
        <is>
          <t>James, Peter (Peter J.)</t>
        </is>
      </c>
      <c r="N73" t="inlineStr">
        <is>
          <t>New York : Ballantine Books, 1999.</t>
        </is>
      </c>
      <c r="O73" t="inlineStr">
        <is>
          <t>1999</t>
        </is>
      </c>
      <c r="P73" t="inlineStr">
        <is>
          <t>1st ed.</t>
        </is>
      </c>
      <c r="Q73" t="inlineStr">
        <is>
          <t>eng</t>
        </is>
      </c>
      <c r="R73" t="inlineStr">
        <is>
          <t>nyu</t>
        </is>
      </c>
      <c r="T73" t="inlineStr">
        <is>
          <t xml:space="preserve">CB </t>
        </is>
      </c>
      <c r="U73" t="n">
        <v>4</v>
      </c>
      <c r="V73" t="n">
        <v>4</v>
      </c>
      <c r="W73" t="inlineStr">
        <is>
          <t>2009-04-14</t>
        </is>
      </c>
      <c r="X73" t="inlineStr">
        <is>
          <t>2009-04-14</t>
        </is>
      </c>
      <c r="Y73" t="inlineStr">
        <is>
          <t>2008-05-20</t>
        </is>
      </c>
      <c r="Z73" t="inlineStr">
        <is>
          <t>2008-05-20</t>
        </is>
      </c>
      <c r="AA73" t="n">
        <v>965</v>
      </c>
      <c r="AB73" t="n">
        <v>925</v>
      </c>
      <c r="AC73" t="n">
        <v>1093</v>
      </c>
      <c r="AD73" t="n">
        <v>8</v>
      </c>
      <c r="AE73" t="n">
        <v>10</v>
      </c>
      <c r="AF73" t="n">
        <v>3</v>
      </c>
      <c r="AG73" t="n">
        <v>4</v>
      </c>
      <c r="AH73" t="n">
        <v>1</v>
      </c>
      <c r="AI73" t="n">
        <v>1</v>
      </c>
      <c r="AJ73" t="n">
        <v>0</v>
      </c>
      <c r="AK73" t="n">
        <v>0</v>
      </c>
      <c r="AL73" t="n">
        <v>2</v>
      </c>
      <c r="AM73" t="n">
        <v>2</v>
      </c>
      <c r="AN73" t="n">
        <v>1</v>
      </c>
      <c r="AO73" t="n">
        <v>2</v>
      </c>
      <c r="AP73" t="n">
        <v>0</v>
      </c>
      <c r="AQ73" t="n">
        <v>0</v>
      </c>
      <c r="AR73" t="inlineStr">
        <is>
          <t>No</t>
        </is>
      </c>
      <c r="AS73" t="inlineStr">
        <is>
          <t>No</t>
        </is>
      </c>
      <c r="AU73">
        <f>HYPERLINK("https://creighton-primo.hosted.exlibrisgroup.com/primo-explore/search?tab=default_tab&amp;search_scope=EVERYTHING&amp;vid=01CRU&amp;lang=en_US&amp;offset=0&amp;query=any,contains,991005223639702656","Catalog Record")</f>
        <v/>
      </c>
      <c r="AV73">
        <f>HYPERLINK("http://www.worldcat.org/oclc/39051934","WorldCat Record")</f>
        <v/>
      </c>
      <c r="AW73" t="inlineStr">
        <is>
          <t>5992836:eng</t>
        </is>
      </c>
      <c r="AX73" t="inlineStr">
        <is>
          <t>39051934</t>
        </is>
      </c>
      <c r="AY73" t="inlineStr">
        <is>
          <t>991005223639702656</t>
        </is>
      </c>
      <c r="AZ73" t="inlineStr">
        <is>
          <t>991005223639702656</t>
        </is>
      </c>
      <c r="BA73" t="inlineStr">
        <is>
          <t>2256489660002656</t>
        </is>
      </c>
      <c r="BB73" t="inlineStr">
        <is>
          <t>BOOK</t>
        </is>
      </c>
      <c r="BD73" t="inlineStr">
        <is>
          <t>9780345401953</t>
        </is>
      </c>
      <c r="BE73" t="inlineStr">
        <is>
          <t>32285005409817</t>
        </is>
      </c>
      <c r="BF73" t="inlineStr">
        <is>
          <t>893795806</t>
        </is>
      </c>
    </row>
    <row r="74">
      <c r="B74" t="inlineStr">
        <is>
          <t>CURAL</t>
        </is>
      </c>
      <c r="C74" t="inlineStr">
        <is>
          <t>SHELVES</t>
        </is>
      </c>
      <c r="D74" t="inlineStr">
        <is>
          <t>CB311 .J6</t>
        </is>
      </c>
      <c r="E74" t="inlineStr">
        <is>
          <t>0                      CB 0311000J  6</t>
        </is>
      </c>
      <c r="F74" t="inlineStr">
        <is>
          <t>A short history of ancient civilization.</t>
        </is>
      </c>
      <c r="H74" t="inlineStr">
        <is>
          <t>No</t>
        </is>
      </c>
      <c r="I74" t="inlineStr">
        <is>
          <t>1</t>
        </is>
      </c>
      <c r="J74" t="inlineStr">
        <is>
          <t>No</t>
        </is>
      </c>
      <c r="K74" t="inlineStr">
        <is>
          <t>No</t>
        </is>
      </c>
      <c r="L74" t="inlineStr">
        <is>
          <t>0</t>
        </is>
      </c>
      <c r="M74" t="inlineStr">
        <is>
          <t>Jones, Tom B. (Tom Bard), 1909-1999.</t>
        </is>
      </c>
      <c r="N74" t="inlineStr">
        <is>
          <t>New York, Harper [1941]</t>
        </is>
      </c>
      <c r="O74" t="inlineStr">
        <is>
          <t>1941</t>
        </is>
      </c>
      <c r="P74" t="inlineStr">
        <is>
          <t>[1st ed.]</t>
        </is>
      </c>
      <c r="Q74" t="inlineStr">
        <is>
          <t>eng</t>
        </is>
      </c>
      <c r="R74" t="inlineStr">
        <is>
          <t>nyu</t>
        </is>
      </c>
      <c r="S74" t="inlineStr">
        <is>
          <t>Harper's historical series</t>
        </is>
      </c>
      <c r="T74" t="inlineStr">
        <is>
          <t xml:space="preserve">CB </t>
        </is>
      </c>
      <c r="U74" t="n">
        <v>3</v>
      </c>
      <c r="V74" t="n">
        <v>3</v>
      </c>
      <c r="W74" t="inlineStr">
        <is>
          <t>2001-03-16</t>
        </is>
      </c>
      <c r="X74" t="inlineStr">
        <is>
          <t>2001-03-16</t>
        </is>
      </c>
      <c r="Y74" t="inlineStr">
        <is>
          <t>1996-08-19</t>
        </is>
      </c>
      <c r="Z74" t="inlineStr">
        <is>
          <t>1996-08-19</t>
        </is>
      </c>
      <c r="AA74" t="n">
        <v>102</v>
      </c>
      <c r="AB74" t="n">
        <v>97</v>
      </c>
      <c r="AC74" t="n">
        <v>97</v>
      </c>
      <c r="AD74" t="n">
        <v>1</v>
      </c>
      <c r="AE74" t="n">
        <v>1</v>
      </c>
      <c r="AF74" t="n">
        <v>6</v>
      </c>
      <c r="AG74" t="n">
        <v>6</v>
      </c>
      <c r="AH74" t="n">
        <v>2</v>
      </c>
      <c r="AI74" t="n">
        <v>2</v>
      </c>
      <c r="AJ74" t="n">
        <v>3</v>
      </c>
      <c r="AK74" t="n">
        <v>3</v>
      </c>
      <c r="AL74" t="n">
        <v>3</v>
      </c>
      <c r="AM74" t="n">
        <v>3</v>
      </c>
      <c r="AN74" t="n">
        <v>0</v>
      </c>
      <c r="AO74" t="n">
        <v>0</v>
      </c>
      <c r="AP74" t="n">
        <v>0</v>
      </c>
      <c r="AQ74" t="n">
        <v>0</v>
      </c>
      <c r="AR74" t="inlineStr">
        <is>
          <t>No</t>
        </is>
      </c>
      <c r="AS74" t="inlineStr">
        <is>
          <t>No</t>
        </is>
      </c>
      <c r="AU74">
        <f>HYPERLINK("https://creighton-primo.hosted.exlibrisgroup.com/primo-explore/search?tab=default_tab&amp;search_scope=EVERYTHING&amp;vid=01CRU&amp;lang=en_US&amp;offset=0&amp;query=any,contains,991004255729702656","Catalog Record")</f>
        <v/>
      </c>
      <c r="AV74">
        <f>HYPERLINK("http://www.worldcat.org/oclc/2823559","WorldCat Record")</f>
        <v/>
      </c>
      <c r="AW74" t="inlineStr">
        <is>
          <t>3857197902:eng</t>
        </is>
      </c>
      <c r="AX74" t="inlineStr">
        <is>
          <t>2823559</t>
        </is>
      </c>
      <c r="AY74" t="inlineStr">
        <is>
          <t>991004255729702656</t>
        </is>
      </c>
      <c r="AZ74" t="inlineStr">
        <is>
          <t>991004255729702656</t>
        </is>
      </c>
      <c r="BA74" t="inlineStr">
        <is>
          <t>2256975770002656</t>
        </is>
      </c>
      <c r="BB74" t="inlineStr">
        <is>
          <t>BOOK</t>
        </is>
      </c>
      <c r="BE74" t="inlineStr">
        <is>
          <t>32285002275120</t>
        </is>
      </c>
      <c r="BF74" t="inlineStr">
        <is>
          <t>893423572</t>
        </is>
      </c>
    </row>
    <row r="75">
      <c r="B75" t="inlineStr">
        <is>
          <t>CURAL</t>
        </is>
      </c>
      <c r="C75" t="inlineStr">
        <is>
          <t>SHELVES</t>
        </is>
      </c>
      <c r="D75" t="inlineStr">
        <is>
          <t>CB311 .M27 2001</t>
        </is>
      </c>
      <c r="E75" t="inlineStr">
        <is>
          <t>0                      CB 0311000M  27          2001</t>
        </is>
      </c>
      <c r="F75" t="inlineStr">
        <is>
          <t>Early civilizations of the old world : the formative histories of Egypt, the Levant, Mesopotamia, India and China / Charles Keith Maisels.</t>
        </is>
      </c>
      <c r="H75" t="inlineStr">
        <is>
          <t>No</t>
        </is>
      </c>
      <c r="I75" t="inlineStr">
        <is>
          <t>1</t>
        </is>
      </c>
      <c r="J75" t="inlineStr">
        <is>
          <t>No</t>
        </is>
      </c>
      <c r="K75" t="inlineStr">
        <is>
          <t>No</t>
        </is>
      </c>
      <c r="L75" t="inlineStr">
        <is>
          <t>0</t>
        </is>
      </c>
      <c r="M75" t="inlineStr">
        <is>
          <t>Maisels, Charles Keith.</t>
        </is>
      </c>
      <c r="N75" t="inlineStr">
        <is>
          <t>London ; New York : Routledge, 2001, c1999.</t>
        </is>
      </c>
      <c r="O75" t="inlineStr">
        <is>
          <t>2001</t>
        </is>
      </c>
      <c r="Q75" t="inlineStr">
        <is>
          <t>eng</t>
        </is>
      </c>
      <c r="R75" t="inlineStr">
        <is>
          <t>enk</t>
        </is>
      </c>
      <c r="T75" t="inlineStr">
        <is>
          <t xml:space="preserve">CB </t>
        </is>
      </c>
      <c r="U75" t="n">
        <v>4</v>
      </c>
      <c r="V75" t="n">
        <v>4</v>
      </c>
      <c r="W75" t="inlineStr">
        <is>
          <t>2004-02-28</t>
        </is>
      </c>
      <c r="X75" t="inlineStr">
        <is>
          <t>2004-02-28</t>
        </is>
      </c>
      <c r="Y75" t="inlineStr">
        <is>
          <t>2002-10-29</t>
        </is>
      </c>
      <c r="Z75" t="inlineStr">
        <is>
          <t>2002-10-29</t>
        </is>
      </c>
      <c r="AA75" t="n">
        <v>565</v>
      </c>
      <c r="AB75" t="n">
        <v>403</v>
      </c>
      <c r="AC75" t="n">
        <v>495</v>
      </c>
      <c r="AD75" t="n">
        <v>3</v>
      </c>
      <c r="AE75" t="n">
        <v>3</v>
      </c>
      <c r="AF75" t="n">
        <v>18</v>
      </c>
      <c r="AG75" t="n">
        <v>18</v>
      </c>
      <c r="AH75" t="n">
        <v>5</v>
      </c>
      <c r="AI75" t="n">
        <v>5</v>
      </c>
      <c r="AJ75" t="n">
        <v>6</v>
      </c>
      <c r="AK75" t="n">
        <v>6</v>
      </c>
      <c r="AL75" t="n">
        <v>11</v>
      </c>
      <c r="AM75" t="n">
        <v>11</v>
      </c>
      <c r="AN75" t="n">
        <v>2</v>
      </c>
      <c r="AO75" t="n">
        <v>2</v>
      </c>
      <c r="AP75" t="n">
        <v>0</v>
      </c>
      <c r="AQ75" t="n">
        <v>0</v>
      </c>
      <c r="AR75" t="inlineStr">
        <is>
          <t>No</t>
        </is>
      </c>
      <c r="AS75" t="inlineStr">
        <is>
          <t>No</t>
        </is>
      </c>
      <c r="AU75">
        <f>HYPERLINK("https://creighton-primo.hosted.exlibrisgroup.com/primo-explore/search?tab=default_tab&amp;search_scope=EVERYTHING&amp;vid=01CRU&amp;lang=en_US&amp;offset=0&amp;query=any,contains,991003902629702656","Catalog Record")</f>
        <v/>
      </c>
      <c r="AV75">
        <f>HYPERLINK("http://www.worldcat.org/oclc/41019081","WorldCat Record")</f>
        <v/>
      </c>
      <c r="AW75" t="inlineStr">
        <is>
          <t>801288171:eng</t>
        </is>
      </c>
      <c r="AX75" t="inlineStr">
        <is>
          <t>41019081</t>
        </is>
      </c>
      <c r="AY75" t="inlineStr">
        <is>
          <t>991003902629702656</t>
        </is>
      </c>
      <c r="AZ75" t="inlineStr">
        <is>
          <t>991003902629702656</t>
        </is>
      </c>
      <c r="BA75" t="inlineStr">
        <is>
          <t>2271803940002656</t>
        </is>
      </c>
      <c r="BB75" t="inlineStr">
        <is>
          <t>BOOK</t>
        </is>
      </c>
      <c r="BD75" t="inlineStr">
        <is>
          <t>9780415109758</t>
        </is>
      </c>
      <c r="BE75" t="inlineStr">
        <is>
          <t>32285004658877</t>
        </is>
      </c>
      <c r="BF75" t="inlineStr">
        <is>
          <t>893869037</t>
        </is>
      </c>
    </row>
    <row r="76">
      <c r="B76" t="inlineStr">
        <is>
          <t>CURAL</t>
        </is>
      </c>
      <c r="C76" t="inlineStr">
        <is>
          <t>SHELVES</t>
        </is>
      </c>
      <c r="D76" t="inlineStr">
        <is>
          <t>CB311 .M92 1979</t>
        </is>
      </c>
      <c r="E76" t="inlineStr">
        <is>
          <t>0                      CB 0311000M  92          1979</t>
        </is>
      </c>
      <c r="F76" t="inlineStr">
        <is>
          <t>Mysteries of the ancient world / [contributing authors, Christine K. Eckstrom ... [et al.] ; contributing photographers, Nathan Benn ... [et al.] ; paintings by Roy Anderson] ; prepared by the Special Publications Division, National Geographic Society.</t>
        </is>
      </c>
      <c r="H76" t="inlineStr">
        <is>
          <t>No</t>
        </is>
      </c>
      <c r="I76" t="inlineStr">
        <is>
          <t>1</t>
        </is>
      </c>
      <c r="J76" t="inlineStr">
        <is>
          <t>No</t>
        </is>
      </c>
      <c r="K76" t="inlineStr">
        <is>
          <t>No</t>
        </is>
      </c>
      <c r="L76" t="inlineStr">
        <is>
          <t>0</t>
        </is>
      </c>
      <c r="N76" t="inlineStr">
        <is>
          <t>[Washington, D.C.] : National Geographic Society, c1979.</t>
        </is>
      </c>
      <c r="O76" t="inlineStr">
        <is>
          <t>1979</t>
        </is>
      </c>
      <c r="Q76" t="inlineStr">
        <is>
          <t>eng</t>
        </is>
      </c>
      <c r="R76" t="inlineStr">
        <is>
          <t>dcu</t>
        </is>
      </c>
      <c r="T76" t="inlineStr">
        <is>
          <t xml:space="preserve">CB </t>
        </is>
      </c>
      <c r="U76" t="n">
        <v>1</v>
      </c>
      <c r="V76" t="n">
        <v>1</v>
      </c>
      <c r="W76" t="inlineStr">
        <is>
          <t>2008-06-11</t>
        </is>
      </c>
      <c r="X76" t="inlineStr">
        <is>
          <t>2008-06-11</t>
        </is>
      </c>
      <c r="Y76" t="inlineStr">
        <is>
          <t>2008-06-11</t>
        </is>
      </c>
      <c r="Z76" t="inlineStr">
        <is>
          <t>2008-06-11</t>
        </is>
      </c>
      <c r="AA76" t="n">
        <v>1765</v>
      </c>
      <c r="AB76" t="n">
        <v>1665</v>
      </c>
      <c r="AC76" t="n">
        <v>1682</v>
      </c>
      <c r="AD76" t="n">
        <v>11</v>
      </c>
      <c r="AE76" t="n">
        <v>11</v>
      </c>
      <c r="AF76" t="n">
        <v>14</v>
      </c>
      <c r="AG76" t="n">
        <v>14</v>
      </c>
      <c r="AH76" t="n">
        <v>6</v>
      </c>
      <c r="AI76" t="n">
        <v>6</v>
      </c>
      <c r="AJ76" t="n">
        <v>2</v>
      </c>
      <c r="AK76" t="n">
        <v>2</v>
      </c>
      <c r="AL76" t="n">
        <v>6</v>
      </c>
      <c r="AM76" t="n">
        <v>6</v>
      </c>
      <c r="AN76" t="n">
        <v>2</v>
      </c>
      <c r="AO76" t="n">
        <v>2</v>
      </c>
      <c r="AP76" t="n">
        <v>1</v>
      </c>
      <c r="AQ76" t="n">
        <v>1</v>
      </c>
      <c r="AR76" t="inlineStr">
        <is>
          <t>No</t>
        </is>
      </c>
      <c r="AS76" t="inlineStr">
        <is>
          <t>No</t>
        </is>
      </c>
      <c r="AU76">
        <f>HYPERLINK("https://creighton-primo.hosted.exlibrisgroup.com/primo-explore/search?tab=default_tab&amp;search_scope=EVERYTHING&amp;vid=01CRU&amp;lang=en_US&amp;offset=0&amp;query=any,contains,991005234109702656","Catalog Record")</f>
        <v/>
      </c>
      <c r="AV76">
        <f>HYPERLINK("http://www.worldcat.org/oclc/4593708","WorldCat Record")</f>
        <v/>
      </c>
      <c r="AW76" t="inlineStr">
        <is>
          <t>687863368:eng</t>
        </is>
      </c>
      <c r="AX76" t="inlineStr">
        <is>
          <t>4593708</t>
        </is>
      </c>
      <c r="AY76" t="inlineStr">
        <is>
          <t>991005234109702656</t>
        </is>
      </c>
      <c r="AZ76" t="inlineStr">
        <is>
          <t>991005234109702656</t>
        </is>
      </c>
      <c r="BA76" t="inlineStr">
        <is>
          <t>2271326470002656</t>
        </is>
      </c>
      <c r="BB76" t="inlineStr">
        <is>
          <t>BOOK</t>
        </is>
      </c>
      <c r="BD76" t="inlineStr">
        <is>
          <t>9780870442544</t>
        </is>
      </c>
      <c r="BE76" t="inlineStr">
        <is>
          <t>32285005444830</t>
        </is>
      </c>
      <c r="BF76" t="inlineStr">
        <is>
          <t>893338772</t>
        </is>
      </c>
    </row>
    <row r="77">
      <c r="B77" t="inlineStr">
        <is>
          <t>CURAL</t>
        </is>
      </c>
      <c r="C77" t="inlineStr">
        <is>
          <t>SHELVES</t>
        </is>
      </c>
      <c r="D77" t="inlineStr">
        <is>
          <t>CB311 .O73</t>
        </is>
      </c>
      <c r="E77" t="inlineStr">
        <is>
          <t>0                      CB 0311000O  73</t>
        </is>
      </c>
      <c r="F77" t="inlineStr">
        <is>
          <t>The Origins of civilization / edited by P.R.S. Moorey.</t>
        </is>
      </c>
      <c r="H77" t="inlineStr">
        <is>
          <t>No</t>
        </is>
      </c>
      <c r="I77" t="inlineStr">
        <is>
          <t>1</t>
        </is>
      </c>
      <c r="J77" t="inlineStr">
        <is>
          <t>No</t>
        </is>
      </c>
      <c r="K77" t="inlineStr">
        <is>
          <t>No</t>
        </is>
      </c>
      <c r="L77" t="inlineStr">
        <is>
          <t>0</t>
        </is>
      </c>
      <c r="N77" t="inlineStr">
        <is>
          <t>Oxford : Clarendon Press, 1979.</t>
        </is>
      </c>
      <c r="O77" t="inlineStr">
        <is>
          <t>1979</t>
        </is>
      </c>
      <c r="Q77" t="inlineStr">
        <is>
          <t>eng</t>
        </is>
      </c>
      <c r="R77" t="inlineStr">
        <is>
          <t>enk</t>
        </is>
      </c>
      <c r="S77" t="inlineStr">
        <is>
          <t>Wolfson College lectures ; 1978</t>
        </is>
      </c>
      <c r="T77" t="inlineStr">
        <is>
          <t xml:space="preserve">CB </t>
        </is>
      </c>
      <c r="U77" t="n">
        <v>3</v>
      </c>
      <c r="V77" t="n">
        <v>3</v>
      </c>
      <c r="W77" t="inlineStr">
        <is>
          <t>1999-11-26</t>
        </is>
      </c>
      <c r="X77" t="inlineStr">
        <is>
          <t>1999-11-26</t>
        </is>
      </c>
      <c r="Y77" t="inlineStr">
        <is>
          <t>1992-06-02</t>
        </is>
      </c>
      <c r="Z77" t="inlineStr">
        <is>
          <t>1992-06-02</t>
        </is>
      </c>
      <c r="AA77" t="n">
        <v>610</v>
      </c>
      <c r="AB77" t="n">
        <v>492</v>
      </c>
      <c r="AC77" t="n">
        <v>500</v>
      </c>
      <c r="AD77" t="n">
        <v>4</v>
      </c>
      <c r="AE77" t="n">
        <v>4</v>
      </c>
      <c r="AF77" t="n">
        <v>21</v>
      </c>
      <c r="AG77" t="n">
        <v>21</v>
      </c>
      <c r="AH77" t="n">
        <v>8</v>
      </c>
      <c r="AI77" t="n">
        <v>8</v>
      </c>
      <c r="AJ77" t="n">
        <v>7</v>
      </c>
      <c r="AK77" t="n">
        <v>7</v>
      </c>
      <c r="AL77" t="n">
        <v>8</v>
      </c>
      <c r="AM77" t="n">
        <v>8</v>
      </c>
      <c r="AN77" t="n">
        <v>3</v>
      </c>
      <c r="AO77" t="n">
        <v>3</v>
      </c>
      <c r="AP77" t="n">
        <v>0</v>
      </c>
      <c r="AQ77" t="n">
        <v>0</v>
      </c>
      <c r="AR77" t="inlineStr">
        <is>
          <t>No</t>
        </is>
      </c>
      <c r="AS77" t="inlineStr">
        <is>
          <t>Yes</t>
        </is>
      </c>
      <c r="AT77">
        <f>HYPERLINK("http://catalog.hathitrust.org/Record/000095665","HathiTrust Record")</f>
        <v/>
      </c>
      <c r="AU77">
        <f>HYPERLINK("https://creighton-primo.hosted.exlibrisgroup.com/primo-explore/search?tab=default_tab&amp;search_scope=EVERYTHING&amp;vid=01CRU&amp;lang=en_US&amp;offset=0&amp;query=any,contains,991004908739702656","Catalog Record")</f>
        <v/>
      </c>
      <c r="AV77">
        <f>HYPERLINK("http://www.worldcat.org/oclc/5973636","WorldCat Record")</f>
        <v/>
      </c>
      <c r="AW77" t="inlineStr">
        <is>
          <t>54361654:eng</t>
        </is>
      </c>
      <c r="AX77" t="inlineStr">
        <is>
          <t>5973636</t>
        </is>
      </c>
      <c r="AY77" t="inlineStr">
        <is>
          <t>991004908739702656</t>
        </is>
      </c>
      <c r="AZ77" t="inlineStr">
        <is>
          <t>991004908739702656</t>
        </is>
      </c>
      <c r="BA77" t="inlineStr">
        <is>
          <t>2266445100002656</t>
        </is>
      </c>
      <c r="BB77" t="inlineStr">
        <is>
          <t>BOOK</t>
        </is>
      </c>
      <c r="BD77" t="inlineStr">
        <is>
          <t>9780198131984</t>
        </is>
      </c>
      <c r="BE77" t="inlineStr">
        <is>
          <t>32285001143303</t>
        </is>
      </c>
      <c r="BF77" t="inlineStr">
        <is>
          <t>893526645</t>
        </is>
      </c>
    </row>
    <row r="78">
      <c r="B78" t="inlineStr">
        <is>
          <t>CURAL</t>
        </is>
      </c>
      <c r="C78" t="inlineStr">
        <is>
          <t>SHELVES</t>
        </is>
      </c>
      <c r="D78" t="inlineStr">
        <is>
          <t>CB311 .P45 1991</t>
        </is>
      </c>
      <c r="E78" t="inlineStr">
        <is>
          <t>0                      CB 0311000P  45          1991</t>
        </is>
      </c>
      <c r="F78" t="inlineStr">
        <is>
          <t>Then &amp; now / Stefania &amp; Dominic Perring.</t>
        </is>
      </c>
      <c r="H78" t="inlineStr">
        <is>
          <t>No</t>
        </is>
      </c>
      <c r="I78" t="inlineStr">
        <is>
          <t>1</t>
        </is>
      </c>
      <c r="J78" t="inlineStr">
        <is>
          <t>No</t>
        </is>
      </c>
      <c r="K78" t="inlineStr">
        <is>
          <t>No</t>
        </is>
      </c>
      <c r="L78" t="inlineStr">
        <is>
          <t>0</t>
        </is>
      </c>
      <c r="M78" t="inlineStr">
        <is>
          <t>Perring, Stefania.</t>
        </is>
      </c>
      <c r="N78" t="inlineStr">
        <is>
          <t>New York : Macmillan Pub. Co., c1991.</t>
        </is>
      </c>
      <c r="O78" t="inlineStr">
        <is>
          <t>1991</t>
        </is>
      </c>
      <c r="Q78" t="inlineStr">
        <is>
          <t>eng</t>
        </is>
      </c>
      <c r="R78" t="inlineStr">
        <is>
          <t>nyu</t>
        </is>
      </c>
      <c r="T78" t="inlineStr">
        <is>
          <t xml:space="preserve">CB </t>
        </is>
      </c>
      <c r="U78" t="n">
        <v>6</v>
      </c>
      <c r="V78" t="n">
        <v>6</v>
      </c>
      <c r="W78" t="inlineStr">
        <is>
          <t>1999-02-04</t>
        </is>
      </c>
      <c r="X78" t="inlineStr">
        <is>
          <t>1999-02-04</t>
        </is>
      </c>
      <c r="Y78" t="inlineStr">
        <is>
          <t>1992-01-28</t>
        </is>
      </c>
      <c r="Z78" t="inlineStr">
        <is>
          <t>1992-01-28</t>
        </is>
      </c>
      <c r="AA78" t="n">
        <v>840</v>
      </c>
      <c r="AB78" t="n">
        <v>798</v>
      </c>
      <c r="AC78" t="n">
        <v>890</v>
      </c>
      <c r="AD78" t="n">
        <v>8</v>
      </c>
      <c r="AE78" t="n">
        <v>8</v>
      </c>
      <c r="AF78" t="n">
        <v>22</v>
      </c>
      <c r="AG78" t="n">
        <v>23</v>
      </c>
      <c r="AH78" t="n">
        <v>7</v>
      </c>
      <c r="AI78" t="n">
        <v>8</v>
      </c>
      <c r="AJ78" t="n">
        <v>4</v>
      </c>
      <c r="AK78" t="n">
        <v>4</v>
      </c>
      <c r="AL78" t="n">
        <v>11</v>
      </c>
      <c r="AM78" t="n">
        <v>11</v>
      </c>
      <c r="AN78" t="n">
        <v>4</v>
      </c>
      <c r="AO78" t="n">
        <v>4</v>
      </c>
      <c r="AP78" t="n">
        <v>0</v>
      </c>
      <c r="AQ78" t="n">
        <v>0</v>
      </c>
      <c r="AR78" t="inlineStr">
        <is>
          <t>No</t>
        </is>
      </c>
      <c r="AS78" t="inlineStr">
        <is>
          <t>Yes</t>
        </is>
      </c>
      <c r="AT78">
        <f>HYPERLINK("http://catalog.hathitrust.org/Record/005667196","HathiTrust Record")</f>
        <v/>
      </c>
      <c r="AU78">
        <f>HYPERLINK("https://creighton-primo.hosted.exlibrisgroup.com/primo-explore/search?tab=default_tab&amp;search_scope=EVERYTHING&amp;vid=01CRU&amp;lang=en_US&amp;offset=0&amp;query=any,contains,991001880349702656","Catalog Record")</f>
        <v/>
      </c>
      <c r="AV78">
        <f>HYPERLINK("http://www.worldcat.org/oclc/23731519","WorldCat Record")</f>
        <v/>
      </c>
      <c r="AW78" t="inlineStr">
        <is>
          <t>1151556875:eng</t>
        </is>
      </c>
      <c r="AX78" t="inlineStr">
        <is>
          <t>23731519</t>
        </is>
      </c>
      <c r="AY78" t="inlineStr">
        <is>
          <t>991001880349702656</t>
        </is>
      </c>
      <c r="AZ78" t="inlineStr">
        <is>
          <t>991001880349702656</t>
        </is>
      </c>
      <c r="BA78" t="inlineStr">
        <is>
          <t>2266616410002656</t>
        </is>
      </c>
      <c r="BB78" t="inlineStr">
        <is>
          <t>BOOK</t>
        </is>
      </c>
      <c r="BD78" t="inlineStr">
        <is>
          <t>9780025994614</t>
        </is>
      </c>
      <c r="BE78" t="inlineStr">
        <is>
          <t>32285000866516</t>
        </is>
      </c>
      <c r="BF78" t="inlineStr">
        <is>
          <t>893885615</t>
        </is>
      </c>
    </row>
    <row r="79">
      <c r="B79" t="inlineStr">
        <is>
          <t>CURAL</t>
        </is>
      </c>
      <c r="C79" t="inlineStr">
        <is>
          <t>SHELVES</t>
        </is>
      </c>
      <c r="D79" t="inlineStr">
        <is>
          <t>CB311 .T7</t>
        </is>
      </c>
      <c r="E79" t="inlineStr">
        <is>
          <t>0                      CB 0311000T  7</t>
        </is>
      </c>
      <c r="F79" t="inlineStr">
        <is>
          <t>History of ancient civilization.</t>
        </is>
      </c>
      <c r="G79" t="inlineStr">
        <is>
          <t>V.2</t>
        </is>
      </c>
      <c r="H79" t="inlineStr">
        <is>
          <t>Yes</t>
        </is>
      </c>
      <c r="I79" t="inlineStr">
        <is>
          <t>1</t>
        </is>
      </c>
      <c r="J79" t="inlineStr">
        <is>
          <t>No</t>
        </is>
      </c>
      <c r="K79" t="inlineStr">
        <is>
          <t>No</t>
        </is>
      </c>
      <c r="L79" t="inlineStr">
        <is>
          <t>0</t>
        </is>
      </c>
      <c r="M79" t="inlineStr">
        <is>
          <t>Trever, Albert Augustus, 1874-1940.</t>
        </is>
      </c>
      <c r="N79" t="inlineStr">
        <is>
          <t>New York, Harcourt, Brace and Company [c1936-38]</t>
        </is>
      </c>
      <c r="O79" t="inlineStr">
        <is>
          <t>1936</t>
        </is>
      </c>
      <c r="Q79" t="inlineStr">
        <is>
          <t>eng</t>
        </is>
      </c>
      <c r="R79" t="inlineStr">
        <is>
          <t>nyu</t>
        </is>
      </c>
      <c r="T79" t="inlineStr">
        <is>
          <t xml:space="preserve">CB </t>
        </is>
      </c>
      <c r="U79" t="n">
        <v>0</v>
      </c>
      <c r="V79" t="n">
        <v>1</v>
      </c>
      <c r="X79" t="inlineStr">
        <is>
          <t>2000-11-14</t>
        </is>
      </c>
      <c r="Y79" t="inlineStr">
        <is>
          <t>1996-08-19</t>
        </is>
      </c>
      <c r="Z79" t="inlineStr">
        <is>
          <t>1996-08-19</t>
        </is>
      </c>
      <c r="AA79" t="n">
        <v>726</v>
      </c>
      <c r="AB79" t="n">
        <v>650</v>
      </c>
      <c r="AC79" t="n">
        <v>671</v>
      </c>
      <c r="AD79" t="n">
        <v>5</v>
      </c>
      <c r="AE79" t="n">
        <v>5</v>
      </c>
      <c r="AF79" t="n">
        <v>24</v>
      </c>
      <c r="AG79" t="n">
        <v>25</v>
      </c>
      <c r="AH79" t="n">
        <v>5</v>
      </c>
      <c r="AI79" t="n">
        <v>5</v>
      </c>
      <c r="AJ79" t="n">
        <v>6</v>
      </c>
      <c r="AK79" t="n">
        <v>7</v>
      </c>
      <c r="AL79" t="n">
        <v>14</v>
      </c>
      <c r="AM79" t="n">
        <v>15</v>
      </c>
      <c r="AN79" t="n">
        <v>3</v>
      </c>
      <c r="AO79" t="n">
        <v>3</v>
      </c>
      <c r="AP79" t="n">
        <v>0</v>
      </c>
      <c r="AQ79" t="n">
        <v>0</v>
      </c>
      <c r="AR79" t="inlineStr">
        <is>
          <t>No</t>
        </is>
      </c>
      <c r="AS79" t="inlineStr">
        <is>
          <t>Yes</t>
        </is>
      </c>
      <c r="AT79">
        <f>HYPERLINK("http://catalog.hathitrust.org/Record/001595383","HathiTrust Record")</f>
        <v/>
      </c>
      <c r="AU79">
        <f>HYPERLINK("https://creighton-primo.hosted.exlibrisgroup.com/primo-explore/search?tab=default_tab&amp;search_scope=EVERYTHING&amp;vid=01CRU&amp;lang=en_US&amp;offset=0&amp;query=any,contains,991002653299702656","Catalog Record")</f>
        <v/>
      </c>
      <c r="AV79">
        <f>HYPERLINK("http://www.worldcat.org/oclc/387770","WorldCat Record")</f>
        <v/>
      </c>
      <c r="AW79" t="inlineStr">
        <is>
          <t>1515171:eng</t>
        </is>
      </c>
      <c r="AX79" t="inlineStr">
        <is>
          <t>387770</t>
        </is>
      </c>
      <c r="AY79" t="inlineStr">
        <is>
          <t>991002653299702656</t>
        </is>
      </c>
      <c r="AZ79" t="inlineStr">
        <is>
          <t>991002653299702656</t>
        </is>
      </c>
      <c r="BA79" t="inlineStr">
        <is>
          <t>2257582950002656</t>
        </is>
      </c>
      <c r="BB79" t="inlineStr">
        <is>
          <t>BOOK</t>
        </is>
      </c>
      <c r="BE79" t="inlineStr">
        <is>
          <t>32285002275203</t>
        </is>
      </c>
      <c r="BF79" t="inlineStr">
        <is>
          <t>893786379</t>
        </is>
      </c>
    </row>
    <row r="80">
      <c r="B80" t="inlineStr">
        <is>
          <t>CURAL</t>
        </is>
      </c>
      <c r="C80" t="inlineStr">
        <is>
          <t>SHELVES</t>
        </is>
      </c>
      <c r="D80" t="inlineStr">
        <is>
          <t>CB311 .T7</t>
        </is>
      </c>
      <c r="E80" t="inlineStr">
        <is>
          <t>0                      CB 0311000T  7</t>
        </is>
      </c>
      <c r="F80" t="inlineStr">
        <is>
          <t>History of ancient civilization.</t>
        </is>
      </c>
      <c r="G80" t="inlineStr">
        <is>
          <t>V.1</t>
        </is>
      </c>
      <c r="H80" t="inlineStr">
        <is>
          <t>Yes</t>
        </is>
      </c>
      <c r="I80" t="inlineStr">
        <is>
          <t>1</t>
        </is>
      </c>
      <c r="J80" t="inlineStr">
        <is>
          <t>No</t>
        </is>
      </c>
      <c r="K80" t="inlineStr">
        <is>
          <t>No</t>
        </is>
      </c>
      <c r="L80" t="inlineStr">
        <is>
          <t>0</t>
        </is>
      </c>
      <c r="M80" t="inlineStr">
        <is>
          <t>Trever, Albert Augustus, 1874-1940.</t>
        </is>
      </c>
      <c r="N80" t="inlineStr">
        <is>
          <t>New York, Harcourt, Brace and Company [c1936-38]</t>
        </is>
      </c>
      <c r="O80" t="inlineStr">
        <is>
          <t>1936</t>
        </is>
      </c>
      <c r="Q80" t="inlineStr">
        <is>
          <t>eng</t>
        </is>
      </c>
      <c r="R80" t="inlineStr">
        <is>
          <t>nyu</t>
        </is>
      </c>
      <c r="T80" t="inlineStr">
        <is>
          <t xml:space="preserve">CB </t>
        </is>
      </c>
      <c r="U80" t="n">
        <v>1</v>
      </c>
      <c r="V80" t="n">
        <v>1</v>
      </c>
      <c r="W80" t="inlineStr">
        <is>
          <t>2000-11-14</t>
        </is>
      </c>
      <c r="X80" t="inlineStr">
        <is>
          <t>2000-11-14</t>
        </is>
      </c>
      <c r="Y80" t="inlineStr">
        <is>
          <t>1996-08-19</t>
        </is>
      </c>
      <c r="Z80" t="inlineStr">
        <is>
          <t>1996-08-19</t>
        </is>
      </c>
      <c r="AA80" t="n">
        <v>726</v>
      </c>
      <c r="AB80" t="n">
        <v>650</v>
      </c>
      <c r="AC80" t="n">
        <v>671</v>
      </c>
      <c r="AD80" t="n">
        <v>5</v>
      </c>
      <c r="AE80" t="n">
        <v>5</v>
      </c>
      <c r="AF80" t="n">
        <v>24</v>
      </c>
      <c r="AG80" t="n">
        <v>25</v>
      </c>
      <c r="AH80" t="n">
        <v>5</v>
      </c>
      <c r="AI80" t="n">
        <v>5</v>
      </c>
      <c r="AJ80" t="n">
        <v>6</v>
      </c>
      <c r="AK80" t="n">
        <v>7</v>
      </c>
      <c r="AL80" t="n">
        <v>14</v>
      </c>
      <c r="AM80" t="n">
        <v>15</v>
      </c>
      <c r="AN80" t="n">
        <v>3</v>
      </c>
      <c r="AO80" t="n">
        <v>3</v>
      </c>
      <c r="AP80" t="n">
        <v>0</v>
      </c>
      <c r="AQ80" t="n">
        <v>0</v>
      </c>
      <c r="AR80" t="inlineStr">
        <is>
          <t>No</t>
        </is>
      </c>
      <c r="AS80" t="inlineStr">
        <is>
          <t>Yes</t>
        </is>
      </c>
      <c r="AT80">
        <f>HYPERLINK("http://catalog.hathitrust.org/Record/001595383","HathiTrust Record")</f>
        <v/>
      </c>
      <c r="AU80">
        <f>HYPERLINK("https://creighton-primo.hosted.exlibrisgroup.com/primo-explore/search?tab=default_tab&amp;search_scope=EVERYTHING&amp;vid=01CRU&amp;lang=en_US&amp;offset=0&amp;query=any,contains,991002653299702656","Catalog Record")</f>
        <v/>
      </c>
      <c r="AV80">
        <f>HYPERLINK("http://www.worldcat.org/oclc/387770","WorldCat Record")</f>
        <v/>
      </c>
      <c r="AW80" t="inlineStr">
        <is>
          <t>1515171:eng</t>
        </is>
      </c>
      <c r="AX80" t="inlineStr">
        <is>
          <t>387770</t>
        </is>
      </c>
      <c r="AY80" t="inlineStr">
        <is>
          <t>991002653299702656</t>
        </is>
      </c>
      <c r="AZ80" t="inlineStr">
        <is>
          <t>991002653299702656</t>
        </is>
      </c>
      <c r="BA80" t="inlineStr">
        <is>
          <t>2257582950002656</t>
        </is>
      </c>
      <c r="BB80" t="inlineStr">
        <is>
          <t>BOOK</t>
        </is>
      </c>
      <c r="BE80" t="inlineStr">
        <is>
          <t>32285002275195</t>
        </is>
      </c>
      <c r="BF80" t="inlineStr">
        <is>
          <t>893792725</t>
        </is>
      </c>
    </row>
    <row r="81">
      <c r="B81" t="inlineStr">
        <is>
          <t>CURAL</t>
        </is>
      </c>
      <c r="C81" t="inlineStr">
        <is>
          <t>SHELVES</t>
        </is>
      </c>
      <c r="D81" t="inlineStr">
        <is>
          <t>CB311 .T77 2007</t>
        </is>
      </c>
      <c r="E81" t="inlineStr">
        <is>
          <t>0                      CB 0311000T  77          2007</t>
        </is>
      </c>
      <c r="F81" t="inlineStr">
        <is>
          <t>Understanding early civilizations : a comparative study / Bruce G. Trigger.</t>
        </is>
      </c>
      <c r="H81" t="inlineStr">
        <is>
          <t>No</t>
        </is>
      </c>
      <c r="I81" t="inlineStr">
        <is>
          <t>1</t>
        </is>
      </c>
      <c r="J81" t="inlineStr">
        <is>
          <t>No</t>
        </is>
      </c>
      <c r="K81" t="inlineStr">
        <is>
          <t>No</t>
        </is>
      </c>
      <c r="L81" t="inlineStr">
        <is>
          <t>0</t>
        </is>
      </c>
      <c r="M81" t="inlineStr">
        <is>
          <t>Trigger, Bruce G.</t>
        </is>
      </c>
      <c r="N81" t="inlineStr">
        <is>
          <t>Cambridge ; New York : Cambridge University Press, 2007.</t>
        </is>
      </c>
      <c r="O81" t="inlineStr">
        <is>
          <t>2007</t>
        </is>
      </c>
      <c r="P81" t="inlineStr">
        <is>
          <t>1st pbk. ed. 2007</t>
        </is>
      </c>
      <c r="Q81" t="inlineStr">
        <is>
          <t>eng</t>
        </is>
      </c>
      <c r="R81" t="inlineStr">
        <is>
          <t>enk</t>
        </is>
      </c>
      <c r="T81" t="inlineStr">
        <is>
          <t xml:space="preserve">CB </t>
        </is>
      </c>
      <c r="U81" t="n">
        <v>2</v>
      </c>
      <c r="V81" t="n">
        <v>2</v>
      </c>
      <c r="W81" t="inlineStr">
        <is>
          <t>2007-11-05</t>
        </is>
      </c>
      <c r="X81" t="inlineStr">
        <is>
          <t>2007-11-05</t>
        </is>
      </c>
      <c r="Y81" t="inlineStr">
        <is>
          <t>2007-10-24</t>
        </is>
      </c>
      <c r="Z81" t="inlineStr">
        <is>
          <t>2007-10-24</t>
        </is>
      </c>
      <c r="AA81" t="n">
        <v>97</v>
      </c>
      <c r="AB81" t="n">
        <v>49</v>
      </c>
      <c r="AC81" t="n">
        <v>472</v>
      </c>
      <c r="AD81" t="n">
        <v>2</v>
      </c>
      <c r="AE81" t="n">
        <v>5</v>
      </c>
      <c r="AF81" t="n">
        <v>2</v>
      </c>
      <c r="AG81" t="n">
        <v>19</v>
      </c>
      <c r="AH81" t="n">
        <v>1</v>
      </c>
      <c r="AI81" t="n">
        <v>5</v>
      </c>
      <c r="AJ81" t="n">
        <v>0</v>
      </c>
      <c r="AK81" t="n">
        <v>6</v>
      </c>
      <c r="AL81" t="n">
        <v>0</v>
      </c>
      <c r="AM81" t="n">
        <v>7</v>
      </c>
      <c r="AN81" t="n">
        <v>1</v>
      </c>
      <c r="AO81" t="n">
        <v>4</v>
      </c>
      <c r="AP81" t="n">
        <v>0</v>
      </c>
      <c r="AQ81" t="n">
        <v>0</v>
      </c>
      <c r="AR81" t="inlineStr">
        <is>
          <t>No</t>
        </is>
      </c>
      <c r="AS81" t="inlineStr">
        <is>
          <t>No</t>
        </is>
      </c>
      <c r="AU81">
        <f>HYPERLINK("https://creighton-primo.hosted.exlibrisgroup.com/primo-explore/search?tab=default_tab&amp;search_scope=EVERYTHING&amp;vid=01CRU&amp;lang=en_US&amp;offset=0&amp;query=any,contains,991005114729702656","Catalog Record")</f>
        <v/>
      </c>
      <c r="AV81">
        <f>HYPERLINK("http://www.worldcat.org/oclc/173151855","WorldCat Record")</f>
        <v/>
      </c>
      <c r="AW81" t="inlineStr">
        <is>
          <t>796384878:eng</t>
        </is>
      </c>
      <c r="AX81" t="inlineStr">
        <is>
          <t>173151855</t>
        </is>
      </c>
      <c r="AY81" t="inlineStr">
        <is>
          <t>991005114729702656</t>
        </is>
      </c>
      <c r="AZ81" t="inlineStr">
        <is>
          <t>991005114729702656</t>
        </is>
      </c>
      <c r="BA81" t="inlineStr">
        <is>
          <t>2264873530002656</t>
        </is>
      </c>
      <c r="BB81" t="inlineStr">
        <is>
          <t>BOOK</t>
        </is>
      </c>
      <c r="BD81" t="inlineStr">
        <is>
          <t>9780521705455</t>
        </is>
      </c>
      <c r="BE81" t="inlineStr">
        <is>
          <t>32285005329858</t>
        </is>
      </c>
      <c r="BF81" t="inlineStr">
        <is>
          <t>893701041</t>
        </is>
      </c>
    </row>
    <row r="82">
      <c r="B82" t="inlineStr">
        <is>
          <t>CURAL</t>
        </is>
      </c>
      <c r="C82" t="inlineStr">
        <is>
          <t>SHELVES</t>
        </is>
      </c>
      <c r="D82" t="inlineStr">
        <is>
          <t>CB351 .B48</t>
        </is>
      </c>
      <c r="E82" t="inlineStr">
        <is>
          <t>0                      CB 0351000B  48</t>
        </is>
      </c>
      <c r="F82" t="inlineStr">
        <is>
          <t>The Horizon book of the Middle Ages / by the editors of Horizon magazine. Editor in charge: Norman Kotker. Author: Morris Bishop.</t>
        </is>
      </c>
      <c r="H82" t="inlineStr">
        <is>
          <t>No</t>
        </is>
      </c>
      <c r="I82" t="inlineStr">
        <is>
          <t>1</t>
        </is>
      </c>
      <c r="J82" t="inlineStr">
        <is>
          <t>No</t>
        </is>
      </c>
      <c r="K82" t="inlineStr">
        <is>
          <t>No</t>
        </is>
      </c>
      <c r="L82" t="inlineStr">
        <is>
          <t>0</t>
        </is>
      </c>
      <c r="M82" t="inlineStr">
        <is>
          <t>Bishop, Morris, 1893-1973.</t>
        </is>
      </c>
      <c r="N82" t="inlineStr">
        <is>
          <t>New York : American Heritage Pub. Co.; book trade distribution by Houghton Mifflin, Boston, [1968]</t>
        </is>
      </c>
      <c r="O82" t="inlineStr">
        <is>
          <t>1968</t>
        </is>
      </c>
      <c r="Q82" t="inlineStr">
        <is>
          <t>eng</t>
        </is>
      </c>
      <c r="R82" t="inlineStr">
        <is>
          <t>nyu</t>
        </is>
      </c>
      <c r="T82" t="inlineStr">
        <is>
          <t xml:space="preserve">CB </t>
        </is>
      </c>
      <c r="U82" t="n">
        <v>4</v>
      </c>
      <c r="V82" t="n">
        <v>4</v>
      </c>
      <c r="W82" t="inlineStr">
        <is>
          <t>2001-04-11</t>
        </is>
      </c>
      <c r="X82" t="inlineStr">
        <is>
          <t>2001-04-11</t>
        </is>
      </c>
      <c r="Y82" t="inlineStr">
        <is>
          <t>1995-02-24</t>
        </is>
      </c>
      <c r="Z82" t="inlineStr">
        <is>
          <t>1995-02-24</t>
        </is>
      </c>
      <c r="AA82" t="n">
        <v>1714</v>
      </c>
      <c r="AB82" t="n">
        <v>1635</v>
      </c>
      <c r="AC82" t="n">
        <v>1773</v>
      </c>
      <c r="AD82" t="n">
        <v>12</v>
      </c>
      <c r="AE82" t="n">
        <v>13</v>
      </c>
      <c r="AF82" t="n">
        <v>39</v>
      </c>
      <c r="AG82" t="n">
        <v>41</v>
      </c>
      <c r="AH82" t="n">
        <v>18</v>
      </c>
      <c r="AI82" t="n">
        <v>18</v>
      </c>
      <c r="AJ82" t="n">
        <v>4</v>
      </c>
      <c r="AK82" t="n">
        <v>5</v>
      </c>
      <c r="AL82" t="n">
        <v>16</v>
      </c>
      <c r="AM82" t="n">
        <v>17</v>
      </c>
      <c r="AN82" t="n">
        <v>7</v>
      </c>
      <c r="AO82" t="n">
        <v>7</v>
      </c>
      <c r="AP82" t="n">
        <v>0</v>
      </c>
      <c r="AQ82" t="n">
        <v>0</v>
      </c>
      <c r="AR82" t="inlineStr">
        <is>
          <t>No</t>
        </is>
      </c>
      <c r="AS82" t="inlineStr">
        <is>
          <t>Yes</t>
        </is>
      </c>
      <c r="AT82">
        <f>HYPERLINK("http://catalog.hathitrust.org/Record/001595396","HathiTrust Record")</f>
        <v/>
      </c>
      <c r="AU82">
        <f>HYPERLINK("https://creighton-primo.hosted.exlibrisgroup.com/primo-explore/search?tab=default_tab&amp;search_scope=EVERYTHING&amp;vid=01CRU&amp;lang=en_US&amp;offset=0&amp;query=any,contains,991002154429702656","Catalog Record")</f>
        <v/>
      </c>
      <c r="AV82">
        <f>HYPERLINK("http://www.worldcat.org/oclc/272326","WorldCat Record")</f>
        <v/>
      </c>
      <c r="AW82" t="inlineStr">
        <is>
          <t>373700821:eng</t>
        </is>
      </c>
      <c r="AX82" t="inlineStr">
        <is>
          <t>272326</t>
        </is>
      </c>
      <c r="AY82" t="inlineStr">
        <is>
          <t>991002154429702656</t>
        </is>
      </c>
      <c r="AZ82" t="inlineStr">
        <is>
          <t>991002154429702656</t>
        </is>
      </c>
      <c r="BA82" t="inlineStr">
        <is>
          <t>2262398680002656</t>
        </is>
      </c>
      <c r="BB82" t="inlineStr">
        <is>
          <t>BOOK</t>
        </is>
      </c>
      <c r="BE82" t="inlineStr">
        <is>
          <t>32285002010022</t>
        </is>
      </c>
      <c r="BF82" t="inlineStr">
        <is>
          <t>893804282</t>
        </is>
      </c>
    </row>
    <row r="83">
      <c r="B83" t="inlineStr">
        <is>
          <t>CURAL</t>
        </is>
      </c>
      <c r="C83" t="inlineStr">
        <is>
          <t>SHELVES</t>
        </is>
      </c>
      <c r="D83" t="inlineStr">
        <is>
          <t>CB351 .D4413</t>
        </is>
      </c>
      <c r="E83" t="inlineStr">
        <is>
          <t>0                      CB 0351000D  4413</t>
        </is>
      </c>
      <c r="F83" t="inlineStr">
        <is>
          <t>Life in the Middle Ages / translated [from the French] by Robert Allen.</t>
        </is>
      </c>
      <c r="H83" t="inlineStr">
        <is>
          <t>No</t>
        </is>
      </c>
      <c r="I83" t="inlineStr">
        <is>
          <t>1</t>
        </is>
      </c>
      <c r="J83" t="inlineStr">
        <is>
          <t>No</t>
        </is>
      </c>
      <c r="K83" t="inlineStr">
        <is>
          <t>No</t>
        </is>
      </c>
      <c r="L83" t="inlineStr">
        <is>
          <t>0</t>
        </is>
      </c>
      <c r="M83" t="inlineStr">
        <is>
          <t>Delort, Robert.</t>
        </is>
      </c>
      <c r="N83" t="inlineStr">
        <is>
          <t>[Lausanne] : Edita Lausanne ; distributed by Universe Books, New York, [c1973]</t>
        </is>
      </c>
      <c r="O83" t="inlineStr">
        <is>
          <t>1973</t>
        </is>
      </c>
      <c r="Q83" t="inlineStr">
        <is>
          <t>eng</t>
        </is>
      </c>
      <c r="R83" t="inlineStr">
        <is>
          <t xml:space="preserve">sz </t>
        </is>
      </c>
      <c r="T83" t="inlineStr">
        <is>
          <t xml:space="preserve">CB </t>
        </is>
      </c>
      <c r="U83" t="n">
        <v>7</v>
      </c>
      <c r="V83" t="n">
        <v>7</v>
      </c>
      <c r="W83" t="inlineStr">
        <is>
          <t>1999-01-12</t>
        </is>
      </c>
      <c r="X83" t="inlineStr">
        <is>
          <t>1999-01-12</t>
        </is>
      </c>
      <c r="Y83" t="inlineStr">
        <is>
          <t>1993-12-28</t>
        </is>
      </c>
      <c r="Z83" t="inlineStr">
        <is>
          <t>1993-12-28</t>
        </is>
      </c>
      <c r="AA83" t="n">
        <v>544</v>
      </c>
      <c r="AB83" t="n">
        <v>518</v>
      </c>
      <c r="AC83" t="n">
        <v>992</v>
      </c>
      <c r="AD83" t="n">
        <v>5</v>
      </c>
      <c r="AE83" t="n">
        <v>11</v>
      </c>
      <c r="AF83" t="n">
        <v>18</v>
      </c>
      <c r="AG83" t="n">
        <v>30</v>
      </c>
      <c r="AH83" t="n">
        <v>6</v>
      </c>
      <c r="AI83" t="n">
        <v>12</v>
      </c>
      <c r="AJ83" t="n">
        <v>3</v>
      </c>
      <c r="AK83" t="n">
        <v>5</v>
      </c>
      <c r="AL83" t="n">
        <v>7</v>
      </c>
      <c r="AM83" t="n">
        <v>14</v>
      </c>
      <c r="AN83" t="n">
        <v>3</v>
      </c>
      <c r="AO83" t="n">
        <v>4</v>
      </c>
      <c r="AP83" t="n">
        <v>0</v>
      </c>
      <c r="AQ83" t="n">
        <v>0</v>
      </c>
      <c r="AR83" t="inlineStr">
        <is>
          <t>No</t>
        </is>
      </c>
      <c r="AS83" t="inlineStr">
        <is>
          <t>Yes</t>
        </is>
      </c>
      <c r="AT83">
        <f>HYPERLINK("http://catalog.hathitrust.org/Record/001595407","HathiTrust Record")</f>
        <v/>
      </c>
      <c r="AU83">
        <f>HYPERLINK("https://creighton-primo.hosted.exlibrisgroup.com/primo-explore/search?tab=default_tab&amp;search_scope=EVERYTHING&amp;vid=01CRU&amp;lang=en_US&amp;offset=0&amp;query=any,contains,991003275819702656","Catalog Record")</f>
        <v/>
      </c>
      <c r="AV83">
        <f>HYPERLINK("http://www.worldcat.org/oclc/799878","WorldCat Record")</f>
        <v/>
      </c>
      <c r="AW83" t="inlineStr">
        <is>
          <t>1784442:eng</t>
        </is>
      </c>
      <c r="AX83" t="inlineStr">
        <is>
          <t>799878</t>
        </is>
      </c>
      <c r="AY83" t="inlineStr">
        <is>
          <t>991003275819702656</t>
        </is>
      </c>
      <c r="AZ83" t="inlineStr">
        <is>
          <t>991003275819702656</t>
        </is>
      </c>
      <c r="BA83" t="inlineStr">
        <is>
          <t>2266806470002656</t>
        </is>
      </c>
      <c r="BB83" t="inlineStr">
        <is>
          <t>BOOK</t>
        </is>
      </c>
      <c r="BD83" t="inlineStr">
        <is>
          <t>9780876631935</t>
        </is>
      </c>
      <c r="BE83" t="inlineStr">
        <is>
          <t>32285001827509</t>
        </is>
      </c>
      <c r="BF83" t="inlineStr">
        <is>
          <t>893434834</t>
        </is>
      </c>
    </row>
    <row r="84">
      <c r="B84" t="inlineStr">
        <is>
          <t>CURAL</t>
        </is>
      </c>
      <c r="C84" t="inlineStr">
        <is>
          <t>SHELVES</t>
        </is>
      </c>
      <c r="D84" t="inlineStr">
        <is>
          <t>CB351 .E9 1966a</t>
        </is>
      </c>
      <c r="E84" t="inlineStr">
        <is>
          <t>0                      CB 0351000E  9           1966a</t>
        </is>
      </c>
      <c r="F84" t="inlineStr">
        <is>
          <t>The flowering of the Middle Ages / Texts by Christopher Brooke [and others]. --</t>
        </is>
      </c>
      <c r="H84" t="inlineStr">
        <is>
          <t>No</t>
        </is>
      </c>
      <c r="I84" t="inlineStr">
        <is>
          <t>1</t>
        </is>
      </c>
      <c r="J84" t="inlineStr">
        <is>
          <t>No</t>
        </is>
      </c>
      <c r="K84" t="inlineStr">
        <is>
          <t>No</t>
        </is>
      </c>
      <c r="L84" t="inlineStr">
        <is>
          <t>0</t>
        </is>
      </c>
      <c r="M84" t="inlineStr">
        <is>
          <t>Evans, Joan, 1893-1977, editor.</t>
        </is>
      </c>
      <c r="N84" t="inlineStr">
        <is>
          <t>New York : McGraw-Hill, [1966].</t>
        </is>
      </c>
      <c r="O84" t="inlineStr">
        <is>
          <t>1966</t>
        </is>
      </c>
      <c r="Q84" t="inlineStr">
        <is>
          <t>eng</t>
        </is>
      </c>
      <c r="R84" t="inlineStr">
        <is>
          <t>nyu</t>
        </is>
      </c>
      <c r="T84" t="inlineStr">
        <is>
          <t xml:space="preserve">CB </t>
        </is>
      </c>
      <c r="U84" t="n">
        <v>8</v>
      </c>
      <c r="V84" t="n">
        <v>8</v>
      </c>
      <c r="W84" t="inlineStr">
        <is>
          <t>1999-01-12</t>
        </is>
      </c>
      <c r="X84" t="inlineStr">
        <is>
          <t>1999-01-12</t>
        </is>
      </c>
      <c r="Y84" t="inlineStr">
        <is>
          <t>1992-06-02</t>
        </is>
      </c>
      <c r="Z84" t="inlineStr">
        <is>
          <t>1992-06-02</t>
        </is>
      </c>
      <c r="AA84" t="n">
        <v>1089</v>
      </c>
      <c r="AB84" t="n">
        <v>1030</v>
      </c>
      <c r="AC84" t="n">
        <v>1449</v>
      </c>
      <c r="AD84" t="n">
        <v>7</v>
      </c>
      <c r="AE84" t="n">
        <v>8</v>
      </c>
      <c r="AF84" t="n">
        <v>33</v>
      </c>
      <c r="AG84" t="n">
        <v>39</v>
      </c>
      <c r="AH84" t="n">
        <v>16</v>
      </c>
      <c r="AI84" t="n">
        <v>18</v>
      </c>
      <c r="AJ84" t="n">
        <v>4</v>
      </c>
      <c r="AK84" t="n">
        <v>6</v>
      </c>
      <c r="AL84" t="n">
        <v>14</v>
      </c>
      <c r="AM84" t="n">
        <v>18</v>
      </c>
      <c r="AN84" t="n">
        <v>5</v>
      </c>
      <c r="AO84" t="n">
        <v>5</v>
      </c>
      <c r="AP84" t="n">
        <v>0</v>
      </c>
      <c r="AQ84" t="n">
        <v>0</v>
      </c>
      <c r="AR84" t="inlineStr">
        <is>
          <t>No</t>
        </is>
      </c>
      <c r="AS84" t="inlineStr">
        <is>
          <t>No</t>
        </is>
      </c>
      <c r="AU84">
        <f>HYPERLINK("https://creighton-primo.hosted.exlibrisgroup.com/primo-explore/search?tab=default_tab&amp;search_scope=EVERYTHING&amp;vid=01CRU&amp;lang=en_US&amp;offset=0&amp;query=any,contains,991002204939702656","Catalog Record")</f>
        <v/>
      </c>
      <c r="AV84">
        <f>HYPERLINK("http://www.worldcat.org/oclc/285465","WorldCat Record")</f>
        <v/>
      </c>
      <c r="AW84" t="inlineStr">
        <is>
          <t>762441921:eng</t>
        </is>
      </c>
      <c r="AX84" t="inlineStr">
        <is>
          <t>285465</t>
        </is>
      </c>
      <c r="AY84" t="inlineStr">
        <is>
          <t>991002204939702656</t>
        </is>
      </c>
      <c r="AZ84" t="inlineStr">
        <is>
          <t>991002204939702656</t>
        </is>
      </c>
      <c r="BA84" t="inlineStr">
        <is>
          <t>2262957260002656</t>
        </is>
      </c>
      <c r="BB84" t="inlineStr">
        <is>
          <t>BOOK</t>
        </is>
      </c>
      <c r="BE84" t="inlineStr">
        <is>
          <t>32285001143378</t>
        </is>
      </c>
      <c r="BF84" t="inlineStr">
        <is>
          <t>893792157</t>
        </is>
      </c>
    </row>
    <row r="85">
      <c r="B85" t="inlineStr">
        <is>
          <t>CURAL</t>
        </is>
      </c>
      <c r="C85" t="inlineStr">
        <is>
          <t>SHELVES</t>
        </is>
      </c>
      <c r="D85" t="inlineStr">
        <is>
          <t>CB351 .G37 1979</t>
        </is>
      </c>
      <c r="E85" t="inlineStr">
        <is>
          <t>0                      CB 0351000G  37          1979</t>
        </is>
      </c>
      <c r="F85" t="inlineStr">
        <is>
          <t>Medieval Western civilization and the Byzantine and Islamic worlds : interaction of three cultures / Deno J. Geanakoplos.</t>
        </is>
      </c>
      <c r="H85" t="inlineStr">
        <is>
          <t>No</t>
        </is>
      </c>
      <c r="I85" t="inlineStr">
        <is>
          <t>1</t>
        </is>
      </c>
      <c r="J85" t="inlineStr">
        <is>
          <t>No</t>
        </is>
      </c>
      <c r="K85" t="inlineStr">
        <is>
          <t>No</t>
        </is>
      </c>
      <c r="L85" t="inlineStr">
        <is>
          <t>0</t>
        </is>
      </c>
      <c r="M85" t="inlineStr">
        <is>
          <t>Geanakoplos, Deno John.</t>
        </is>
      </c>
      <c r="N85" t="inlineStr">
        <is>
          <t>Lexington, Mass. : D. C. Heath, c1979.</t>
        </is>
      </c>
      <c r="O85" t="inlineStr">
        <is>
          <t>1979</t>
        </is>
      </c>
      <c r="Q85" t="inlineStr">
        <is>
          <t>eng</t>
        </is>
      </c>
      <c r="R85" t="inlineStr">
        <is>
          <t>mau</t>
        </is>
      </c>
      <c r="T85" t="inlineStr">
        <is>
          <t xml:space="preserve">CB </t>
        </is>
      </c>
      <c r="U85" t="n">
        <v>4</v>
      </c>
      <c r="V85" t="n">
        <v>4</v>
      </c>
      <c r="W85" t="inlineStr">
        <is>
          <t>2003-09-29</t>
        </is>
      </c>
      <c r="X85" t="inlineStr">
        <is>
          <t>2003-09-29</t>
        </is>
      </c>
      <c r="Y85" t="inlineStr">
        <is>
          <t>1991-12-13</t>
        </is>
      </c>
      <c r="Z85" t="inlineStr">
        <is>
          <t>1991-12-13</t>
        </is>
      </c>
      <c r="AA85" t="n">
        <v>281</v>
      </c>
      <c r="AB85" t="n">
        <v>201</v>
      </c>
      <c r="AC85" t="n">
        <v>203</v>
      </c>
      <c r="AD85" t="n">
        <v>2</v>
      </c>
      <c r="AE85" t="n">
        <v>2</v>
      </c>
      <c r="AF85" t="n">
        <v>13</v>
      </c>
      <c r="AG85" t="n">
        <v>13</v>
      </c>
      <c r="AH85" t="n">
        <v>3</v>
      </c>
      <c r="AI85" t="n">
        <v>3</v>
      </c>
      <c r="AJ85" t="n">
        <v>5</v>
      </c>
      <c r="AK85" t="n">
        <v>5</v>
      </c>
      <c r="AL85" t="n">
        <v>7</v>
      </c>
      <c r="AM85" t="n">
        <v>7</v>
      </c>
      <c r="AN85" t="n">
        <v>1</v>
      </c>
      <c r="AO85" t="n">
        <v>1</v>
      </c>
      <c r="AP85" t="n">
        <v>0</v>
      </c>
      <c r="AQ85" t="n">
        <v>0</v>
      </c>
      <c r="AR85" t="inlineStr">
        <is>
          <t>No</t>
        </is>
      </c>
      <c r="AS85" t="inlineStr">
        <is>
          <t>Yes</t>
        </is>
      </c>
      <c r="AT85">
        <f>HYPERLINK("http://catalog.hathitrust.org/Record/101992223","HathiTrust Record")</f>
        <v/>
      </c>
      <c r="AU85">
        <f>HYPERLINK("https://creighton-primo.hosted.exlibrisgroup.com/primo-explore/search?tab=default_tab&amp;search_scope=EVERYTHING&amp;vid=01CRU&amp;lang=en_US&amp;offset=0&amp;query=any,contains,991004684379702656","Catalog Record")</f>
        <v/>
      </c>
      <c r="AV85">
        <f>HYPERLINK("http://www.worldcat.org/oclc/4588433","WorldCat Record")</f>
        <v/>
      </c>
      <c r="AW85" t="inlineStr">
        <is>
          <t>201657596:eng</t>
        </is>
      </c>
      <c r="AX85" t="inlineStr">
        <is>
          <t>4588433</t>
        </is>
      </c>
      <c r="AY85" t="inlineStr">
        <is>
          <t>991004684379702656</t>
        </is>
      </c>
      <c r="AZ85" t="inlineStr">
        <is>
          <t>991004684379702656</t>
        </is>
      </c>
      <c r="BA85" t="inlineStr">
        <is>
          <t>2258489730002656</t>
        </is>
      </c>
      <c r="BB85" t="inlineStr">
        <is>
          <t>BOOK</t>
        </is>
      </c>
      <c r="BD85" t="inlineStr">
        <is>
          <t>9780669008685</t>
        </is>
      </c>
      <c r="BE85" t="inlineStr">
        <is>
          <t>32285000905645</t>
        </is>
      </c>
      <c r="BF85" t="inlineStr">
        <is>
          <t>893263379</t>
        </is>
      </c>
    </row>
    <row r="86">
      <c r="B86" t="inlineStr">
        <is>
          <t>CURAL</t>
        </is>
      </c>
      <c r="C86" t="inlineStr">
        <is>
          <t>SHELVES</t>
        </is>
      </c>
      <c r="D86" t="inlineStr">
        <is>
          <t>CB351 .H4 1949</t>
        </is>
      </c>
      <c r="E86" t="inlineStr">
        <is>
          <t>0                      CB 0351000H  4           1949</t>
        </is>
      </c>
      <c r="F86" t="inlineStr">
        <is>
          <t>Mediæval contributions to modern civilization; a series of lectures delivered at King's College, University of London. With a pref. by Ernest Barker.</t>
        </is>
      </c>
      <c r="H86" t="inlineStr">
        <is>
          <t>No</t>
        </is>
      </c>
      <c r="I86" t="inlineStr">
        <is>
          <t>1</t>
        </is>
      </c>
      <c r="J86" t="inlineStr">
        <is>
          <t>No</t>
        </is>
      </c>
      <c r="K86" t="inlineStr">
        <is>
          <t>No</t>
        </is>
      </c>
      <c r="L86" t="inlineStr">
        <is>
          <t>0</t>
        </is>
      </c>
      <c r="M86" t="inlineStr">
        <is>
          <t>Hearnshaw, F. J. C. (Fossey John Cobb), 1869-1946, editor.</t>
        </is>
      </c>
      <c r="N86" t="inlineStr">
        <is>
          <t>New York, Barnes &amp; Noble, 1949.</t>
        </is>
      </c>
      <c r="O86" t="inlineStr">
        <is>
          <t>1949</t>
        </is>
      </c>
      <c r="Q86" t="inlineStr">
        <is>
          <t>eng</t>
        </is>
      </c>
      <c r="R86" t="inlineStr">
        <is>
          <t>nyu</t>
        </is>
      </c>
      <c r="T86" t="inlineStr">
        <is>
          <t xml:space="preserve">CB </t>
        </is>
      </c>
      <c r="U86" t="n">
        <v>1</v>
      </c>
      <c r="V86" t="n">
        <v>1</v>
      </c>
      <c r="W86" t="inlineStr">
        <is>
          <t>1998-11-17</t>
        </is>
      </c>
      <c r="X86" t="inlineStr">
        <is>
          <t>1998-11-17</t>
        </is>
      </c>
      <c r="Y86" t="inlineStr">
        <is>
          <t>1996-08-19</t>
        </is>
      </c>
      <c r="Z86" t="inlineStr">
        <is>
          <t>1996-08-19</t>
        </is>
      </c>
      <c r="AA86" t="n">
        <v>359</v>
      </c>
      <c r="AB86" t="n">
        <v>329</v>
      </c>
      <c r="AC86" t="n">
        <v>456</v>
      </c>
      <c r="AD86" t="n">
        <v>1</v>
      </c>
      <c r="AE86" t="n">
        <v>2</v>
      </c>
      <c r="AF86" t="n">
        <v>24</v>
      </c>
      <c r="AG86" t="n">
        <v>30</v>
      </c>
      <c r="AH86" t="n">
        <v>8</v>
      </c>
      <c r="AI86" t="n">
        <v>12</v>
      </c>
      <c r="AJ86" t="n">
        <v>8</v>
      </c>
      <c r="AK86" t="n">
        <v>8</v>
      </c>
      <c r="AL86" t="n">
        <v>15</v>
      </c>
      <c r="AM86" t="n">
        <v>18</v>
      </c>
      <c r="AN86" t="n">
        <v>0</v>
      </c>
      <c r="AO86" t="n">
        <v>1</v>
      </c>
      <c r="AP86" t="n">
        <v>0</v>
      </c>
      <c r="AQ86" t="n">
        <v>0</v>
      </c>
      <c r="AR86" t="inlineStr">
        <is>
          <t>No</t>
        </is>
      </c>
      <c r="AS86" t="inlineStr">
        <is>
          <t>No</t>
        </is>
      </c>
      <c r="AT86">
        <f>HYPERLINK("http://catalog.hathitrust.org/Record/001962259","HathiTrust Record")</f>
        <v/>
      </c>
      <c r="AU86">
        <f>HYPERLINK("https://creighton-primo.hosted.exlibrisgroup.com/primo-explore/search?tab=default_tab&amp;search_scope=EVERYTHING&amp;vid=01CRU&amp;lang=en_US&amp;offset=0&amp;query=any,contains,991003934379702656","Catalog Record")</f>
        <v/>
      </c>
      <c r="AV86">
        <f>HYPERLINK("http://www.worldcat.org/oclc/1908241","WorldCat Record")</f>
        <v/>
      </c>
      <c r="AW86" t="inlineStr">
        <is>
          <t>1667852:eng</t>
        </is>
      </c>
      <c r="AX86" t="inlineStr">
        <is>
          <t>1908241</t>
        </is>
      </c>
      <c r="AY86" t="inlineStr">
        <is>
          <t>991003934379702656</t>
        </is>
      </c>
      <c r="AZ86" t="inlineStr">
        <is>
          <t>991003934379702656</t>
        </is>
      </c>
      <c r="BA86" t="inlineStr">
        <is>
          <t>2270592780002656</t>
        </is>
      </c>
      <c r="BB86" t="inlineStr">
        <is>
          <t>BOOK</t>
        </is>
      </c>
      <c r="BE86" t="inlineStr">
        <is>
          <t>32285002275393</t>
        </is>
      </c>
      <c r="BF86" t="inlineStr">
        <is>
          <t>893519055</t>
        </is>
      </c>
    </row>
    <row r="87">
      <c r="B87" t="inlineStr">
        <is>
          <t>CURAL</t>
        </is>
      </c>
      <c r="C87" t="inlineStr">
        <is>
          <t>SHELVES</t>
        </is>
      </c>
      <c r="D87" t="inlineStr">
        <is>
          <t>CB351 .J3 1968</t>
        </is>
      </c>
      <c r="E87" t="inlineStr">
        <is>
          <t>0                      CB 0351000J  3           1968</t>
        </is>
      </c>
      <c r="F87" t="inlineStr">
        <is>
          <t>Social theories of the Middle Ages 1200-1500.</t>
        </is>
      </c>
      <c r="H87" t="inlineStr">
        <is>
          <t>No</t>
        </is>
      </c>
      <c r="I87" t="inlineStr">
        <is>
          <t>1</t>
        </is>
      </c>
      <c r="J87" t="inlineStr">
        <is>
          <t>No</t>
        </is>
      </c>
      <c r="K87" t="inlineStr">
        <is>
          <t>No</t>
        </is>
      </c>
      <c r="L87" t="inlineStr">
        <is>
          <t>0</t>
        </is>
      </c>
      <c r="M87" t="inlineStr">
        <is>
          <t>Jarrett, Bede, 1881-1934.</t>
        </is>
      </c>
      <c r="N87" t="inlineStr">
        <is>
          <t>London, Cass, 1968.</t>
        </is>
      </c>
      <c r="O87" t="inlineStr">
        <is>
          <t>1968</t>
        </is>
      </c>
      <c r="P87" t="inlineStr">
        <is>
          <t>1st ed., new impression.</t>
        </is>
      </c>
      <c r="Q87" t="inlineStr">
        <is>
          <t>eng</t>
        </is>
      </c>
      <c r="R87" t="inlineStr">
        <is>
          <t>enk</t>
        </is>
      </c>
      <c r="T87" t="inlineStr">
        <is>
          <t xml:space="preserve">CB </t>
        </is>
      </c>
      <c r="U87" t="n">
        <v>2</v>
      </c>
      <c r="V87" t="n">
        <v>2</v>
      </c>
      <c r="W87" t="inlineStr">
        <is>
          <t>2000-04-15</t>
        </is>
      </c>
      <c r="X87" t="inlineStr">
        <is>
          <t>2000-04-15</t>
        </is>
      </c>
      <c r="Y87" t="inlineStr">
        <is>
          <t>1996-08-19</t>
        </is>
      </c>
      <c r="Z87" t="inlineStr">
        <is>
          <t>1996-08-19</t>
        </is>
      </c>
      <c r="AA87" t="n">
        <v>193</v>
      </c>
      <c r="AB87" t="n">
        <v>130</v>
      </c>
      <c r="AC87" t="n">
        <v>855</v>
      </c>
      <c r="AD87" t="n">
        <v>1</v>
      </c>
      <c r="AE87" t="n">
        <v>6</v>
      </c>
      <c r="AF87" t="n">
        <v>4</v>
      </c>
      <c r="AG87" t="n">
        <v>41</v>
      </c>
      <c r="AH87" t="n">
        <v>1</v>
      </c>
      <c r="AI87" t="n">
        <v>15</v>
      </c>
      <c r="AJ87" t="n">
        <v>2</v>
      </c>
      <c r="AK87" t="n">
        <v>7</v>
      </c>
      <c r="AL87" t="n">
        <v>2</v>
      </c>
      <c r="AM87" t="n">
        <v>16</v>
      </c>
      <c r="AN87" t="n">
        <v>0</v>
      </c>
      <c r="AO87" t="n">
        <v>4</v>
      </c>
      <c r="AP87" t="n">
        <v>0</v>
      </c>
      <c r="AQ87" t="n">
        <v>7</v>
      </c>
      <c r="AR87" t="inlineStr">
        <is>
          <t>No</t>
        </is>
      </c>
      <c r="AS87" t="inlineStr">
        <is>
          <t>No</t>
        </is>
      </c>
      <c r="AU87">
        <f>HYPERLINK("https://creighton-primo.hosted.exlibrisgroup.com/primo-explore/search?tab=default_tab&amp;search_scope=EVERYTHING&amp;vid=01CRU&amp;lang=en_US&amp;offset=0&amp;query=any,contains,991001086669702656","Catalog Record")</f>
        <v/>
      </c>
      <c r="AV87">
        <f>HYPERLINK("http://www.worldcat.org/oclc/180562","WorldCat Record")</f>
        <v/>
      </c>
      <c r="AW87" t="inlineStr">
        <is>
          <t>1321859:eng</t>
        </is>
      </c>
      <c r="AX87" t="inlineStr">
        <is>
          <t>180562</t>
        </is>
      </c>
      <c r="AY87" t="inlineStr">
        <is>
          <t>991001086669702656</t>
        </is>
      </c>
      <c r="AZ87" t="inlineStr">
        <is>
          <t>991001086669702656</t>
        </is>
      </c>
      <c r="BA87" t="inlineStr">
        <is>
          <t>2271886790002656</t>
        </is>
      </c>
      <c r="BB87" t="inlineStr">
        <is>
          <t>BOOK</t>
        </is>
      </c>
      <c r="BE87" t="inlineStr">
        <is>
          <t>32285002275435</t>
        </is>
      </c>
      <c r="BF87" t="inlineStr">
        <is>
          <t>893249955</t>
        </is>
      </c>
    </row>
    <row r="88">
      <c r="B88" t="inlineStr">
        <is>
          <t>CURAL</t>
        </is>
      </c>
      <c r="C88" t="inlineStr">
        <is>
          <t>SHELVES</t>
        </is>
      </c>
      <c r="D88" t="inlineStr">
        <is>
          <t>CB351 .L413 1989</t>
        </is>
      </c>
      <c r="E88" t="inlineStr">
        <is>
          <t>0                      CB 0351000L  413         1989</t>
        </is>
      </c>
      <c r="F88" t="inlineStr">
        <is>
          <t>Medieval civilization 400-1500 / Jacques Le Goff ; translated by Julia Barrow.</t>
        </is>
      </c>
      <c r="H88" t="inlineStr">
        <is>
          <t>No</t>
        </is>
      </c>
      <c r="I88" t="inlineStr">
        <is>
          <t>1</t>
        </is>
      </c>
      <c r="J88" t="inlineStr">
        <is>
          <t>No</t>
        </is>
      </c>
      <c r="K88" t="inlineStr">
        <is>
          <t>No</t>
        </is>
      </c>
      <c r="L88" t="inlineStr">
        <is>
          <t>0</t>
        </is>
      </c>
      <c r="M88" t="inlineStr">
        <is>
          <t>Le Goff, Jacques, 1924-2014.</t>
        </is>
      </c>
      <c r="N88" t="inlineStr">
        <is>
          <t>Oxford, UK ; New York, NY, USA : B. Blackwell, 1989.</t>
        </is>
      </c>
      <c r="O88" t="inlineStr">
        <is>
          <t>1989</t>
        </is>
      </c>
      <c r="Q88" t="inlineStr">
        <is>
          <t>eng</t>
        </is>
      </c>
      <c r="R88" t="inlineStr">
        <is>
          <t>enk</t>
        </is>
      </c>
      <c r="T88" t="inlineStr">
        <is>
          <t xml:space="preserve">CB </t>
        </is>
      </c>
      <c r="U88" t="n">
        <v>4</v>
      </c>
      <c r="V88" t="n">
        <v>4</v>
      </c>
      <c r="W88" t="inlineStr">
        <is>
          <t>1996-01-08</t>
        </is>
      </c>
      <c r="X88" t="inlineStr">
        <is>
          <t>1996-01-08</t>
        </is>
      </c>
      <c r="Y88" t="inlineStr">
        <is>
          <t>1992-06-02</t>
        </is>
      </c>
      <c r="Z88" t="inlineStr">
        <is>
          <t>1992-06-02</t>
        </is>
      </c>
      <c r="AA88" t="n">
        <v>774</v>
      </c>
      <c r="AB88" t="n">
        <v>546</v>
      </c>
      <c r="AC88" t="n">
        <v>853</v>
      </c>
      <c r="AD88" t="n">
        <v>5</v>
      </c>
      <c r="AE88" t="n">
        <v>6</v>
      </c>
      <c r="AF88" t="n">
        <v>25</v>
      </c>
      <c r="AG88" t="n">
        <v>33</v>
      </c>
      <c r="AH88" t="n">
        <v>8</v>
      </c>
      <c r="AI88" t="n">
        <v>12</v>
      </c>
      <c r="AJ88" t="n">
        <v>9</v>
      </c>
      <c r="AK88" t="n">
        <v>9</v>
      </c>
      <c r="AL88" t="n">
        <v>12</v>
      </c>
      <c r="AM88" t="n">
        <v>16</v>
      </c>
      <c r="AN88" t="n">
        <v>3</v>
      </c>
      <c r="AO88" t="n">
        <v>4</v>
      </c>
      <c r="AP88" t="n">
        <v>0</v>
      </c>
      <c r="AQ88" t="n">
        <v>0</v>
      </c>
      <c r="AR88" t="inlineStr">
        <is>
          <t>No</t>
        </is>
      </c>
      <c r="AS88" t="inlineStr">
        <is>
          <t>No</t>
        </is>
      </c>
      <c r="AU88">
        <f>HYPERLINK("https://creighton-primo.hosted.exlibrisgroup.com/primo-explore/search?tab=default_tab&amp;search_scope=EVERYTHING&amp;vid=01CRU&amp;lang=en_US&amp;offset=0&amp;query=any,contains,991001214469702656","Catalog Record")</f>
        <v/>
      </c>
      <c r="AV88">
        <f>HYPERLINK("http://www.worldcat.org/oclc/17413135","WorldCat Record")</f>
        <v/>
      </c>
      <c r="AW88" t="inlineStr">
        <is>
          <t>33428055:eng</t>
        </is>
      </c>
      <c r="AX88" t="inlineStr">
        <is>
          <t>17413135</t>
        </is>
      </c>
      <c r="AY88" t="inlineStr">
        <is>
          <t>991001214469702656</t>
        </is>
      </c>
      <c r="AZ88" t="inlineStr">
        <is>
          <t>991001214469702656</t>
        </is>
      </c>
      <c r="BA88" t="inlineStr">
        <is>
          <t>2265030340002656</t>
        </is>
      </c>
      <c r="BB88" t="inlineStr">
        <is>
          <t>BOOK</t>
        </is>
      </c>
      <c r="BD88" t="inlineStr">
        <is>
          <t>9780631155126</t>
        </is>
      </c>
      <c r="BE88" t="inlineStr">
        <is>
          <t>32285001143402</t>
        </is>
      </c>
      <c r="BF88" t="inlineStr">
        <is>
          <t>893784927</t>
        </is>
      </c>
    </row>
    <row r="89">
      <c r="B89" t="inlineStr">
        <is>
          <t>CURAL</t>
        </is>
      </c>
      <c r="C89" t="inlineStr">
        <is>
          <t>SHELVES</t>
        </is>
      </c>
      <c r="D89" t="inlineStr">
        <is>
          <t>CB351 .M78 1982</t>
        </is>
      </c>
      <c r="E89" t="inlineStr">
        <is>
          <t>0                      CB 0351000M  78          1982</t>
        </is>
      </c>
      <c r="F89" t="inlineStr">
        <is>
          <t>Le Moyen Age / [sous la direction de] Robert Fossier.</t>
        </is>
      </c>
      <c r="G89" t="inlineStr">
        <is>
          <t>V.2</t>
        </is>
      </c>
      <c r="H89" t="inlineStr">
        <is>
          <t>Yes</t>
        </is>
      </c>
      <c r="I89" t="inlineStr">
        <is>
          <t>1</t>
        </is>
      </c>
      <c r="J89" t="inlineStr">
        <is>
          <t>No</t>
        </is>
      </c>
      <c r="K89" t="inlineStr">
        <is>
          <t>No</t>
        </is>
      </c>
      <c r="L89" t="inlineStr">
        <is>
          <t>0</t>
        </is>
      </c>
      <c r="N89" t="inlineStr">
        <is>
          <t>Paris : A. Colin, c1982-c1983.</t>
        </is>
      </c>
      <c r="O89" t="inlineStr">
        <is>
          <t>1982</t>
        </is>
      </c>
      <c r="Q89" t="inlineStr">
        <is>
          <t>fre</t>
        </is>
      </c>
      <c r="R89" t="inlineStr">
        <is>
          <t xml:space="preserve">fr </t>
        </is>
      </c>
      <c r="T89" t="inlineStr">
        <is>
          <t xml:space="preserve">CB </t>
        </is>
      </c>
      <c r="U89" t="n">
        <v>0</v>
      </c>
      <c r="V89" t="n">
        <v>2</v>
      </c>
      <c r="X89" t="inlineStr">
        <is>
          <t>2010-03-31</t>
        </is>
      </c>
      <c r="Y89" t="inlineStr">
        <is>
          <t>1992-06-02</t>
        </is>
      </c>
      <c r="Z89" t="inlineStr">
        <is>
          <t>1992-06-02</t>
        </is>
      </c>
      <c r="AA89" t="n">
        <v>178</v>
      </c>
      <c r="AB89" t="n">
        <v>101</v>
      </c>
      <c r="AC89" t="n">
        <v>108</v>
      </c>
      <c r="AD89" t="n">
        <v>1</v>
      </c>
      <c r="AE89" t="n">
        <v>1</v>
      </c>
      <c r="AF89" t="n">
        <v>4</v>
      </c>
      <c r="AG89" t="n">
        <v>4</v>
      </c>
      <c r="AH89" t="n">
        <v>0</v>
      </c>
      <c r="AI89" t="n">
        <v>0</v>
      </c>
      <c r="AJ89" t="n">
        <v>2</v>
      </c>
      <c r="AK89" t="n">
        <v>2</v>
      </c>
      <c r="AL89" t="n">
        <v>3</v>
      </c>
      <c r="AM89" t="n">
        <v>3</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HYPERLINK("https://creighton-primo.hosted.exlibrisgroup.com/primo-explore/search?tab=default_tab&amp;search_scope=EVERYTHING&amp;vid=01CRU&amp;lang=en_US&amp;offset=0&amp;query=any,contains,991000196319702656","Catalog Record")</f>
        <v/>
      </c>
      <c r="AV89">
        <f>HYPERLINK("http://www.worldcat.org/oclc/9441473","WorldCat Record")</f>
        <v/>
      </c>
      <c r="AW89" t="inlineStr">
        <is>
          <t>365419013:fre</t>
        </is>
      </c>
      <c r="AX89" t="inlineStr">
        <is>
          <t>9441473</t>
        </is>
      </c>
      <c r="AY89" t="inlineStr">
        <is>
          <t>991000196319702656</t>
        </is>
      </c>
      <c r="AZ89" t="inlineStr">
        <is>
          <t>991000196319702656</t>
        </is>
      </c>
      <c r="BA89" t="inlineStr">
        <is>
          <t>2265027300002656</t>
        </is>
      </c>
      <c r="BB89" t="inlineStr">
        <is>
          <t>BOOK</t>
        </is>
      </c>
      <c r="BD89" t="inlineStr">
        <is>
          <t>9782200370466</t>
        </is>
      </c>
      <c r="BE89" t="inlineStr">
        <is>
          <t>32285001143444</t>
        </is>
      </c>
      <c r="BF89" t="inlineStr">
        <is>
          <t>893527890</t>
        </is>
      </c>
    </row>
    <row r="90">
      <c r="B90" t="inlineStr">
        <is>
          <t>CURAL</t>
        </is>
      </c>
      <c r="C90" t="inlineStr">
        <is>
          <t>SHELVES</t>
        </is>
      </c>
      <c r="D90" t="inlineStr">
        <is>
          <t>CB351 .M78 1982</t>
        </is>
      </c>
      <c r="E90" t="inlineStr">
        <is>
          <t>0                      CB 0351000M  78          1982</t>
        </is>
      </c>
      <c r="F90" t="inlineStr">
        <is>
          <t>Le Moyen Age / [sous la direction de] Robert Fossier.</t>
        </is>
      </c>
      <c r="G90" t="inlineStr">
        <is>
          <t>V.1</t>
        </is>
      </c>
      <c r="H90" t="inlineStr">
        <is>
          <t>Yes</t>
        </is>
      </c>
      <c r="I90" t="inlineStr">
        <is>
          <t>1</t>
        </is>
      </c>
      <c r="J90" t="inlineStr">
        <is>
          <t>No</t>
        </is>
      </c>
      <c r="K90" t="inlineStr">
        <is>
          <t>No</t>
        </is>
      </c>
      <c r="L90" t="inlineStr">
        <is>
          <t>0</t>
        </is>
      </c>
      <c r="N90" t="inlineStr">
        <is>
          <t>Paris : A. Colin, c1982-c1983.</t>
        </is>
      </c>
      <c r="O90" t="inlineStr">
        <is>
          <t>1982</t>
        </is>
      </c>
      <c r="Q90" t="inlineStr">
        <is>
          <t>fre</t>
        </is>
      </c>
      <c r="R90" t="inlineStr">
        <is>
          <t xml:space="preserve">fr </t>
        </is>
      </c>
      <c r="T90" t="inlineStr">
        <is>
          <t xml:space="preserve">CB </t>
        </is>
      </c>
      <c r="U90" t="n">
        <v>0</v>
      </c>
      <c r="V90" t="n">
        <v>2</v>
      </c>
      <c r="X90" t="inlineStr">
        <is>
          <t>2010-03-31</t>
        </is>
      </c>
      <c r="Y90" t="inlineStr">
        <is>
          <t>1992-06-02</t>
        </is>
      </c>
      <c r="Z90" t="inlineStr">
        <is>
          <t>1992-06-02</t>
        </is>
      </c>
      <c r="AA90" t="n">
        <v>178</v>
      </c>
      <c r="AB90" t="n">
        <v>101</v>
      </c>
      <c r="AC90" t="n">
        <v>108</v>
      </c>
      <c r="AD90" t="n">
        <v>1</v>
      </c>
      <c r="AE90" t="n">
        <v>1</v>
      </c>
      <c r="AF90" t="n">
        <v>4</v>
      </c>
      <c r="AG90" t="n">
        <v>4</v>
      </c>
      <c r="AH90" t="n">
        <v>0</v>
      </c>
      <c r="AI90" t="n">
        <v>0</v>
      </c>
      <c r="AJ90" t="n">
        <v>2</v>
      </c>
      <c r="AK90" t="n">
        <v>2</v>
      </c>
      <c r="AL90" t="n">
        <v>3</v>
      </c>
      <c r="AM90" t="n">
        <v>3</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HYPERLINK("https://creighton-primo.hosted.exlibrisgroup.com/primo-explore/search?tab=default_tab&amp;search_scope=EVERYTHING&amp;vid=01CRU&amp;lang=en_US&amp;offset=0&amp;query=any,contains,991000196319702656","Catalog Record")</f>
        <v/>
      </c>
      <c r="AV90">
        <f>HYPERLINK("http://www.worldcat.org/oclc/9441473","WorldCat Record")</f>
        <v/>
      </c>
      <c r="AW90" t="inlineStr">
        <is>
          <t>365419013:fre</t>
        </is>
      </c>
      <c r="AX90" t="inlineStr">
        <is>
          <t>9441473</t>
        </is>
      </c>
      <c r="AY90" t="inlineStr">
        <is>
          <t>991000196319702656</t>
        </is>
      </c>
      <c r="AZ90" t="inlineStr">
        <is>
          <t>991000196319702656</t>
        </is>
      </c>
      <c r="BA90" t="inlineStr">
        <is>
          <t>2265027300002656</t>
        </is>
      </c>
      <c r="BB90" t="inlineStr">
        <is>
          <t>BOOK</t>
        </is>
      </c>
      <c r="BD90" t="inlineStr">
        <is>
          <t>9782200370466</t>
        </is>
      </c>
      <c r="BE90" t="inlineStr">
        <is>
          <t>32285001143436</t>
        </is>
      </c>
      <c r="BF90" t="inlineStr">
        <is>
          <t>893508603</t>
        </is>
      </c>
    </row>
    <row r="91">
      <c r="B91" t="inlineStr">
        <is>
          <t>CURAL</t>
        </is>
      </c>
      <c r="C91" t="inlineStr">
        <is>
          <t>SHELVES</t>
        </is>
      </c>
      <c r="D91" t="inlineStr">
        <is>
          <t>CB351 .M78 1982</t>
        </is>
      </c>
      <c r="E91" t="inlineStr">
        <is>
          <t>0                      CB 0351000M  78          1982</t>
        </is>
      </c>
      <c r="F91" t="inlineStr">
        <is>
          <t>Le Moyen Age / [sous la direction de] Robert Fossier.</t>
        </is>
      </c>
      <c r="G91" t="inlineStr">
        <is>
          <t>V.3</t>
        </is>
      </c>
      <c r="H91" t="inlineStr">
        <is>
          <t>Yes</t>
        </is>
      </c>
      <c r="I91" t="inlineStr">
        <is>
          <t>1</t>
        </is>
      </c>
      <c r="J91" t="inlineStr">
        <is>
          <t>No</t>
        </is>
      </c>
      <c r="K91" t="inlineStr">
        <is>
          <t>No</t>
        </is>
      </c>
      <c r="L91" t="inlineStr">
        <is>
          <t>0</t>
        </is>
      </c>
      <c r="N91" t="inlineStr">
        <is>
          <t>Paris : A. Colin, c1982-c1983.</t>
        </is>
      </c>
      <c r="O91" t="inlineStr">
        <is>
          <t>1982</t>
        </is>
      </c>
      <c r="Q91" t="inlineStr">
        <is>
          <t>fre</t>
        </is>
      </c>
      <c r="R91" t="inlineStr">
        <is>
          <t xml:space="preserve">fr </t>
        </is>
      </c>
      <c r="T91" t="inlineStr">
        <is>
          <t xml:space="preserve">CB </t>
        </is>
      </c>
      <c r="U91" t="n">
        <v>2</v>
      </c>
      <c r="V91" t="n">
        <v>2</v>
      </c>
      <c r="W91" t="inlineStr">
        <is>
          <t>2010-03-31</t>
        </is>
      </c>
      <c r="X91" t="inlineStr">
        <is>
          <t>2010-03-31</t>
        </is>
      </c>
      <c r="Y91" t="inlineStr">
        <is>
          <t>1992-06-02</t>
        </is>
      </c>
      <c r="Z91" t="inlineStr">
        <is>
          <t>1992-06-02</t>
        </is>
      </c>
      <c r="AA91" t="n">
        <v>178</v>
      </c>
      <c r="AB91" t="n">
        <v>101</v>
      </c>
      <c r="AC91" t="n">
        <v>108</v>
      </c>
      <c r="AD91" t="n">
        <v>1</v>
      </c>
      <c r="AE91" t="n">
        <v>1</v>
      </c>
      <c r="AF91" t="n">
        <v>4</v>
      </c>
      <c r="AG91" t="n">
        <v>4</v>
      </c>
      <c r="AH91" t="n">
        <v>0</v>
      </c>
      <c r="AI91" t="n">
        <v>0</v>
      </c>
      <c r="AJ91" t="n">
        <v>2</v>
      </c>
      <c r="AK91" t="n">
        <v>2</v>
      </c>
      <c r="AL91" t="n">
        <v>3</v>
      </c>
      <c r="AM91" t="n">
        <v>3</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HYPERLINK("https://creighton-primo.hosted.exlibrisgroup.com/primo-explore/search?tab=default_tab&amp;search_scope=EVERYTHING&amp;vid=01CRU&amp;lang=en_US&amp;offset=0&amp;query=any,contains,991000196319702656","Catalog Record")</f>
        <v/>
      </c>
      <c r="AV91">
        <f>HYPERLINK("http://www.worldcat.org/oclc/9441473","WorldCat Record")</f>
        <v/>
      </c>
      <c r="AW91" t="inlineStr">
        <is>
          <t>365419013:fre</t>
        </is>
      </c>
      <c r="AX91" t="inlineStr">
        <is>
          <t>9441473</t>
        </is>
      </c>
      <c r="AY91" t="inlineStr">
        <is>
          <t>991000196319702656</t>
        </is>
      </c>
      <c r="AZ91" t="inlineStr">
        <is>
          <t>991000196319702656</t>
        </is>
      </c>
      <c r="BA91" t="inlineStr">
        <is>
          <t>2265027300002656</t>
        </is>
      </c>
      <c r="BB91" t="inlineStr">
        <is>
          <t>BOOK</t>
        </is>
      </c>
      <c r="BD91" t="inlineStr">
        <is>
          <t>9782200370466</t>
        </is>
      </c>
      <c r="BE91" t="inlineStr">
        <is>
          <t>32285001143451</t>
        </is>
      </c>
      <c r="BF91" t="inlineStr">
        <is>
          <t>893515098</t>
        </is>
      </c>
    </row>
    <row r="92">
      <c r="B92" t="inlineStr">
        <is>
          <t>CURAL</t>
        </is>
      </c>
      <c r="C92" t="inlineStr">
        <is>
          <t>SHELVES</t>
        </is>
      </c>
      <c r="D92" t="inlineStr">
        <is>
          <t>CB351 .M7813 1986</t>
        </is>
      </c>
      <c r="E92" t="inlineStr">
        <is>
          <t>0                      CB 0351000M  7813        1986</t>
        </is>
      </c>
      <c r="F92" t="inlineStr">
        <is>
          <t>The Cambridge illustrated history of the Middle Ages / edited by Robert Fossier.</t>
        </is>
      </c>
      <c r="G92" t="inlineStr">
        <is>
          <t>V.1</t>
        </is>
      </c>
      <c r="H92" t="inlineStr">
        <is>
          <t>No</t>
        </is>
      </c>
      <c r="I92" t="inlineStr">
        <is>
          <t>1</t>
        </is>
      </c>
      <c r="J92" t="inlineStr">
        <is>
          <t>No</t>
        </is>
      </c>
      <c r="K92" t="inlineStr">
        <is>
          <t>No</t>
        </is>
      </c>
      <c r="L92" t="inlineStr">
        <is>
          <t>0</t>
        </is>
      </c>
      <c r="M92" t="inlineStr">
        <is>
          <t>Série "Moyen Age." English.</t>
        </is>
      </c>
      <c r="N92" t="inlineStr">
        <is>
          <t>Cambridge [Cambridgeshire] ; New York : Cambridge University Press, c1986-</t>
        </is>
      </c>
      <c r="O92" t="inlineStr">
        <is>
          <t>1900</t>
        </is>
      </c>
      <c r="Q92" t="inlineStr">
        <is>
          <t>eng</t>
        </is>
      </c>
      <c r="R92" t="inlineStr">
        <is>
          <t>enk</t>
        </is>
      </c>
      <c r="T92" t="inlineStr">
        <is>
          <t xml:space="preserve">CB </t>
        </is>
      </c>
      <c r="U92" t="n">
        <v>7</v>
      </c>
      <c r="V92" t="n">
        <v>7</v>
      </c>
      <c r="W92" t="inlineStr">
        <is>
          <t>1998-10-07</t>
        </is>
      </c>
      <c r="X92" t="inlineStr">
        <is>
          <t>1998-10-07</t>
        </is>
      </c>
      <c r="Y92" t="inlineStr">
        <is>
          <t>1992-06-02</t>
        </is>
      </c>
      <c r="Z92" t="inlineStr">
        <is>
          <t>1992-06-02</t>
        </is>
      </c>
      <c r="AA92" t="n">
        <v>1294</v>
      </c>
      <c r="AB92" t="n">
        <v>1114</v>
      </c>
      <c r="AC92" t="n">
        <v>1144</v>
      </c>
      <c r="AD92" t="n">
        <v>5</v>
      </c>
      <c r="AE92" t="n">
        <v>5</v>
      </c>
      <c r="AF92" t="n">
        <v>38</v>
      </c>
      <c r="AG92" t="n">
        <v>38</v>
      </c>
      <c r="AH92" t="n">
        <v>15</v>
      </c>
      <c r="AI92" t="n">
        <v>15</v>
      </c>
      <c r="AJ92" t="n">
        <v>8</v>
      </c>
      <c r="AK92" t="n">
        <v>8</v>
      </c>
      <c r="AL92" t="n">
        <v>20</v>
      </c>
      <c r="AM92" t="n">
        <v>20</v>
      </c>
      <c r="AN92" t="n">
        <v>3</v>
      </c>
      <c r="AO92" t="n">
        <v>3</v>
      </c>
      <c r="AP92" t="n">
        <v>0</v>
      </c>
      <c r="AQ92" t="n">
        <v>0</v>
      </c>
      <c r="AR92" t="inlineStr">
        <is>
          <t>No</t>
        </is>
      </c>
      <c r="AS92" t="inlineStr">
        <is>
          <t>No</t>
        </is>
      </c>
      <c r="AU92">
        <f>HYPERLINK("https://creighton-primo.hosted.exlibrisgroup.com/primo-explore/search?tab=default_tab&amp;search_scope=EVERYTHING&amp;vid=01CRU&amp;lang=en_US&amp;offset=0&amp;query=any,contains,991000706759702656","Catalog Record")</f>
        <v/>
      </c>
      <c r="AV92">
        <f>HYPERLINK("http://www.worldcat.org/oclc/12557600","WorldCat Record")</f>
        <v/>
      </c>
      <c r="AW92" t="inlineStr">
        <is>
          <t>365419013:eng</t>
        </is>
      </c>
      <c r="AX92" t="inlineStr">
        <is>
          <t>12557600</t>
        </is>
      </c>
      <c r="AY92" t="inlineStr">
        <is>
          <t>991000706759702656</t>
        </is>
      </c>
      <c r="AZ92" t="inlineStr">
        <is>
          <t>991000706759702656</t>
        </is>
      </c>
      <c r="BA92" t="inlineStr">
        <is>
          <t>2255252180002656</t>
        </is>
      </c>
      <c r="BB92" t="inlineStr">
        <is>
          <t>BOOK</t>
        </is>
      </c>
      <c r="BD92" t="inlineStr">
        <is>
          <t>9780521266444</t>
        </is>
      </c>
      <c r="BE92" t="inlineStr">
        <is>
          <t>32285001143469</t>
        </is>
      </c>
      <c r="BF92" t="inlineStr">
        <is>
          <t>893249607</t>
        </is>
      </c>
    </row>
    <row r="93">
      <c r="B93" t="inlineStr">
        <is>
          <t>CURAL</t>
        </is>
      </c>
      <c r="C93" t="inlineStr">
        <is>
          <t>SHELVES</t>
        </is>
      </c>
      <c r="D93" t="inlineStr">
        <is>
          <t>CB351 .R46</t>
        </is>
      </c>
      <c r="E93" t="inlineStr">
        <is>
          <t>0                      CB 0351000R  46</t>
        </is>
      </c>
      <c r="F93" t="inlineStr">
        <is>
          <t>The dawn of European civilization : the Dark Ages / texts by David Oates [and others]</t>
        </is>
      </c>
      <c r="H93" t="inlineStr">
        <is>
          <t>No</t>
        </is>
      </c>
      <c r="I93" t="inlineStr">
        <is>
          <t>1</t>
        </is>
      </c>
      <c r="J93" t="inlineStr">
        <is>
          <t>No</t>
        </is>
      </c>
      <c r="K93" t="inlineStr">
        <is>
          <t>No</t>
        </is>
      </c>
      <c r="L93" t="inlineStr">
        <is>
          <t>0</t>
        </is>
      </c>
      <c r="M93" t="inlineStr">
        <is>
          <t>Rice, David Talbot, 1903-1972, editor.</t>
        </is>
      </c>
      <c r="N93" t="inlineStr">
        <is>
          <t>New York : McGraw-Hill, [1965]</t>
        </is>
      </c>
      <c r="O93" t="inlineStr">
        <is>
          <t>1965</t>
        </is>
      </c>
      <c r="Q93" t="inlineStr">
        <is>
          <t>eng</t>
        </is>
      </c>
      <c r="R93" t="inlineStr">
        <is>
          <t>nyu</t>
        </is>
      </c>
      <c r="T93" t="inlineStr">
        <is>
          <t xml:space="preserve">CB </t>
        </is>
      </c>
      <c r="U93" t="n">
        <v>5</v>
      </c>
      <c r="V93" t="n">
        <v>5</v>
      </c>
      <c r="W93" t="inlineStr">
        <is>
          <t>1995-04-12</t>
        </is>
      </c>
      <c r="X93" t="inlineStr">
        <is>
          <t>1995-04-12</t>
        </is>
      </c>
      <c r="Y93" t="inlineStr">
        <is>
          <t>1995-02-24</t>
        </is>
      </c>
      <c r="Z93" t="inlineStr">
        <is>
          <t>1995-02-24</t>
        </is>
      </c>
      <c r="AA93" t="n">
        <v>1151</v>
      </c>
      <c r="AB93" t="n">
        <v>1089</v>
      </c>
      <c r="AC93" t="n">
        <v>1098</v>
      </c>
      <c r="AD93" t="n">
        <v>9</v>
      </c>
      <c r="AE93" t="n">
        <v>9</v>
      </c>
      <c r="AF93" t="n">
        <v>37</v>
      </c>
      <c r="AG93" t="n">
        <v>37</v>
      </c>
      <c r="AH93" t="n">
        <v>13</v>
      </c>
      <c r="AI93" t="n">
        <v>13</v>
      </c>
      <c r="AJ93" t="n">
        <v>4</v>
      </c>
      <c r="AK93" t="n">
        <v>4</v>
      </c>
      <c r="AL93" t="n">
        <v>18</v>
      </c>
      <c r="AM93" t="n">
        <v>18</v>
      </c>
      <c r="AN93" t="n">
        <v>6</v>
      </c>
      <c r="AO93" t="n">
        <v>6</v>
      </c>
      <c r="AP93" t="n">
        <v>0</v>
      </c>
      <c r="AQ93" t="n">
        <v>0</v>
      </c>
      <c r="AR93" t="inlineStr">
        <is>
          <t>No</t>
        </is>
      </c>
      <c r="AS93" t="inlineStr">
        <is>
          <t>No</t>
        </is>
      </c>
      <c r="AU93">
        <f>HYPERLINK("https://creighton-primo.hosted.exlibrisgroup.com/primo-explore/search?tab=default_tab&amp;search_scope=EVERYTHING&amp;vid=01CRU&amp;lang=en_US&amp;offset=0&amp;query=any,contains,991002646159702656","Catalog Record")</f>
        <v/>
      </c>
      <c r="AV93">
        <f>HYPERLINK("http://www.worldcat.org/oclc/385861","WorldCat Record")</f>
        <v/>
      </c>
      <c r="AW93" t="inlineStr">
        <is>
          <t>3943887576:eng</t>
        </is>
      </c>
      <c r="AX93" t="inlineStr">
        <is>
          <t>385861</t>
        </is>
      </c>
      <c r="AY93" t="inlineStr">
        <is>
          <t>991002646159702656</t>
        </is>
      </c>
      <c r="AZ93" t="inlineStr">
        <is>
          <t>991002646159702656</t>
        </is>
      </c>
      <c r="BA93" t="inlineStr">
        <is>
          <t>2259134760002656</t>
        </is>
      </c>
      <c r="BB93" t="inlineStr">
        <is>
          <t>BOOK</t>
        </is>
      </c>
      <c r="BE93" t="inlineStr">
        <is>
          <t>32285002010030</t>
        </is>
      </c>
      <c r="BF93" t="inlineStr">
        <is>
          <t>893867502</t>
        </is>
      </c>
    </row>
    <row r="94">
      <c r="B94" t="inlineStr">
        <is>
          <t>CURAL</t>
        </is>
      </c>
      <c r="C94" t="inlineStr">
        <is>
          <t>SHELVES</t>
        </is>
      </c>
      <c r="D94" t="inlineStr">
        <is>
          <t>CB351 .T3 1938</t>
        </is>
      </c>
      <c r="E94" t="inlineStr">
        <is>
          <t>0                      CB 0351000T  3           1938</t>
        </is>
      </c>
      <c r="F94" t="inlineStr">
        <is>
          <t>The mediaeval mind; a history of the development of thought and emotion in the middle ages, by Henry Osborn Taylor.</t>
        </is>
      </c>
      <c r="G94" t="inlineStr">
        <is>
          <t>V.2</t>
        </is>
      </c>
      <c r="H94" t="inlineStr">
        <is>
          <t>Yes</t>
        </is>
      </c>
      <c r="I94" t="inlineStr">
        <is>
          <t>1</t>
        </is>
      </c>
      <c r="J94" t="inlineStr">
        <is>
          <t>No</t>
        </is>
      </c>
      <c r="K94" t="inlineStr">
        <is>
          <t>No</t>
        </is>
      </c>
      <c r="L94" t="inlineStr">
        <is>
          <t>0</t>
        </is>
      </c>
      <c r="M94" t="inlineStr">
        <is>
          <t>Taylor, Henry Osborn, 1856-1941.</t>
        </is>
      </c>
      <c r="N94" t="inlineStr">
        <is>
          <t>London, Macmillan, 1938.</t>
        </is>
      </c>
      <c r="O94" t="inlineStr">
        <is>
          <t>1938</t>
        </is>
      </c>
      <c r="P94" t="inlineStr">
        <is>
          <t>4th ed.</t>
        </is>
      </c>
      <c r="Q94" t="inlineStr">
        <is>
          <t>eng</t>
        </is>
      </c>
      <c r="R94" t="inlineStr">
        <is>
          <t>enk</t>
        </is>
      </c>
      <c r="T94" t="inlineStr">
        <is>
          <t xml:space="preserve">CB </t>
        </is>
      </c>
      <c r="U94" t="n">
        <v>3</v>
      </c>
      <c r="V94" t="n">
        <v>3</v>
      </c>
      <c r="W94" t="inlineStr">
        <is>
          <t>1995-04-18</t>
        </is>
      </c>
      <c r="X94" t="inlineStr">
        <is>
          <t>1995-04-18</t>
        </is>
      </c>
      <c r="Y94" t="inlineStr">
        <is>
          <t>1992-06-02</t>
        </is>
      </c>
      <c r="Z94" t="inlineStr">
        <is>
          <t>1992-06-02</t>
        </is>
      </c>
      <c r="AA94" t="n">
        <v>145</v>
      </c>
      <c r="AB94" t="n">
        <v>132</v>
      </c>
      <c r="AC94" t="n">
        <v>1522</v>
      </c>
      <c r="AD94" t="n">
        <v>3</v>
      </c>
      <c r="AE94" t="n">
        <v>14</v>
      </c>
      <c r="AF94" t="n">
        <v>10</v>
      </c>
      <c r="AG94" t="n">
        <v>61</v>
      </c>
      <c r="AH94" t="n">
        <v>4</v>
      </c>
      <c r="AI94" t="n">
        <v>26</v>
      </c>
      <c r="AJ94" t="n">
        <v>2</v>
      </c>
      <c r="AK94" t="n">
        <v>11</v>
      </c>
      <c r="AL94" t="n">
        <v>4</v>
      </c>
      <c r="AM94" t="n">
        <v>27</v>
      </c>
      <c r="AN94" t="n">
        <v>2</v>
      </c>
      <c r="AO94" t="n">
        <v>10</v>
      </c>
      <c r="AP94" t="n">
        <v>0</v>
      </c>
      <c r="AQ94" t="n">
        <v>1</v>
      </c>
      <c r="AR94" t="inlineStr">
        <is>
          <t>No</t>
        </is>
      </c>
      <c r="AS94" t="inlineStr">
        <is>
          <t>Yes</t>
        </is>
      </c>
      <c r="AT94">
        <f>HYPERLINK("http://catalog.hathitrust.org/Record/009805277","HathiTrust Record")</f>
        <v/>
      </c>
      <c r="AU94">
        <f>HYPERLINK("https://creighton-primo.hosted.exlibrisgroup.com/primo-explore/search?tab=default_tab&amp;search_scope=EVERYTHING&amp;vid=01CRU&amp;lang=en_US&amp;offset=0&amp;query=any,contains,991003955849702656","Catalog Record")</f>
        <v/>
      </c>
      <c r="AV94">
        <f>HYPERLINK("http://www.worldcat.org/oclc/1965948","WorldCat Record")</f>
        <v/>
      </c>
      <c r="AW94" t="inlineStr">
        <is>
          <t>10278569320:eng</t>
        </is>
      </c>
      <c r="AX94" t="inlineStr">
        <is>
          <t>1965948</t>
        </is>
      </c>
      <c r="AY94" t="inlineStr">
        <is>
          <t>991003955849702656</t>
        </is>
      </c>
      <c r="AZ94" t="inlineStr">
        <is>
          <t>991003955849702656</t>
        </is>
      </c>
      <c r="BA94" t="inlineStr">
        <is>
          <t>2270028430002656</t>
        </is>
      </c>
      <c r="BB94" t="inlineStr">
        <is>
          <t>BOOK</t>
        </is>
      </c>
      <c r="BE94" t="inlineStr">
        <is>
          <t>32285001143485</t>
        </is>
      </c>
      <c r="BF94" t="inlineStr">
        <is>
          <t>893788113</t>
        </is>
      </c>
    </row>
    <row r="95">
      <c r="B95" t="inlineStr">
        <is>
          <t>CURAL</t>
        </is>
      </c>
      <c r="C95" t="inlineStr">
        <is>
          <t>SHELVES</t>
        </is>
      </c>
      <c r="D95" t="inlineStr">
        <is>
          <t>CB351 .T3 1938</t>
        </is>
      </c>
      <c r="E95" t="inlineStr">
        <is>
          <t>0                      CB 0351000T  3           1938</t>
        </is>
      </c>
      <c r="F95" t="inlineStr">
        <is>
          <t>The mediaeval mind; a history of the development of thought and emotion in the middle ages, by Henry Osborn Taylor.</t>
        </is>
      </c>
      <c r="G95" t="inlineStr">
        <is>
          <t>V.1</t>
        </is>
      </c>
      <c r="H95" t="inlineStr">
        <is>
          <t>Yes</t>
        </is>
      </c>
      <c r="I95" t="inlineStr">
        <is>
          <t>1</t>
        </is>
      </c>
      <c r="J95" t="inlineStr">
        <is>
          <t>No</t>
        </is>
      </c>
      <c r="K95" t="inlineStr">
        <is>
          <t>No</t>
        </is>
      </c>
      <c r="L95" t="inlineStr">
        <is>
          <t>0</t>
        </is>
      </c>
      <c r="M95" t="inlineStr">
        <is>
          <t>Taylor, Henry Osborn, 1856-1941.</t>
        </is>
      </c>
      <c r="N95" t="inlineStr">
        <is>
          <t>London, Macmillan, 1938.</t>
        </is>
      </c>
      <c r="O95" t="inlineStr">
        <is>
          <t>1938</t>
        </is>
      </c>
      <c r="P95" t="inlineStr">
        <is>
          <t>4th ed.</t>
        </is>
      </c>
      <c r="Q95" t="inlineStr">
        <is>
          <t>eng</t>
        </is>
      </c>
      <c r="R95" t="inlineStr">
        <is>
          <t>enk</t>
        </is>
      </c>
      <c r="T95" t="inlineStr">
        <is>
          <t xml:space="preserve">CB </t>
        </is>
      </c>
      <c r="U95" t="n">
        <v>0</v>
      </c>
      <c r="V95" t="n">
        <v>3</v>
      </c>
      <c r="X95" t="inlineStr">
        <is>
          <t>1995-04-18</t>
        </is>
      </c>
      <c r="Y95" t="inlineStr">
        <is>
          <t>1991-12-16</t>
        </is>
      </c>
      <c r="Z95" t="inlineStr">
        <is>
          <t>1992-06-02</t>
        </is>
      </c>
      <c r="AA95" t="n">
        <v>145</v>
      </c>
      <c r="AB95" t="n">
        <v>132</v>
      </c>
      <c r="AC95" t="n">
        <v>1522</v>
      </c>
      <c r="AD95" t="n">
        <v>3</v>
      </c>
      <c r="AE95" t="n">
        <v>14</v>
      </c>
      <c r="AF95" t="n">
        <v>10</v>
      </c>
      <c r="AG95" t="n">
        <v>61</v>
      </c>
      <c r="AH95" t="n">
        <v>4</v>
      </c>
      <c r="AI95" t="n">
        <v>26</v>
      </c>
      <c r="AJ95" t="n">
        <v>2</v>
      </c>
      <c r="AK95" t="n">
        <v>11</v>
      </c>
      <c r="AL95" t="n">
        <v>4</v>
      </c>
      <c r="AM95" t="n">
        <v>27</v>
      </c>
      <c r="AN95" t="n">
        <v>2</v>
      </c>
      <c r="AO95" t="n">
        <v>10</v>
      </c>
      <c r="AP95" t="n">
        <v>0</v>
      </c>
      <c r="AQ95" t="n">
        <v>1</v>
      </c>
      <c r="AR95" t="inlineStr">
        <is>
          <t>No</t>
        </is>
      </c>
      <c r="AS95" t="inlineStr">
        <is>
          <t>Yes</t>
        </is>
      </c>
      <c r="AT95">
        <f>HYPERLINK("http://catalog.hathitrust.org/Record/009805277","HathiTrust Record")</f>
        <v/>
      </c>
      <c r="AU95">
        <f>HYPERLINK("https://creighton-primo.hosted.exlibrisgroup.com/primo-explore/search?tab=default_tab&amp;search_scope=EVERYTHING&amp;vid=01CRU&amp;lang=en_US&amp;offset=0&amp;query=any,contains,991003955849702656","Catalog Record")</f>
        <v/>
      </c>
      <c r="AV95">
        <f>HYPERLINK("http://www.worldcat.org/oclc/1965948","WorldCat Record")</f>
        <v/>
      </c>
      <c r="AW95" t="inlineStr">
        <is>
          <t>10278569320:eng</t>
        </is>
      </c>
      <c r="AX95" t="inlineStr">
        <is>
          <t>1965948</t>
        </is>
      </c>
      <c r="AY95" t="inlineStr">
        <is>
          <t>991003955849702656</t>
        </is>
      </c>
      <c r="AZ95" t="inlineStr">
        <is>
          <t>991003955849702656</t>
        </is>
      </c>
      <c r="BA95" t="inlineStr">
        <is>
          <t>2270028430002656</t>
        </is>
      </c>
      <c r="BB95" t="inlineStr">
        <is>
          <t>BOOK</t>
        </is>
      </c>
      <c r="BE95" t="inlineStr">
        <is>
          <t>32285000906072</t>
        </is>
      </c>
      <c r="BF95" t="inlineStr">
        <is>
          <t>893800407</t>
        </is>
      </c>
    </row>
    <row r="96">
      <c r="B96" t="inlineStr">
        <is>
          <t>CURAL</t>
        </is>
      </c>
      <c r="C96" t="inlineStr">
        <is>
          <t>SHELVES</t>
        </is>
      </c>
      <c r="D96" t="inlineStr">
        <is>
          <t>CB351 .W3</t>
        </is>
      </c>
      <c r="E96" t="inlineStr">
        <is>
          <t>0                      CB 0351000W  3</t>
        </is>
      </c>
      <c r="F96" t="inlineStr">
        <is>
          <t>High points of medieval culture / [by] James J. Walsh.</t>
        </is>
      </c>
      <c r="H96" t="inlineStr">
        <is>
          <t>No</t>
        </is>
      </c>
      <c r="I96" t="inlineStr">
        <is>
          <t>1</t>
        </is>
      </c>
      <c r="J96" t="inlineStr">
        <is>
          <t>No</t>
        </is>
      </c>
      <c r="K96" t="inlineStr">
        <is>
          <t>No</t>
        </is>
      </c>
      <c r="L96" t="inlineStr">
        <is>
          <t>0</t>
        </is>
      </c>
      <c r="M96" t="inlineStr">
        <is>
          <t>Walsh, James J. (James Joseph), 1865-1942.</t>
        </is>
      </c>
      <c r="N96" t="inlineStr">
        <is>
          <t>Milwaukee : The Bruce publishing company, [c1937]</t>
        </is>
      </c>
      <c r="O96" t="inlineStr">
        <is>
          <t>1937</t>
        </is>
      </c>
      <c r="Q96" t="inlineStr">
        <is>
          <t>eng</t>
        </is>
      </c>
      <c r="R96" t="inlineStr">
        <is>
          <t xml:space="preserve">xx </t>
        </is>
      </c>
      <c r="S96" t="inlineStr">
        <is>
          <t>Science and culture series; Joseph Husslein ... general editor</t>
        </is>
      </c>
      <c r="T96" t="inlineStr">
        <is>
          <t xml:space="preserve">CB </t>
        </is>
      </c>
      <c r="U96" t="n">
        <v>1</v>
      </c>
      <c r="V96" t="n">
        <v>1</v>
      </c>
      <c r="W96" t="inlineStr">
        <is>
          <t>1996-10-29</t>
        </is>
      </c>
      <c r="X96" t="inlineStr">
        <is>
          <t>1996-10-29</t>
        </is>
      </c>
      <c r="Y96" t="inlineStr">
        <is>
          <t>1995-04-26</t>
        </is>
      </c>
      <c r="Z96" t="inlineStr">
        <is>
          <t>1995-04-26</t>
        </is>
      </c>
      <c r="AA96" t="n">
        <v>253</v>
      </c>
      <c r="AB96" t="n">
        <v>233</v>
      </c>
      <c r="AC96" t="n">
        <v>540</v>
      </c>
      <c r="AD96" t="n">
        <v>2</v>
      </c>
      <c r="AE96" t="n">
        <v>3</v>
      </c>
      <c r="AF96" t="n">
        <v>29</v>
      </c>
      <c r="AG96" t="n">
        <v>38</v>
      </c>
      <c r="AH96" t="n">
        <v>8</v>
      </c>
      <c r="AI96" t="n">
        <v>15</v>
      </c>
      <c r="AJ96" t="n">
        <v>7</v>
      </c>
      <c r="AK96" t="n">
        <v>7</v>
      </c>
      <c r="AL96" t="n">
        <v>22</v>
      </c>
      <c r="AM96" t="n">
        <v>24</v>
      </c>
      <c r="AN96" t="n">
        <v>1</v>
      </c>
      <c r="AO96" t="n">
        <v>2</v>
      </c>
      <c r="AP96" t="n">
        <v>0</v>
      </c>
      <c r="AQ96" t="n">
        <v>0</v>
      </c>
      <c r="AR96" t="inlineStr">
        <is>
          <t>Yes</t>
        </is>
      </c>
      <c r="AS96" t="inlineStr">
        <is>
          <t>No</t>
        </is>
      </c>
      <c r="AT96">
        <f>HYPERLINK("http://catalog.hathitrust.org/Record/001595447","HathiTrust Record")</f>
        <v/>
      </c>
      <c r="AU96">
        <f>HYPERLINK("https://creighton-primo.hosted.exlibrisgroup.com/primo-explore/search?tab=default_tab&amp;search_scope=EVERYTHING&amp;vid=01CRU&amp;lang=en_US&amp;offset=0&amp;query=any,contains,991002262329702656","Catalog Record")</f>
        <v/>
      </c>
      <c r="AV96">
        <f>HYPERLINK("http://www.worldcat.org/oclc/304974","WorldCat Record")</f>
        <v/>
      </c>
      <c r="AW96" t="inlineStr">
        <is>
          <t>375559572:eng</t>
        </is>
      </c>
      <c r="AX96" t="inlineStr">
        <is>
          <t>304974</t>
        </is>
      </c>
      <c r="AY96" t="inlineStr">
        <is>
          <t>991002262329702656</t>
        </is>
      </c>
      <c r="AZ96" t="inlineStr">
        <is>
          <t>991002262329702656</t>
        </is>
      </c>
      <c r="BA96" t="inlineStr">
        <is>
          <t>2271277410002656</t>
        </is>
      </c>
      <c r="BB96" t="inlineStr">
        <is>
          <t>BOOK</t>
        </is>
      </c>
      <c r="BE96" t="inlineStr">
        <is>
          <t>32285002029584</t>
        </is>
      </c>
      <c r="BF96" t="inlineStr">
        <is>
          <t>893529753</t>
        </is>
      </c>
    </row>
    <row r="97">
      <c r="B97" t="inlineStr">
        <is>
          <t>CURAL</t>
        </is>
      </c>
      <c r="C97" t="inlineStr">
        <is>
          <t>SHELVES</t>
        </is>
      </c>
      <c r="D97" t="inlineStr">
        <is>
          <t>CB353 .D55 1976</t>
        </is>
      </c>
      <c r="E97" t="inlineStr">
        <is>
          <t>0                      CB 0353000D  55          1976</t>
        </is>
      </c>
      <c r="F97" t="inlineStr">
        <is>
          <t>Barbarian Europe / by Philip Dixon.</t>
        </is>
      </c>
      <c r="H97" t="inlineStr">
        <is>
          <t>No</t>
        </is>
      </c>
      <c r="I97" t="inlineStr">
        <is>
          <t>1</t>
        </is>
      </c>
      <c r="J97" t="inlineStr">
        <is>
          <t>No</t>
        </is>
      </c>
      <c r="K97" t="inlineStr">
        <is>
          <t>No</t>
        </is>
      </c>
      <c r="L97" t="inlineStr">
        <is>
          <t>0</t>
        </is>
      </c>
      <c r="M97" t="inlineStr">
        <is>
          <t>Dixon, Philip Willis.</t>
        </is>
      </c>
      <c r="N97" t="inlineStr">
        <is>
          <t>[Oxford] : Elsevier Phaidon, c1976.</t>
        </is>
      </c>
      <c r="O97" t="inlineStr">
        <is>
          <t>1976</t>
        </is>
      </c>
      <c r="Q97" t="inlineStr">
        <is>
          <t>eng</t>
        </is>
      </c>
      <c r="R97" t="inlineStr">
        <is>
          <t>enk</t>
        </is>
      </c>
      <c r="S97" t="inlineStr">
        <is>
          <t>The Making of the past</t>
        </is>
      </c>
      <c r="T97" t="inlineStr">
        <is>
          <t xml:space="preserve">CB </t>
        </is>
      </c>
      <c r="U97" t="n">
        <v>4</v>
      </c>
      <c r="V97" t="n">
        <v>4</v>
      </c>
      <c r="W97" t="inlineStr">
        <is>
          <t>1995-04-18</t>
        </is>
      </c>
      <c r="X97" t="inlineStr">
        <is>
          <t>1995-04-18</t>
        </is>
      </c>
      <c r="Y97" t="inlineStr">
        <is>
          <t>1992-06-02</t>
        </is>
      </c>
      <c r="Z97" t="inlineStr">
        <is>
          <t>1992-06-02</t>
        </is>
      </c>
      <c r="AA97" t="n">
        <v>1009</v>
      </c>
      <c r="AB97" t="n">
        <v>824</v>
      </c>
      <c r="AC97" t="n">
        <v>830</v>
      </c>
      <c r="AD97" t="n">
        <v>3</v>
      </c>
      <c r="AE97" t="n">
        <v>3</v>
      </c>
      <c r="AF97" t="n">
        <v>19</v>
      </c>
      <c r="AG97" t="n">
        <v>19</v>
      </c>
      <c r="AH97" t="n">
        <v>8</v>
      </c>
      <c r="AI97" t="n">
        <v>8</v>
      </c>
      <c r="AJ97" t="n">
        <v>4</v>
      </c>
      <c r="AK97" t="n">
        <v>4</v>
      </c>
      <c r="AL97" t="n">
        <v>10</v>
      </c>
      <c r="AM97" t="n">
        <v>10</v>
      </c>
      <c r="AN97" t="n">
        <v>2</v>
      </c>
      <c r="AO97" t="n">
        <v>2</v>
      </c>
      <c r="AP97" t="n">
        <v>0</v>
      </c>
      <c r="AQ97" t="n">
        <v>0</v>
      </c>
      <c r="AR97" t="inlineStr">
        <is>
          <t>No</t>
        </is>
      </c>
      <c r="AS97" t="inlineStr">
        <is>
          <t>Yes</t>
        </is>
      </c>
      <c r="AT97">
        <f>HYPERLINK("http://catalog.hathitrust.org/Record/002906320","HathiTrust Record")</f>
        <v/>
      </c>
      <c r="AU97">
        <f>HYPERLINK("https://creighton-primo.hosted.exlibrisgroup.com/primo-explore/search?tab=default_tab&amp;search_scope=EVERYTHING&amp;vid=01CRU&amp;lang=en_US&amp;offset=0&amp;query=any,contains,991004172229702656","Catalog Record")</f>
        <v/>
      </c>
      <c r="AV97">
        <f>HYPERLINK("http://www.worldcat.org/oclc/2584759","WorldCat Record")</f>
        <v/>
      </c>
      <c r="AW97" t="inlineStr">
        <is>
          <t>3943708532:eng</t>
        </is>
      </c>
      <c r="AX97" t="inlineStr">
        <is>
          <t>2584759</t>
        </is>
      </c>
      <c r="AY97" t="inlineStr">
        <is>
          <t>991004172229702656</t>
        </is>
      </c>
      <c r="AZ97" t="inlineStr">
        <is>
          <t>991004172229702656</t>
        </is>
      </c>
      <c r="BA97" t="inlineStr">
        <is>
          <t>2263655220002656</t>
        </is>
      </c>
      <c r="BB97" t="inlineStr">
        <is>
          <t>BOOK</t>
        </is>
      </c>
      <c r="BD97" t="inlineStr">
        <is>
          <t>9780729000116</t>
        </is>
      </c>
      <c r="BE97" t="inlineStr">
        <is>
          <t>32285001143493</t>
        </is>
      </c>
      <c r="BF97" t="inlineStr">
        <is>
          <t>893263126</t>
        </is>
      </c>
    </row>
    <row r="98">
      <c r="B98" t="inlineStr">
        <is>
          <t>CURAL</t>
        </is>
      </c>
      <c r="C98" t="inlineStr">
        <is>
          <t>SHELVES</t>
        </is>
      </c>
      <c r="D98" t="inlineStr">
        <is>
          <t>CB353 .D8318 1994</t>
        </is>
      </c>
      <c r="E98" t="inlineStr">
        <is>
          <t>0                      CB 0353000D  8318        1994</t>
        </is>
      </c>
      <c r="F98" t="inlineStr">
        <is>
          <t>La vida cotidiana de los árabes en la Europa medieval / Charles-Emmanuel Dufourcq ; [traducción: Santiago Jordán].</t>
        </is>
      </c>
      <c r="H98" t="inlineStr">
        <is>
          <t>No</t>
        </is>
      </c>
      <c r="I98" t="inlineStr">
        <is>
          <t>1</t>
        </is>
      </c>
      <c r="J98" t="inlineStr">
        <is>
          <t>No</t>
        </is>
      </c>
      <c r="K98" t="inlineStr">
        <is>
          <t>No</t>
        </is>
      </c>
      <c r="L98" t="inlineStr">
        <is>
          <t>0</t>
        </is>
      </c>
      <c r="M98" t="inlineStr">
        <is>
          <t>Dufourcq, Charles-Emmanuel, 1914-1982.</t>
        </is>
      </c>
      <c r="N98" t="inlineStr">
        <is>
          <t>Madrid : Ediciones Temas de Hoy, c1994.</t>
        </is>
      </c>
      <c r="O98" t="inlineStr">
        <is>
          <t>1994</t>
        </is>
      </c>
      <c r="P98" t="inlineStr">
        <is>
          <t>1a ed.</t>
        </is>
      </c>
      <c r="Q98" t="inlineStr">
        <is>
          <t>spa</t>
        </is>
      </c>
      <c r="R98" t="inlineStr">
        <is>
          <t xml:space="preserve">sp </t>
        </is>
      </c>
      <c r="S98" t="inlineStr">
        <is>
          <t>BolsiTEMAS ; 22</t>
        </is>
      </c>
      <c r="T98" t="inlineStr">
        <is>
          <t xml:space="preserve">CB </t>
        </is>
      </c>
      <c r="U98" t="n">
        <v>1</v>
      </c>
      <c r="V98" t="n">
        <v>1</v>
      </c>
      <c r="W98" t="inlineStr">
        <is>
          <t>2004-08-09</t>
        </is>
      </c>
      <c r="X98" t="inlineStr">
        <is>
          <t>2004-08-09</t>
        </is>
      </c>
      <c r="Y98" t="inlineStr">
        <is>
          <t>2004-08-09</t>
        </is>
      </c>
      <c r="Z98" t="inlineStr">
        <is>
          <t>2004-08-09</t>
        </is>
      </c>
      <c r="AA98" t="n">
        <v>6</v>
      </c>
      <c r="AB98" t="n">
        <v>4</v>
      </c>
      <c r="AC98" t="n">
        <v>11</v>
      </c>
      <c r="AD98" t="n">
        <v>0</v>
      </c>
      <c r="AE98" t="n">
        <v>0</v>
      </c>
      <c r="AF98" t="n">
        <v>0</v>
      </c>
      <c r="AG98" t="n">
        <v>0</v>
      </c>
      <c r="AH98" t="n">
        <v>0</v>
      </c>
      <c r="AI98" t="n">
        <v>0</v>
      </c>
      <c r="AJ98" t="n">
        <v>0</v>
      </c>
      <c r="AK98" t="n">
        <v>0</v>
      </c>
      <c r="AL98" t="n">
        <v>0</v>
      </c>
      <c r="AM98" t="n">
        <v>0</v>
      </c>
      <c r="AN98" t="n">
        <v>0</v>
      </c>
      <c r="AO98" t="n">
        <v>0</v>
      </c>
      <c r="AP98" t="n">
        <v>0</v>
      </c>
      <c r="AQ98" t="n">
        <v>0</v>
      </c>
      <c r="AR98" t="inlineStr">
        <is>
          <t>No</t>
        </is>
      </c>
      <c r="AS98" t="inlineStr">
        <is>
          <t>Yes</t>
        </is>
      </c>
      <c r="AT98">
        <f>HYPERLINK("http://catalog.hathitrust.org/Record/006162480","HathiTrust Record")</f>
        <v/>
      </c>
      <c r="AU98">
        <f>HYPERLINK("https://creighton-primo.hosted.exlibrisgroup.com/primo-explore/search?tab=default_tab&amp;search_scope=EVERYTHING&amp;vid=01CRU&amp;lang=en_US&amp;offset=0&amp;query=any,contains,991004342289702656","Catalog Record")</f>
        <v/>
      </c>
      <c r="AV98">
        <f>HYPERLINK("http://www.worldcat.org/oclc/32140935","WorldCat Record")</f>
        <v/>
      </c>
      <c r="AW98" t="inlineStr">
        <is>
          <t>27036162:spa</t>
        </is>
      </c>
      <c r="AX98" t="inlineStr">
        <is>
          <t>32140935</t>
        </is>
      </c>
      <c r="AY98" t="inlineStr">
        <is>
          <t>991004342289702656</t>
        </is>
      </c>
      <c r="AZ98" t="inlineStr">
        <is>
          <t>991004342289702656</t>
        </is>
      </c>
      <c r="BA98" t="inlineStr">
        <is>
          <t>2260103460002656</t>
        </is>
      </c>
      <c r="BB98" t="inlineStr">
        <is>
          <t>BOOK</t>
        </is>
      </c>
      <c r="BD98" t="inlineStr">
        <is>
          <t>9788478803491</t>
        </is>
      </c>
      <c r="BE98" t="inlineStr">
        <is>
          <t>32285004980073</t>
        </is>
      </c>
      <c r="BF98" t="inlineStr">
        <is>
          <t>893319093</t>
        </is>
      </c>
    </row>
    <row r="99">
      <c r="B99" t="inlineStr">
        <is>
          <t>CURAL</t>
        </is>
      </c>
      <c r="C99" t="inlineStr">
        <is>
          <t>SHELVES</t>
        </is>
      </c>
      <c r="D99" t="inlineStr">
        <is>
          <t>CB353 .V4713 2000</t>
        </is>
      </c>
      <c r="E99" t="inlineStr">
        <is>
          <t>0                      CB 0353000V  4713        2000</t>
        </is>
      </c>
      <c r="F99" t="inlineStr">
        <is>
          <t>Men of learning in Europe at the end of the Middle Ages / Jacques Verger ; translated by Lisa Neal and Steven Rendall.</t>
        </is>
      </c>
      <c r="H99" t="inlineStr">
        <is>
          <t>No</t>
        </is>
      </c>
      <c r="I99" t="inlineStr">
        <is>
          <t>1</t>
        </is>
      </c>
      <c r="J99" t="inlineStr">
        <is>
          <t>No</t>
        </is>
      </c>
      <c r="K99" t="inlineStr">
        <is>
          <t>No</t>
        </is>
      </c>
      <c r="L99" t="inlineStr">
        <is>
          <t>0</t>
        </is>
      </c>
      <c r="M99" t="inlineStr">
        <is>
          <t>Verger, Jacques.</t>
        </is>
      </c>
      <c r="N99" t="inlineStr">
        <is>
          <t>Notre Dame, Ind. : University of Notre Dame Press, 2000.</t>
        </is>
      </c>
      <c r="O99" t="inlineStr">
        <is>
          <t>2000</t>
        </is>
      </c>
      <c r="P99" t="inlineStr">
        <is>
          <t>English language ed.</t>
        </is>
      </c>
      <c r="Q99" t="inlineStr">
        <is>
          <t>eng</t>
        </is>
      </c>
      <c r="R99" t="inlineStr">
        <is>
          <t>inu</t>
        </is>
      </c>
      <c r="T99" t="inlineStr">
        <is>
          <t xml:space="preserve">CB </t>
        </is>
      </c>
      <c r="U99" t="n">
        <v>3</v>
      </c>
      <c r="V99" t="n">
        <v>3</v>
      </c>
      <c r="W99" t="inlineStr">
        <is>
          <t>2005-04-23</t>
        </is>
      </c>
      <c r="X99" t="inlineStr">
        <is>
          <t>2005-04-23</t>
        </is>
      </c>
      <c r="Y99" t="inlineStr">
        <is>
          <t>2000-11-06</t>
        </is>
      </c>
      <c r="Z99" t="inlineStr">
        <is>
          <t>2000-11-06</t>
        </is>
      </c>
      <c r="AA99" t="n">
        <v>272</v>
      </c>
      <c r="AB99" t="n">
        <v>228</v>
      </c>
      <c r="AC99" t="n">
        <v>236</v>
      </c>
      <c r="AD99" t="n">
        <v>4</v>
      </c>
      <c r="AE99" t="n">
        <v>4</v>
      </c>
      <c r="AF99" t="n">
        <v>13</v>
      </c>
      <c r="AG99" t="n">
        <v>13</v>
      </c>
      <c r="AH99" t="n">
        <v>2</v>
      </c>
      <c r="AI99" t="n">
        <v>2</v>
      </c>
      <c r="AJ99" t="n">
        <v>4</v>
      </c>
      <c r="AK99" t="n">
        <v>4</v>
      </c>
      <c r="AL99" t="n">
        <v>8</v>
      </c>
      <c r="AM99" t="n">
        <v>8</v>
      </c>
      <c r="AN99" t="n">
        <v>3</v>
      </c>
      <c r="AO99" t="n">
        <v>3</v>
      </c>
      <c r="AP99" t="n">
        <v>0</v>
      </c>
      <c r="AQ99" t="n">
        <v>0</v>
      </c>
      <c r="AR99" t="inlineStr">
        <is>
          <t>No</t>
        </is>
      </c>
      <c r="AS99" t="inlineStr">
        <is>
          <t>Yes</t>
        </is>
      </c>
      <c r="AT99">
        <f>HYPERLINK("http://catalog.hathitrust.org/Record/004098889","HathiTrust Record")</f>
        <v/>
      </c>
      <c r="AU99">
        <f>HYPERLINK("https://creighton-primo.hosted.exlibrisgroup.com/primo-explore/search?tab=default_tab&amp;search_scope=EVERYTHING&amp;vid=01CRU&amp;lang=en_US&amp;offset=0&amp;query=any,contains,991003309509702656","Catalog Record")</f>
        <v/>
      </c>
      <c r="AV99">
        <f>HYPERLINK("http://www.worldcat.org/oclc/43684525","WorldCat Record")</f>
        <v/>
      </c>
      <c r="AW99" t="inlineStr">
        <is>
          <t>44417564:eng</t>
        </is>
      </c>
      <c r="AX99" t="inlineStr">
        <is>
          <t>43684525</t>
        </is>
      </c>
      <c r="AY99" t="inlineStr">
        <is>
          <t>991003309509702656</t>
        </is>
      </c>
      <c r="AZ99" t="inlineStr">
        <is>
          <t>991003309509702656</t>
        </is>
      </c>
      <c r="BA99" t="inlineStr">
        <is>
          <t>2269949320002656</t>
        </is>
      </c>
      <c r="BB99" t="inlineStr">
        <is>
          <t>BOOK</t>
        </is>
      </c>
      <c r="BD99" t="inlineStr">
        <is>
          <t>9780268034511</t>
        </is>
      </c>
      <c r="BE99" t="inlineStr">
        <is>
          <t>32285004263090</t>
        </is>
      </c>
      <c r="BF99" t="inlineStr">
        <is>
          <t>893592404</t>
        </is>
      </c>
    </row>
    <row r="100">
      <c r="B100" t="inlineStr">
        <is>
          <t>CURAL</t>
        </is>
      </c>
      <c r="C100" t="inlineStr">
        <is>
          <t>SHELVES</t>
        </is>
      </c>
      <c r="D100" t="inlineStr">
        <is>
          <t>CB353 .W45 2006</t>
        </is>
      </c>
      <c r="E100" t="inlineStr">
        <is>
          <t>0                      CB 0353000W  45          2006</t>
        </is>
      </c>
      <c r="F100" t="inlineStr">
        <is>
          <t>Sailing from Byzantium : how a lost Empire shaped the world / Colin Wells.</t>
        </is>
      </c>
      <c r="H100" t="inlineStr">
        <is>
          <t>No</t>
        </is>
      </c>
      <c r="I100" t="inlineStr">
        <is>
          <t>1</t>
        </is>
      </c>
      <c r="J100" t="inlineStr">
        <is>
          <t>No</t>
        </is>
      </c>
      <c r="K100" t="inlineStr">
        <is>
          <t>No</t>
        </is>
      </c>
      <c r="L100" t="inlineStr">
        <is>
          <t>0</t>
        </is>
      </c>
      <c r="M100" t="inlineStr">
        <is>
          <t>Wells, Colin, 1960-</t>
        </is>
      </c>
      <c r="N100" t="inlineStr">
        <is>
          <t>New York : Delacorte Press, 2006.</t>
        </is>
      </c>
      <c r="O100" t="inlineStr">
        <is>
          <t>2006</t>
        </is>
      </c>
      <c r="Q100" t="inlineStr">
        <is>
          <t>eng</t>
        </is>
      </c>
      <c r="R100" t="inlineStr">
        <is>
          <t>nyu</t>
        </is>
      </c>
      <c r="T100" t="inlineStr">
        <is>
          <t xml:space="preserve">CB </t>
        </is>
      </c>
      <c r="U100" t="n">
        <v>2</v>
      </c>
      <c r="V100" t="n">
        <v>2</v>
      </c>
      <c r="W100" t="inlineStr">
        <is>
          <t>2006-09-11</t>
        </is>
      </c>
      <c r="X100" t="inlineStr">
        <is>
          <t>2006-09-11</t>
        </is>
      </c>
      <c r="Y100" t="inlineStr">
        <is>
          <t>2006-08-01</t>
        </is>
      </c>
      <c r="Z100" t="inlineStr">
        <is>
          <t>2006-08-01</t>
        </is>
      </c>
      <c r="AA100" t="n">
        <v>997</v>
      </c>
      <c r="AB100" t="n">
        <v>922</v>
      </c>
      <c r="AC100" t="n">
        <v>1018</v>
      </c>
      <c r="AD100" t="n">
        <v>5</v>
      </c>
      <c r="AE100" t="n">
        <v>5</v>
      </c>
      <c r="AF100" t="n">
        <v>19</v>
      </c>
      <c r="AG100" t="n">
        <v>21</v>
      </c>
      <c r="AH100" t="n">
        <v>4</v>
      </c>
      <c r="AI100" t="n">
        <v>5</v>
      </c>
      <c r="AJ100" t="n">
        <v>7</v>
      </c>
      <c r="AK100" t="n">
        <v>8</v>
      </c>
      <c r="AL100" t="n">
        <v>10</v>
      </c>
      <c r="AM100" t="n">
        <v>10</v>
      </c>
      <c r="AN100" t="n">
        <v>3</v>
      </c>
      <c r="AO100" t="n">
        <v>3</v>
      </c>
      <c r="AP100" t="n">
        <v>0</v>
      </c>
      <c r="AQ100" t="n">
        <v>0</v>
      </c>
      <c r="AR100" t="inlineStr">
        <is>
          <t>No</t>
        </is>
      </c>
      <c r="AS100" t="inlineStr">
        <is>
          <t>Yes</t>
        </is>
      </c>
      <c r="AT100">
        <f>HYPERLINK("http://catalog.hathitrust.org/Record/005262847","HathiTrust Record")</f>
        <v/>
      </c>
      <c r="AU100">
        <f>HYPERLINK("https://creighton-primo.hosted.exlibrisgroup.com/primo-explore/search?tab=default_tab&amp;search_scope=EVERYTHING&amp;vid=01CRU&amp;lang=en_US&amp;offset=0&amp;query=any,contains,991004840019702656","Catalog Record")</f>
        <v/>
      </c>
      <c r="AV100">
        <f>HYPERLINK("http://www.worldcat.org/oclc/64098585","WorldCat Record")</f>
        <v/>
      </c>
      <c r="AW100" t="inlineStr">
        <is>
          <t>48103213:eng</t>
        </is>
      </c>
      <c r="AX100" t="inlineStr">
        <is>
          <t>64098585</t>
        </is>
      </c>
      <c r="AY100" t="inlineStr">
        <is>
          <t>991004840019702656</t>
        </is>
      </c>
      <c r="AZ100" t="inlineStr">
        <is>
          <t>991004840019702656</t>
        </is>
      </c>
      <c r="BA100" t="inlineStr">
        <is>
          <t>2272315810002656</t>
        </is>
      </c>
      <c r="BB100" t="inlineStr">
        <is>
          <t>BOOK</t>
        </is>
      </c>
      <c r="BD100" t="inlineStr">
        <is>
          <t>9780553803815</t>
        </is>
      </c>
      <c r="BE100" t="inlineStr">
        <is>
          <t>32285005199293</t>
        </is>
      </c>
      <c r="BF100" t="inlineStr">
        <is>
          <t>893344323</t>
        </is>
      </c>
    </row>
    <row r="101">
      <c r="B101" t="inlineStr">
        <is>
          <t>CURAL</t>
        </is>
      </c>
      <c r="C101" t="inlineStr">
        <is>
          <t>SHELVES</t>
        </is>
      </c>
      <c r="D101" t="inlineStr">
        <is>
          <t>CB353 .W48 1966</t>
        </is>
      </c>
      <c r="E101" t="inlineStr">
        <is>
          <t>0                      CB 0353000W  48          1966</t>
        </is>
      </c>
      <c r="F101" t="inlineStr">
        <is>
          <t>Medieval technology and social change / Lynn White, Jr.</t>
        </is>
      </c>
      <c r="H101" t="inlineStr">
        <is>
          <t>No</t>
        </is>
      </c>
      <c r="I101" t="inlineStr">
        <is>
          <t>1</t>
        </is>
      </c>
      <c r="J101" t="inlineStr">
        <is>
          <t>No</t>
        </is>
      </c>
      <c r="K101" t="inlineStr">
        <is>
          <t>Yes</t>
        </is>
      </c>
      <c r="L101" t="inlineStr">
        <is>
          <t>0</t>
        </is>
      </c>
      <c r="M101" t="inlineStr">
        <is>
          <t>White, Lynn, Jr., 1907-1987.</t>
        </is>
      </c>
      <c r="N101" t="inlineStr">
        <is>
          <t>New York : Oxford University Press, 1966, c1962.</t>
        </is>
      </c>
      <c r="O101" t="inlineStr">
        <is>
          <t>1966</t>
        </is>
      </c>
      <c r="Q101" t="inlineStr">
        <is>
          <t>eng</t>
        </is>
      </c>
      <c r="R101" t="inlineStr">
        <is>
          <t>nyu</t>
        </is>
      </c>
      <c r="T101" t="inlineStr">
        <is>
          <t xml:space="preserve">CB </t>
        </is>
      </c>
      <c r="U101" t="n">
        <v>7</v>
      </c>
      <c r="V101" t="n">
        <v>7</v>
      </c>
      <c r="W101" t="inlineStr">
        <is>
          <t>2005-09-10</t>
        </is>
      </c>
      <c r="X101" t="inlineStr">
        <is>
          <t>2005-09-10</t>
        </is>
      </c>
      <c r="Y101" t="inlineStr">
        <is>
          <t>1992-06-29</t>
        </is>
      </c>
      <c r="Z101" t="inlineStr">
        <is>
          <t>1992-06-29</t>
        </is>
      </c>
      <c r="AA101" t="n">
        <v>87</v>
      </c>
      <c r="AB101" t="n">
        <v>69</v>
      </c>
      <c r="AC101" t="n">
        <v>1524</v>
      </c>
      <c r="AD101" t="n">
        <v>1</v>
      </c>
      <c r="AE101" t="n">
        <v>10</v>
      </c>
      <c r="AF101" t="n">
        <v>2</v>
      </c>
      <c r="AG101" t="n">
        <v>55</v>
      </c>
      <c r="AH101" t="n">
        <v>1</v>
      </c>
      <c r="AI101" t="n">
        <v>23</v>
      </c>
      <c r="AJ101" t="n">
        <v>0</v>
      </c>
      <c r="AK101" t="n">
        <v>11</v>
      </c>
      <c r="AL101" t="n">
        <v>2</v>
      </c>
      <c r="AM101" t="n">
        <v>26</v>
      </c>
      <c r="AN101" t="n">
        <v>0</v>
      </c>
      <c r="AO101" t="n">
        <v>9</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HYPERLINK("https://creighton-primo.hosted.exlibrisgroup.com/primo-explore/search?tab=default_tab&amp;search_scope=EVERYTHING&amp;vid=01CRU&amp;lang=en_US&amp;offset=0&amp;query=any,contains,991005223609702656","Catalog Record")</f>
        <v/>
      </c>
      <c r="AV101">
        <f>HYPERLINK("http://www.worldcat.org/oclc/8257371","WorldCat Record")</f>
        <v/>
      </c>
      <c r="AW101" t="inlineStr">
        <is>
          <t>141069456:eng</t>
        </is>
      </c>
      <c r="AX101" t="inlineStr">
        <is>
          <t>8257371</t>
        </is>
      </c>
      <c r="AY101" t="inlineStr">
        <is>
          <t>991005223609702656</t>
        </is>
      </c>
      <c r="AZ101" t="inlineStr">
        <is>
          <t>991005223609702656</t>
        </is>
      </c>
      <c r="BA101" t="inlineStr">
        <is>
          <t>2263451030002656</t>
        </is>
      </c>
      <c r="BB101" t="inlineStr">
        <is>
          <t>BOOK</t>
        </is>
      </c>
      <c r="BE101" t="inlineStr">
        <is>
          <t>32285001146074</t>
        </is>
      </c>
      <c r="BF101" t="inlineStr">
        <is>
          <t>893607033</t>
        </is>
      </c>
    </row>
    <row r="102">
      <c r="B102" t="inlineStr">
        <is>
          <t>CURAL</t>
        </is>
      </c>
      <c r="C102" t="inlineStr">
        <is>
          <t>SHELVES</t>
        </is>
      </c>
      <c r="D102" t="inlineStr">
        <is>
          <t>CB353 .W5</t>
        </is>
      </c>
      <c r="E102" t="inlineStr">
        <is>
          <t>0                      CB 0353000W  5</t>
        </is>
      </c>
      <c r="F102" t="inlineStr">
        <is>
          <t>Medieval technology and social change.</t>
        </is>
      </c>
      <c r="H102" t="inlineStr">
        <is>
          <t>No</t>
        </is>
      </c>
      <c r="I102" t="inlineStr">
        <is>
          <t>1</t>
        </is>
      </c>
      <c r="J102" t="inlineStr">
        <is>
          <t>No</t>
        </is>
      </c>
      <c r="K102" t="inlineStr">
        <is>
          <t>Yes</t>
        </is>
      </c>
      <c r="L102" t="inlineStr">
        <is>
          <t>0</t>
        </is>
      </c>
      <c r="M102" t="inlineStr">
        <is>
          <t>White, Lynn, Jr., 1907-1987.</t>
        </is>
      </c>
      <c r="N102" t="inlineStr">
        <is>
          <t>Oxford, Clarendon Press, 1962.</t>
        </is>
      </c>
      <c r="O102" t="inlineStr">
        <is>
          <t>1962</t>
        </is>
      </c>
      <c r="Q102" t="inlineStr">
        <is>
          <t>eng</t>
        </is>
      </c>
      <c r="R102" t="inlineStr">
        <is>
          <t>enk</t>
        </is>
      </c>
      <c r="T102" t="inlineStr">
        <is>
          <t xml:space="preserve">CB </t>
        </is>
      </c>
      <c r="U102" t="n">
        <v>13</v>
      </c>
      <c r="V102" t="n">
        <v>13</v>
      </c>
      <c r="W102" t="inlineStr">
        <is>
          <t>2000-09-04</t>
        </is>
      </c>
      <c r="X102" t="inlineStr">
        <is>
          <t>2000-09-04</t>
        </is>
      </c>
      <c r="Y102" t="inlineStr">
        <is>
          <t>1996-08-19</t>
        </is>
      </c>
      <c r="Z102" t="inlineStr">
        <is>
          <t>1996-08-19</t>
        </is>
      </c>
      <c r="AA102" t="n">
        <v>1174</v>
      </c>
      <c r="AB102" t="n">
        <v>974</v>
      </c>
      <c r="AC102" t="n">
        <v>1524</v>
      </c>
      <c r="AD102" t="n">
        <v>6</v>
      </c>
      <c r="AE102" t="n">
        <v>10</v>
      </c>
      <c r="AF102" t="n">
        <v>34</v>
      </c>
      <c r="AG102" t="n">
        <v>55</v>
      </c>
      <c r="AH102" t="n">
        <v>12</v>
      </c>
      <c r="AI102" t="n">
        <v>23</v>
      </c>
      <c r="AJ102" t="n">
        <v>8</v>
      </c>
      <c r="AK102" t="n">
        <v>11</v>
      </c>
      <c r="AL102" t="n">
        <v>19</v>
      </c>
      <c r="AM102" t="n">
        <v>26</v>
      </c>
      <c r="AN102" t="n">
        <v>5</v>
      </c>
      <c r="AO102" t="n">
        <v>9</v>
      </c>
      <c r="AP102" t="n">
        <v>0</v>
      </c>
      <c r="AQ102" t="n">
        <v>0</v>
      </c>
      <c r="AR102" t="inlineStr">
        <is>
          <t>No</t>
        </is>
      </c>
      <c r="AS102" t="inlineStr">
        <is>
          <t>Yes</t>
        </is>
      </c>
      <c r="AT102">
        <f>HYPERLINK("http://catalog.hathitrust.org/Record/001595488","HathiTrust Record")</f>
        <v/>
      </c>
      <c r="AU102">
        <f>HYPERLINK("https://creighton-primo.hosted.exlibrisgroup.com/primo-explore/search?tab=default_tab&amp;search_scope=EVERYTHING&amp;vid=01CRU&amp;lang=en_US&amp;offset=0&amp;query=any,contains,991002658219702656","Catalog Record")</f>
        <v/>
      </c>
      <c r="AV102">
        <f>HYPERLINK("http://www.worldcat.org/oclc/390344","WorldCat Record")</f>
        <v/>
      </c>
      <c r="AW102" t="inlineStr">
        <is>
          <t>141069456:eng</t>
        </is>
      </c>
      <c r="AX102" t="inlineStr">
        <is>
          <t>390344</t>
        </is>
      </c>
      <c r="AY102" t="inlineStr">
        <is>
          <t>991002658219702656</t>
        </is>
      </c>
      <c r="AZ102" t="inlineStr">
        <is>
          <t>991002658219702656</t>
        </is>
      </c>
      <c r="BA102" t="inlineStr">
        <is>
          <t>2262025670002656</t>
        </is>
      </c>
      <c r="BB102" t="inlineStr">
        <is>
          <t>BOOK</t>
        </is>
      </c>
      <c r="BE102" t="inlineStr">
        <is>
          <t>32285002275625</t>
        </is>
      </c>
      <c r="BF102" t="inlineStr">
        <is>
          <t>893710526</t>
        </is>
      </c>
    </row>
    <row r="103">
      <c r="B103" t="inlineStr">
        <is>
          <t>CURAL</t>
        </is>
      </c>
      <c r="C103" t="inlineStr">
        <is>
          <t>SHELVES</t>
        </is>
      </c>
      <c r="D103" t="inlineStr">
        <is>
          <t>CB353 .W65 1966</t>
        </is>
      </c>
      <c r="E103" t="inlineStr">
        <is>
          <t>0                      CB 0353000W  65          1966</t>
        </is>
      </c>
      <c r="F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H103" t="inlineStr">
        <is>
          <t>No</t>
        </is>
      </c>
      <c r="I103" t="inlineStr">
        <is>
          <t>1</t>
        </is>
      </c>
      <c r="J103" t="inlineStr">
        <is>
          <t>No</t>
        </is>
      </c>
      <c r="K103" t="inlineStr">
        <is>
          <t>No</t>
        </is>
      </c>
      <c r="L103" t="inlineStr">
        <is>
          <t>0</t>
        </is>
      </c>
      <c r="M103" t="inlineStr">
        <is>
          <t>University of Wisconsin. Division of Humanities.</t>
        </is>
      </c>
      <c r="N103" t="inlineStr">
        <is>
          <t>Madison : University of Wisconsin Press, 1966, c1961.</t>
        </is>
      </c>
      <c r="O103" t="inlineStr">
        <is>
          <t>1966</t>
        </is>
      </c>
      <c r="Q103" t="inlineStr">
        <is>
          <t>eng</t>
        </is>
      </c>
      <c r="R103" t="inlineStr">
        <is>
          <t>wiu</t>
        </is>
      </c>
      <c r="T103" t="inlineStr">
        <is>
          <t xml:space="preserve">CB </t>
        </is>
      </c>
      <c r="U103" t="n">
        <v>7</v>
      </c>
      <c r="V103" t="n">
        <v>7</v>
      </c>
      <c r="W103" t="inlineStr">
        <is>
          <t>2007-04-10</t>
        </is>
      </c>
      <c r="X103" t="inlineStr">
        <is>
          <t>2007-04-10</t>
        </is>
      </c>
      <c r="Y103" t="inlineStr">
        <is>
          <t>1990-06-28</t>
        </is>
      </c>
      <c r="Z103" t="inlineStr">
        <is>
          <t>1990-06-28</t>
        </is>
      </c>
      <c r="AA103" t="n">
        <v>675</v>
      </c>
      <c r="AB103" t="n">
        <v>612</v>
      </c>
      <c r="AC103" t="n">
        <v>622</v>
      </c>
      <c r="AD103" t="n">
        <v>6</v>
      </c>
      <c r="AE103" t="n">
        <v>6</v>
      </c>
      <c r="AF103" t="n">
        <v>34</v>
      </c>
      <c r="AG103" t="n">
        <v>34</v>
      </c>
      <c r="AH103" t="n">
        <v>8</v>
      </c>
      <c r="AI103" t="n">
        <v>8</v>
      </c>
      <c r="AJ103" t="n">
        <v>7</v>
      </c>
      <c r="AK103" t="n">
        <v>7</v>
      </c>
      <c r="AL103" t="n">
        <v>21</v>
      </c>
      <c r="AM103" t="n">
        <v>21</v>
      </c>
      <c r="AN103" t="n">
        <v>5</v>
      </c>
      <c r="AO103" t="n">
        <v>5</v>
      </c>
      <c r="AP103" t="n">
        <v>0</v>
      </c>
      <c r="AQ103" t="n">
        <v>0</v>
      </c>
      <c r="AR103" t="inlineStr">
        <is>
          <t>No</t>
        </is>
      </c>
      <c r="AS103" t="inlineStr">
        <is>
          <t>No</t>
        </is>
      </c>
      <c r="AT103">
        <f>HYPERLINK("http://catalog.hathitrust.org/Record/001595490","HathiTrust Record")</f>
        <v/>
      </c>
      <c r="AU103">
        <f>HYPERLINK("https://creighton-primo.hosted.exlibrisgroup.com/primo-explore/search?tab=default_tab&amp;search_scope=EVERYTHING&amp;vid=01CRU&amp;lang=en_US&amp;offset=0&amp;query=any,contains,991002658259702656","Catalog Record")</f>
        <v/>
      </c>
      <c r="AV103">
        <f>HYPERLINK("http://www.worldcat.org/oclc/390345","WorldCat Record")</f>
        <v/>
      </c>
      <c r="AW103" t="inlineStr">
        <is>
          <t>5609882566:eng</t>
        </is>
      </c>
      <c r="AX103" t="inlineStr">
        <is>
          <t>390345</t>
        </is>
      </c>
      <c r="AY103" t="inlineStr">
        <is>
          <t>991002658259702656</t>
        </is>
      </c>
      <c r="AZ103" t="inlineStr">
        <is>
          <t>991002658259702656</t>
        </is>
      </c>
      <c r="BA103" t="inlineStr">
        <is>
          <t>2262025400002656</t>
        </is>
      </c>
      <c r="BB103" t="inlineStr">
        <is>
          <t>BOOK</t>
        </is>
      </c>
      <c r="BE103" t="inlineStr">
        <is>
          <t>32285000151786</t>
        </is>
      </c>
      <c r="BF103" t="inlineStr">
        <is>
          <t>893517565</t>
        </is>
      </c>
    </row>
    <row r="104">
      <c r="B104" t="inlineStr">
        <is>
          <t>CURAL</t>
        </is>
      </c>
      <c r="C104" t="inlineStr">
        <is>
          <t>SHELVES</t>
        </is>
      </c>
      <c r="D104" t="inlineStr">
        <is>
          <t>CB354.6 .B7 1970</t>
        </is>
      </c>
      <c r="E104" t="inlineStr">
        <is>
          <t>0                      CB 0354600B  7           1970</t>
        </is>
      </c>
      <c r="F104" t="inlineStr">
        <is>
          <t>The twelfth century renaissance / [by] Christopher Brooke.</t>
        </is>
      </c>
      <c r="H104" t="inlineStr">
        <is>
          <t>No</t>
        </is>
      </c>
      <c r="I104" t="inlineStr">
        <is>
          <t>1</t>
        </is>
      </c>
      <c r="J104" t="inlineStr">
        <is>
          <t>No</t>
        </is>
      </c>
      <c r="K104" t="inlineStr">
        <is>
          <t>No</t>
        </is>
      </c>
      <c r="L104" t="inlineStr">
        <is>
          <t>0</t>
        </is>
      </c>
      <c r="M104" t="inlineStr">
        <is>
          <t>Brooke, Christopher, 1927-2015.</t>
        </is>
      </c>
      <c r="N104" t="inlineStr">
        <is>
          <t>New York] : Harcourt, Brace &amp; World, [1970, c1969]</t>
        </is>
      </c>
      <c r="O104" t="inlineStr">
        <is>
          <t>1970</t>
        </is>
      </c>
      <c r="P104" t="inlineStr">
        <is>
          <t>[1st American ed.</t>
        </is>
      </c>
      <c r="Q104" t="inlineStr">
        <is>
          <t>eng</t>
        </is>
      </c>
      <c r="R104" t="inlineStr">
        <is>
          <t>nyu</t>
        </is>
      </c>
      <c r="S104" t="inlineStr">
        <is>
          <t>History of European civilization library</t>
        </is>
      </c>
      <c r="T104" t="inlineStr">
        <is>
          <t xml:space="preserve">CB </t>
        </is>
      </c>
      <c r="U104" t="n">
        <v>11</v>
      </c>
      <c r="V104" t="n">
        <v>11</v>
      </c>
      <c r="W104" t="inlineStr">
        <is>
          <t>2003-03-05</t>
        </is>
      </c>
      <c r="X104" t="inlineStr">
        <is>
          <t>2003-03-05</t>
        </is>
      </c>
      <c r="Y104" t="inlineStr">
        <is>
          <t>1991-09-23</t>
        </is>
      </c>
      <c r="Z104" t="inlineStr">
        <is>
          <t>1991-09-23</t>
        </is>
      </c>
      <c r="AA104" t="n">
        <v>735</v>
      </c>
      <c r="AB104" t="n">
        <v>700</v>
      </c>
      <c r="AC104" t="n">
        <v>797</v>
      </c>
      <c r="AD104" t="n">
        <v>9</v>
      </c>
      <c r="AE104" t="n">
        <v>9</v>
      </c>
      <c r="AF104" t="n">
        <v>30</v>
      </c>
      <c r="AG104" t="n">
        <v>37</v>
      </c>
      <c r="AH104" t="n">
        <v>9</v>
      </c>
      <c r="AI104" t="n">
        <v>11</v>
      </c>
      <c r="AJ104" t="n">
        <v>4</v>
      </c>
      <c r="AK104" t="n">
        <v>6</v>
      </c>
      <c r="AL104" t="n">
        <v>14</v>
      </c>
      <c r="AM104" t="n">
        <v>20</v>
      </c>
      <c r="AN104" t="n">
        <v>7</v>
      </c>
      <c r="AO104" t="n">
        <v>7</v>
      </c>
      <c r="AP104" t="n">
        <v>0</v>
      </c>
      <c r="AQ104" t="n">
        <v>0</v>
      </c>
      <c r="AR104" t="inlineStr">
        <is>
          <t>No</t>
        </is>
      </c>
      <c r="AS104" t="inlineStr">
        <is>
          <t>Yes</t>
        </is>
      </c>
      <c r="AT104">
        <f>HYPERLINK("http://catalog.hathitrust.org/Record/001962292","HathiTrust Record")</f>
        <v/>
      </c>
      <c r="AU104">
        <f>HYPERLINK("https://creighton-primo.hosted.exlibrisgroup.com/primo-explore/search?tab=default_tab&amp;search_scope=EVERYTHING&amp;vid=01CRU&amp;lang=en_US&amp;offset=0&amp;query=any,contains,991005352959702656","Catalog Record")</f>
        <v/>
      </c>
      <c r="AV104">
        <f>HYPERLINK("http://www.worldcat.org/oclc/67084","WorldCat Record")</f>
        <v/>
      </c>
      <c r="AW104" t="inlineStr">
        <is>
          <t>1233310:eng</t>
        </is>
      </c>
      <c r="AX104" t="inlineStr">
        <is>
          <t>67084</t>
        </is>
      </c>
      <c r="AY104" t="inlineStr">
        <is>
          <t>991005352959702656</t>
        </is>
      </c>
      <c r="AZ104" t="inlineStr">
        <is>
          <t>991005352959702656</t>
        </is>
      </c>
      <c r="BA104" t="inlineStr">
        <is>
          <t>2256319100002656</t>
        </is>
      </c>
      <c r="BB104" t="inlineStr">
        <is>
          <t>BOOK</t>
        </is>
      </c>
      <c r="BE104" t="inlineStr">
        <is>
          <t>32285000760412</t>
        </is>
      </c>
      <c r="BF104" t="inlineStr">
        <is>
          <t>893338947</t>
        </is>
      </c>
    </row>
    <row r="105">
      <c r="B105" t="inlineStr">
        <is>
          <t>CURAL</t>
        </is>
      </c>
      <c r="C105" t="inlineStr">
        <is>
          <t>SHELVES</t>
        </is>
      </c>
      <c r="D105" t="inlineStr">
        <is>
          <t>CB354.6 .H6</t>
        </is>
      </c>
      <c r="E105" t="inlineStr">
        <is>
          <t>0                      CB 0354600H  6</t>
        </is>
      </c>
      <c r="F105" t="inlineStr">
        <is>
          <t>The twelfth-century renaissance. Edited by C. Warren Hollister.</t>
        </is>
      </c>
      <c r="H105" t="inlineStr">
        <is>
          <t>No</t>
        </is>
      </c>
      <c r="I105" t="inlineStr">
        <is>
          <t>1</t>
        </is>
      </c>
      <c r="J105" t="inlineStr">
        <is>
          <t>No</t>
        </is>
      </c>
      <c r="K105" t="inlineStr">
        <is>
          <t>No</t>
        </is>
      </c>
      <c r="L105" t="inlineStr">
        <is>
          <t>0</t>
        </is>
      </c>
      <c r="M105" t="inlineStr">
        <is>
          <t>Hollister, C. Warren (Charles Warren), 1930-1997 compiler.</t>
        </is>
      </c>
      <c r="N105" t="inlineStr">
        <is>
          <t>New York, Wiley [c1969]</t>
        </is>
      </c>
      <c r="O105" t="inlineStr">
        <is>
          <t>1969</t>
        </is>
      </c>
      <c r="Q105" t="inlineStr">
        <is>
          <t>eng</t>
        </is>
      </c>
      <c r="R105" t="inlineStr">
        <is>
          <t>nyu</t>
        </is>
      </c>
      <c r="S105" t="inlineStr">
        <is>
          <t>Major issues in history</t>
        </is>
      </c>
      <c r="T105" t="inlineStr">
        <is>
          <t xml:space="preserve">CB </t>
        </is>
      </c>
      <c r="U105" t="n">
        <v>21</v>
      </c>
      <c r="V105" t="n">
        <v>21</v>
      </c>
      <c r="W105" t="inlineStr">
        <is>
          <t>2003-09-26</t>
        </is>
      </c>
      <c r="X105" t="inlineStr">
        <is>
          <t>2003-09-26</t>
        </is>
      </c>
      <c r="Y105" t="inlineStr">
        <is>
          <t>1996-08-19</t>
        </is>
      </c>
      <c r="Z105" t="inlineStr">
        <is>
          <t>1996-08-19</t>
        </is>
      </c>
      <c r="AA105" t="n">
        <v>562</v>
      </c>
      <c r="AB105" t="n">
        <v>458</v>
      </c>
      <c r="AC105" t="n">
        <v>461</v>
      </c>
      <c r="AD105" t="n">
        <v>2</v>
      </c>
      <c r="AE105" t="n">
        <v>2</v>
      </c>
      <c r="AF105" t="n">
        <v>24</v>
      </c>
      <c r="AG105" t="n">
        <v>24</v>
      </c>
      <c r="AH105" t="n">
        <v>6</v>
      </c>
      <c r="AI105" t="n">
        <v>6</v>
      </c>
      <c r="AJ105" t="n">
        <v>6</v>
      </c>
      <c r="AK105" t="n">
        <v>6</v>
      </c>
      <c r="AL105" t="n">
        <v>17</v>
      </c>
      <c r="AM105" t="n">
        <v>17</v>
      </c>
      <c r="AN105" t="n">
        <v>1</v>
      </c>
      <c r="AO105" t="n">
        <v>1</v>
      </c>
      <c r="AP105" t="n">
        <v>0</v>
      </c>
      <c r="AQ105" t="n">
        <v>0</v>
      </c>
      <c r="AR105" t="inlineStr">
        <is>
          <t>No</t>
        </is>
      </c>
      <c r="AS105" t="inlineStr">
        <is>
          <t>Yes</t>
        </is>
      </c>
      <c r="AT105">
        <f>HYPERLINK("http://catalog.hathitrust.org/Record/001595492","HathiTrust Record")</f>
        <v/>
      </c>
      <c r="AU105">
        <f>HYPERLINK("https://creighton-primo.hosted.exlibrisgroup.com/primo-explore/search?tab=default_tab&amp;search_scope=EVERYTHING&amp;vid=01CRU&amp;lang=en_US&amp;offset=0&amp;query=any,contains,991005353969702656","Catalog Record")</f>
        <v/>
      </c>
      <c r="AV105">
        <f>HYPERLINK("http://www.worldcat.org/oclc/243723","WorldCat Record")</f>
        <v/>
      </c>
      <c r="AW105" t="inlineStr">
        <is>
          <t>1393663:eng</t>
        </is>
      </c>
      <c r="AX105" t="inlineStr">
        <is>
          <t>243723</t>
        </is>
      </c>
      <c r="AY105" t="inlineStr">
        <is>
          <t>991005353969702656</t>
        </is>
      </c>
      <c r="AZ105" t="inlineStr">
        <is>
          <t>991005353969702656</t>
        </is>
      </c>
      <c r="BA105" t="inlineStr">
        <is>
          <t>2268928310002656</t>
        </is>
      </c>
      <c r="BB105" t="inlineStr">
        <is>
          <t>BOOK</t>
        </is>
      </c>
      <c r="BD105" t="inlineStr">
        <is>
          <t>9780471406938</t>
        </is>
      </c>
      <c r="BE105" t="inlineStr">
        <is>
          <t>32285002275633</t>
        </is>
      </c>
      <c r="BF105" t="inlineStr">
        <is>
          <t>893508024</t>
        </is>
      </c>
    </row>
    <row r="106">
      <c r="B106" t="inlineStr">
        <is>
          <t>CURAL</t>
        </is>
      </c>
      <c r="C106" t="inlineStr">
        <is>
          <t>SHELVES</t>
        </is>
      </c>
      <c r="D106" t="inlineStr">
        <is>
          <t>CB354.6 .P32</t>
        </is>
      </c>
      <c r="E106" t="inlineStr">
        <is>
          <t>0                      CB 0354600P  32</t>
        </is>
      </c>
      <c r="F106" t="inlineStr">
        <is>
          <t>12th century Europe; an interpretive essay, by Sidney R. Packard.</t>
        </is>
      </c>
      <c r="H106" t="inlineStr">
        <is>
          <t>No</t>
        </is>
      </c>
      <c r="I106" t="inlineStr">
        <is>
          <t>1</t>
        </is>
      </c>
      <c r="J106" t="inlineStr">
        <is>
          <t>No</t>
        </is>
      </c>
      <c r="K106" t="inlineStr">
        <is>
          <t>No</t>
        </is>
      </c>
      <c r="L106" t="inlineStr">
        <is>
          <t>0</t>
        </is>
      </c>
      <c r="M106" t="inlineStr">
        <is>
          <t>Packard, Sidney R. (Sidney Raymond), 1893-1980.</t>
        </is>
      </c>
      <c r="N106" t="inlineStr">
        <is>
          <t>Amherst, University of Massachusetts Press, 1973.</t>
        </is>
      </c>
      <c r="O106" t="inlineStr">
        <is>
          <t>1973</t>
        </is>
      </c>
      <c r="Q106" t="inlineStr">
        <is>
          <t>eng</t>
        </is>
      </c>
      <c r="R106" t="inlineStr">
        <is>
          <t>mau</t>
        </is>
      </c>
      <c r="T106" t="inlineStr">
        <is>
          <t xml:space="preserve">CB </t>
        </is>
      </c>
      <c r="U106" t="n">
        <v>1</v>
      </c>
      <c r="V106" t="n">
        <v>1</v>
      </c>
      <c r="W106" t="inlineStr">
        <is>
          <t>2007-08-03</t>
        </is>
      </c>
      <c r="X106" t="inlineStr">
        <is>
          <t>2007-08-03</t>
        </is>
      </c>
      <c r="Y106" t="inlineStr">
        <is>
          <t>1996-08-19</t>
        </is>
      </c>
      <c r="Z106" t="inlineStr">
        <is>
          <t>1996-08-19</t>
        </is>
      </c>
      <c r="AA106" t="n">
        <v>659</v>
      </c>
      <c r="AB106" t="n">
        <v>567</v>
      </c>
      <c r="AC106" t="n">
        <v>569</v>
      </c>
      <c r="AD106" t="n">
        <v>5</v>
      </c>
      <c r="AE106" t="n">
        <v>5</v>
      </c>
      <c r="AF106" t="n">
        <v>33</v>
      </c>
      <c r="AG106" t="n">
        <v>33</v>
      </c>
      <c r="AH106" t="n">
        <v>12</v>
      </c>
      <c r="AI106" t="n">
        <v>12</v>
      </c>
      <c r="AJ106" t="n">
        <v>6</v>
      </c>
      <c r="AK106" t="n">
        <v>6</v>
      </c>
      <c r="AL106" t="n">
        <v>18</v>
      </c>
      <c r="AM106" t="n">
        <v>18</v>
      </c>
      <c r="AN106" t="n">
        <v>4</v>
      </c>
      <c r="AO106" t="n">
        <v>4</v>
      </c>
      <c r="AP106" t="n">
        <v>0</v>
      </c>
      <c r="AQ106" t="n">
        <v>0</v>
      </c>
      <c r="AR106" t="inlineStr">
        <is>
          <t>No</t>
        </is>
      </c>
      <c r="AS106" t="inlineStr">
        <is>
          <t>Yes</t>
        </is>
      </c>
      <c r="AT106">
        <f>HYPERLINK("http://catalog.hathitrust.org/Record/001595493","HathiTrust Record")</f>
        <v/>
      </c>
      <c r="AU106">
        <f>HYPERLINK("https://creighton-primo.hosted.exlibrisgroup.com/primo-explore/search?tab=default_tab&amp;search_scope=EVERYTHING&amp;vid=01CRU&amp;lang=en_US&amp;offset=0&amp;query=any,contains,991003239219702656","Catalog Record")</f>
        <v/>
      </c>
      <c r="AV106">
        <f>HYPERLINK("http://www.worldcat.org/oclc/762706","WorldCat Record")</f>
        <v/>
      </c>
      <c r="AW106" t="inlineStr">
        <is>
          <t>365652494:eng</t>
        </is>
      </c>
      <c r="AX106" t="inlineStr">
        <is>
          <t>762706</t>
        </is>
      </c>
      <c r="AY106" t="inlineStr">
        <is>
          <t>991003239219702656</t>
        </is>
      </c>
      <c r="AZ106" t="inlineStr">
        <is>
          <t>991003239219702656</t>
        </is>
      </c>
      <c r="BA106" t="inlineStr">
        <is>
          <t>2265296320002656</t>
        </is>
      </c>
      <c r="BB106" t="inlineStr">
        <is>
          <t>BOOK</t>
        </is>
      </c>
      <c r="BE106" t="inlineStr">
        <is>
          <t>32285002275641</t>
        </is>
      </c>
      <c r="BF106" t="inlineStr">
        <is>
          <t>893422331</t>
        </is>
      </c>
    </row>
    <row r="107">
      <c r="B107" t="inlineStr">
        <is>
          <t>CURAL</t>
        </is>
      </c>
      <c r="C107" t="inlineStr">
        <is>
          <t>SHELVES</t>
        </is>
      </c>
      <c r="D107" t="inlineStr">
        <is>
          <t>CB354.6 .R87 1978</t>
        </is>
      </c>
      <c r="E107" t="inlineStr">
        <is>
          <t>0                      CB 0354600R  87          1978</t>
        </is>
      </c>
      <c r="F107" t="inlineStr">
        <is>
          <t>Twelfth century studies / Josiah Cox Russell.</t>
        </is>
      </c>
      <c r="H107" t="inlineStr">
        <is>
          <t>No</t>
        </is>
      </c>
      <c r="I107" t="inlineStr">
        <is>
          <t>1</t>
        </is>
      </c>
      <c r="J107" t="inlineStr">
        <is>
          <t>No</t>
        </is>
      </c>
      <c r="K107" t="inlineStr">
        <is>
          <t>No</t>
        </is>
      </c>
      <c r="L107" t="inlineStr">
        <is>
          <t>0</t>
        </is>
      </c>
      <c r="M107" t="inlineStr">
        <is>
          <t>Russell, Josiah Cox, 1900-1996.</t>
        </is>
      </c>
      <c r="N107" t="inlineStr">
        <is>
          <t>New York : AMS Press, c1978.</t>
        </is>
      </c>
      <c r="O107" t="inlineStr">
        <is>
          <t>1978</t>
        </is>
      </c>
      <c r="P107" t="inlineStr">
        <is>
          <t>1st AMS ed.</t>
        </is>
      </c>
      <c r="Q107" t="inlineStr">
        <is>
          <t>eng</t>
        </is>
      </c>
      <c r="R107" t="inlineStr">
        <is>
          <t>nyu</t>
        </is>
      </c>
      <c r="T107" t="inlineStr">
        <is>
          <t xml:space="preserve">CB </t>
        </is>
      </c>
      <c r="U107" t="n">
        <v>1</v>
      </c>
      <c r="V107" t="n">
        <v>1</v>
      </c>
      <c r="W107" t="inlineStr">
        <is>
          <t>1996-10-29</t>
        </is>
      </c>
      <c r="X107" t="inlineStr">
        <is>
          <t>1996-10-29</t>
        </is>
      </c>
      <c r="Y107" t="inlineStr">
        <is>
          <t>1992-06-02</t>
        </is>
      </c>
      <c r="Z107" t="inlineStr">
        <is>
          <t>1992-06-02</t>
        </is>
      </c>
      <c r="AA107" t="n">
        <v>464</v>
      </c>
      <c r="AB107" t="n">
        <v>371</v>
      </c>
      <c r="AC107" t="n">
        <v>378</v>
      </c>
      <c r="AD107" t="n">
        <v>3</v>
      </c>
      <c r="AE107" t="n">
        <v>3</v>
      </c>
      <c r="AF107" t="n">
        <v>18</v>
      </c>
      <c r="AG107" t="n">
        <v>18</v>
      </c>
      <c r="AH107" t="n">
        <v>3</v>
      </c>
      <c r="AI107" t="n">
        <v>3</v>
      </c>
      <c r="AJ107" t="n">
        <v>5</v>
      </c>
      <c r="AK107" t="n">
        <v>5</v>
      </c>
      <c r="AL107" t="n">
        <v>13</v>
      </c>
      <c r="AM107" t="n">
        <v>13</v>
      </c>
      <c r="AN107" t="n">
        <v>2</v>
      </c>
      <c r="AO107" t="n">
        <v>2</v>
      </c>
      <c r="AP107" t="n">
        <v>0</v>
      </c>
      <c r="AQ107" t="n">
        <v>0</v>
      </c>
      <c r="AR107" t="inlineStr">
        <is>
          <t>No</t>
        </is>
      </c>
      <c r="AS107" t="inlineStr">
        <is>
          <t>Yes</t>
        </is>
      </c>
      <c r="AT107">
        <f>HYPERLINK("http://catalog.hathitrust.org/Record/000145930","HathiTrust Record")</f>
        <v/>
      </c>
      <c r="AU107">
        <f>HYPERLINK("https://creighton-primo.hosted.exlibrisgroup.com/primo-explore/search?tab=default_tab&amp;search_scope=EVERYTHING&amp;vid=01CRU&amp;lang=en_US&amp;offset=0&amp;query=any,contains,991004458419702656","Catalog Record")</f>
        <v/>
      </c>
      <c r="AV107">
        <f>HYPERLINK("http://www.worldcat.org/oclc/3540547","WorldCat Record")</f>
        <v/>
      </c>
      <c r="AW107" t="inlineStr">
        <is>
          <t>475486:eng</t>
        </is>
      </c>
      <c r="AX107" t="inlineStr">
        <is>
          <t>3540547</t>
        </is>
      </c>
      <c r="AY107" t="inlineStr">
        <is>
          <t>991004458419702656</t>
        </is>
      </c>
      <c r="AZ107" t="inlineStr">
        <is>
          <t>991004458419702656</t>
        </is>
      </c>
      <c r="BA107" t="inlineStr">
        <is>
          <t>2265815130002656</t>
        </is>
      </c>
      <c r="BB107" t="inlineStr">
        <is>
          <t>BOOK</t>
        </is>
      </c>
      <c r="BD107" t="inlineStr">
        <is>
          <t>9780404160227</t>
        </is>
      </c>
      <c r="BE107" t="inlineStr">
        <is>
          <t>32285001143550</t>
        </is>
      </c>
      <c r="BF107" t="inlineStr">
        <is>
          <t>893895028</t>
        </is>
      </c>
    </row>
    <row r="108">
      <c r="B108" t="inlineStr">
        <is>
          <t>CURAL</t>
        </is>
      </c>
      <c r="C108" t="inlineStr">
        <is>
          <t>SHELVES</t>
        </is>
      </c>
      <c r="D108" t="inlineStr">
        <is>
          <t>CB354.6 .Y6</t>
        </is>
      </c>
      <c r="E108" t="inlineStr">
        <is>
          <t>0                      CB 0354600Y  6</t>
        </is>
      </c>
      <c r="F108" t="inlineStr">
        <is>
          <t>The twelfth-century renaissance, edited by Charles R. Young.</t>
        </is>
      </c>
      <c r="H108" t="inlineStr">
        <is>
          <t>No</t>
        </is>
      </c>
      <c r="I108" t="inlineStr">
        <is>
          <t>1</t>
        </is>
      </c>
      <c r="J108" t="inlineStr">
        <is>
          <t>No</t>
        </is>
      </c>
      <c r="K108" t="inlineStr">
        <is>
          <t>No</t>
        </is>
      </c>
      <c r="L108" t="inlineStr">
        <is>
          <t>0</t>
        </is>
      </c>
      <c r="M108" t="inlineStr">
        <is>
          <t>Young, Charles R., compiler.</t>
        </is>
      </c>
      <c r="N108" t="inlineStr">
        <is>
          <t>New York, Holt, Rinehart and Winston [1969]</t>
        </is>
      </c>
      <c r="O108" t="inlineStr">
        <is>
          <t>1969</t>
        </is>
      </c>
      <c r="Q108" t="inlineStr">
        <is>
          <t>eng</t>
        </is>
      </c>
      <c r="R108" t="inlineStr">
        <is>
          <t>nyu</t>
        </is>
      </c>
      <c r="S108" t="inlineStr">
        <is>
          <t>European problem studies</t>
        </is>
      </c>
      <c r="T108" t="inlineStr">
        <is>
          <t xml:space="preserve">CB </t>
        </is>
      </c>
      <c r="U108" t="n">
        <v>4</v>
      </c>
      <c r="V108" t="n">
        <v>4</v>
      </c>
      <c r="W108" t="inlineStr">
        <is>
          <t>2004-04-20</t>
        </is>
      </c>
      <c r="X108" t="inlineStr">
        <is>
          <t>2004-04-20</t>
        </is>
      </c>
      <c r="Y108" t="inlineStr">
        <is>
          <t>1996-08-19</t>
        </is>
      </c>
      <c r="Z108" t="inlineStr">
        <is>
          <t>1996-08-19</t>
        </is>
      </c>
      <c r="AA108" t="n">
        <v>329</v>
      </c>
      <c r="AB108" t="n">
        <v>264</v>
      </c>
      <c r="AC108" t="n">
        <v>330</v>
      </c>
      <c r="AD108" t="n">
        <v>1</v>
      </c>
      <c r="AE108" t="n">
        <v>1</v>
      </c>
      <c r="AF108" t="n">
        <v>13</v>
      </c>
      <c r="AG108" t="n">
        <v>16</v>
      </c>
      <c r="AH108" t="n">
        <v>5</v>
      </c>
      <c r="AI108" t="n">
        <v>6</v>
      </c>
      <c r="AJ108" t="n">
        <v>6</v>
      </c>
      <c r="AK108" t="n">
        <v>8</v>
      </c>
      <c r="AL108" t="n">
        <v>8</v>
      </c>
      <c r="AM108" t="n">
        <v>9</v>
      </c>
      <c r="AN108" t="n">
        <v>0</v>
      </c>
      <c r="AO108" t="n">
        <v>0</v>
      </c>
      <c r="AP108" t="n">
        <v>0</v>
      </c>
      <c r="AQ108" t="n">
        <v>0</v>
      </c>
      <c r="AR108" t="inlineStr">
        <is>
          <t>No</t>
        </is>
      </c>
      <c r="AS108" t="inlineStr">
        <is>
          <t>Yes</t>
        </is>
      </c>
      <c r="AT108">
        <f>HYPERLINK("http://catalog.hathitrust.org/Record/007444958","HathiTrust Record")</f>
        <v/>
      </c>
      <c r="AU108">
        <f>HYPERLINK("https://creighton-primo.hosted.exlibrisgroup.com/primo-explore/search?tab=default_tab&amp;search_scope=EVERYTHING&amp;vid=01CRU&amp;lang=en_US&amp;offset=0&amp;query=any,contains,991000127979702656","Catalog Record")</f>
        <v/>
      </c>
      <c r="AV108">
        <f>HYPERLINK("http://www.worldcat.org/oclc/52763","WorldCat Record")</f>
        <v/>
      </c>
      <c r="AW108" t="inlineStr">
        <is>
          <t>3901505850:eng</t>
        </is>
      </c>
      <c r="AX108" t="inlineStr">
        <is>
          <t>52763</t>
        </is>
      </c>
      <c r="AY108" t="inlineStr">
        <is>
          <t>991000127979702656</t>
        </is>
      </c>
      <c r="AZ108" t="inlineStr">
        <is>
          <t>991000127979702656</t>
        </is>
      </c>
      <c r="BA108" t="inlineStr">
        <is>
          <t>2259229060002656</t>
        </is>
      </c>
      <c r="BB108" t="inlineStr">
        <is>
          <t>BOOK</t>
        </is>
      </c>
      <c r="BD108" t="inlineStr">
        <is>
          <t>9780030798054</t>
        </is>
      </c>
      <c r="BE108" t="inlineStr">
        <is>
          <t>32285002275658</t>
        </is>
      </c>
      <c r="BF108" t="inlineStr">
        <is>
          <t>893419228</t>
        </is>
      </c>
    </row>
    <row r="109">
      <c r="B109" t="inlineStr">
        <is>
          <t>CURAL</t>
        </is>
      </c>
      <c r="C109" t="inlineStr">
        <is>
          <t>SHELVES</t>
        </is>
      </c>
      <c r="D109" t="inlineStr">
        <is>
          <t>CB355 .M274 1990</t>
        </is>
      </c>
      <c r="E109" t="inlineStr">
        <is>
          <t>0                      CB 0355000M  274         1990</t>
        </is>
      </c>
      <c r="F109" t="inlineStr">
        <is>
          <t>The writings of Margaret of Oingt, medieval prioress and mystic (d. 1310) / translated from the Latin and Francoprovençal, with an introduction, essay and notes, [by] Renate Blumenfeld-Kosinski.</t>
        </is>
      </c>
      <c r="H109" t="inlineStr">
        <is>
          <t>No</t>
        </is>
      </c>
      <c r="I109" t="inlineStr">
        <is>
          <t>1</t>
        </is>
      </c>
      <c r="J109" t="inlineStr">
        <is>
          <t>No</t>
        </is>
      </c>
      <c r="K109" t="inlineStr">
        <is>
          <t>No</t>
        </is>
      </c>
      <c r="L109" t="inlineStr">
        <is>
          <t>0</t>
        </is>
      </c>
      <c r="M109" t="inlineStr">
        <is>
          <t>Marguerite, de Neuilly, active 13th century.</t>
        </is>
      </c>
      <c r="N109" t="inlineStr">
        <is>
          <t>Newburyport, MA : Focus Information Group, c1990.</t>
        </is>
      </c>
      <c r="O109" t="inlineStr">
        <is>
          <t>1990</t>
        </is>
      </c>
      <c r="Q109" t="inlineStr">
        <is>
          <t>eng</t>
        </is>
      </c>
      <c r="R109" t="inlineStr">
        <is>
          <t>mau</t>
        </is>
      </c>
      <c r="S109" t="inlineStr">
        <is>
          <t>Focus library of medieval women</t>
        </is>
      </c>
      <c r="T109" t="inlineStr">
        <is>
          <t xml:space="preserve">CB </t>
        </is>
      </c>
      <c r="U109" t="n">
        <v>3</v>
      </c>
      <c r="V109" t="n">
        <v>3</v>
      </c>
      <c r="W109" t="inlineStr">
        <is>
          <t>1992-04-23</t>
        </is>
      </c>
      <c r="X109" t="inlineStr">
        <is>
          <t>1992-04-23</t>
        </is>
      </c>
      <c r="Y109" t="inlineStr">
        <is>
          <t>1992-04-13</t>
        </is>
      </c>
      <c r="Z109" t="inlineStr">
        <is>
          <t>1992-04-13</t>
        </is>
      </c>
      <c r="AA109" t="n">
        <v>175</v>
      </c>
      <c r="AB109" t="n">
        <v>154</v>
      </c>
      <c r="AC109" t="n">
        <v>155</v>
      </c>
      <c r="AD109" t="n">
        <v>1</v>
      </c>
      <c r="AE109" t="n">
        <v>1</v>
      </c>
      <c r="AF109" t="n">
        <v>12</v>
      </c>
      <c r="AG109" t="n">
        <v>12</v>
      </c>
      <c r="AH109" t="n">
        <v>3</v>
      </c>
      <c r="AI109" t="n">
        <v>3</v>
      </c>
      <c r="AJ109" t="n">
        <v>6</v>
      </c>
      <c r="AK109" t="n">
        <v>6</v>
      </c>
      <c r="AL109" t="n">
        <v>6</v>
      </c>
      <c r="AM109" t="n">
        <v>6</v>
      </c>
      <c r="AN109" t="n">
        <v>0</v>
      </c>
      <c r="AO109" t="n">
        <v>0</v>
      </c>
      <c r="AP109" t="n">
        <v>0</v>
      </c>
      <c r="AQ109" t="n">
        <v>0</v>
      </c>
      <c r="AR109" t="inlineStr">
        <is>
          <t>No</t>
        </is>
      </c>
      <c r="AS109" t="inlineStr">
        <is>
          <t>Yes</t>
        </is>
      </c>
      <c r="AT109">
        <f>HYPERLINK("http://catalog.hathitrust.org/Record/101942940","HathiTrust Record")</f>
        <v/>
      </c>
      <c r="AU109">
        <f>HYPERLINK("https://creighton-primo.hosted.exlibrisgroup.com/primo-explore/search?tab=default_tab&amp;search_scope=EVERYTHING&amp;vid=01CRU&amp;lang=en_US&amp;offset=0&amp;query=any,contains,991001731919702656","Catalog Record")</f>
        <v/>
      </c>
      <c r="AV109">
        <f>HYPERLINK("http://www.worldcat.org/oclc/21942930","WorldCat Record")</f>
        <v/>
      </c>
      <c r="AW109" t="inlineStr">
        <is>
          <t>23839488:eng</t>
        </is>
      </c>
      <c r="AX109" t="inlineStr">
        <is>
          <t>21942930</t>
        </is>
      </c>
      <c r="AY109" t="inlineStr">
        <is>
          <t>991001731919702656</t>
        </is>
      </c>
      <c r="AZ109" t="inlineStr">
        <is>
          <t>991001731919702656</t>
        </is>
      </c>
      <c r="BA109" t="inlineStr">
        <is>
          <t>2256936070002656</t>
        </is>
      </c>
      <c r="BB109" t="inlineStr">
        <is>
          <t>BOOK</t>
        </is>
      </c>
      <c r="BD109" t="inlineStr">
        <is>
          <t>9780941051088</t>
        </is>
      </c>
      <c r="BE109" t="inlineStr">
        <is>
          <t>32285001009959</t>
        </is>
      </c>
      <c r="BF109" t="inlineStr">
        <is>
          <t>893891789</t>
        </is>
      </c>
    </row>
    <row r="110">
      <c r="B110" t="inlineStr">
        <is>
          <t>CURAL</t>
        </is>
      </c>
      <c r="C110" t="inlineStr">
        <is>
          <t>SHELVES</t>
        </is>
      </c>
      <c r="D110" t="inlineStr">
        <is>
          <t>CB355 .W2 1907</t>
        </is>
      </c>
      <c r="E110" t="inlineStr">
        <is>
          <t>0                      CB 0355000W  2           1907</t>
        </is>
      </c>
      <c r="F110" t="inlineStr">
        <is>
          <t>The thirteenth, greatest of centuries.</t>
        </is>
      </c>
      <c r="H110" t="inlineStr">
        <is>
          <t>No</t>
        </is>
      </c>
      <c r="I110" t="inlineStr">
        <is>
          <t>1</t>
        </is>
      </c>
      <c r="J110" t="inlineStr">
        <is>
          <t>No</t>
        </is>
      </c>
      <c r="K110" t="inlineStr">
        <is>
          <t>No</t>
        </is>
      </c>
      <c r="L110" t="inlineStr">
        <is>
          <t>0</t>
        </is>
      </c>
      <c r="M110" t="inlineStr">
        <is>
          <t>Walsh, James J. (James Joseph), 1865-1942.</t>
        </is>
      </c>
      <c r="N110" t="inlineStr">
        <is>
          <t>New York, Catholic Summer School Press, 1907.</t>
        </is>
      </c>
      <c r="O110" t="inlineStr">
        <is>
          <t>1907</t>
        </is>
      </c>
      <c r="Q110" t="inlineStr">
        <is>
          <t>eng</t>
        </is>
      </c>
      <c r="R110" t="inlineStr">
        <is>
          <t xml:space="preserve">xx </t>
        </is>
      </c>
      <c r="T110" t="inlineStr">
        <is>
          <t xml:space="preserve">CB </t>
        </is>
      </c>
      <c r="U110" t="n">
        <v>2</v>
      </c>
      <c r="V110" t="n">
        <v>2</v>
      </c>
      <c r="W110" t="inlineStr">
        <is>
          <t>1997-04-11</t>
        </is>
      </c>
      <c r="X110" t="inlineStr">
        <is>
          <t>1997-04-11</t>
        </is>
      </c>
      <c r="Y110" t="inlineStr">
        <is>
          <t>1996-08-19</t>
        </is>
      </c>
      <c r="Z110" t="inlineStr">
        <is>
          <t>1996-08-19</t>
        </is>
      </c>
      <c r="AA110" t="n">
        <v>188</v>
      </c>
      <c r="AB110" t="n">
        <v>173</v>
      </c>
      <c r="AC110" t="n">
        <v>871</v>
      </c>
      <c r="AD110" t="n">
        <v>5</v>
      </c>
      <c r="AE110" t="n">
        <v>8</v>
      </c>
      <c r="AF110" t="n">
        <v>10</v>
      </c>
      <c r="AG110" t="n">
        <v>44</v>
      </c>
      <c r="AH110" t="n">
        <v>2</v>
      </c>
      <c r="AI110" t="n">
        <v>20</v>
      </c>
      <c r="AJ110" t="n">
        <v>4</v>
      </c>
      <c r="AK110" t="n">
        <v>10</v>
      </c>
      <c r="AL110" t="n">
        <v>4</v>
      </c>
      <c r="AM110" t="n">
        <v>25</v>
      </c>
      <c r="AN110" t="n">
        <v>2</v>
      </c>
      <c r="AO110" t="n">
        <v>3</v>
      </c>
      <c r="AP110" t="n">
        <v>0</v>
      </c>
      <c r="AQ110" t="n">
        <v>0</v>
      </c>
      <c r="AR110" t="inlineStr">
        <is>
          <t>Yes</t>
        </is>
      </c>
      <c r="AS110" t="inlineStr">
        <is>
          <t>No</t>
        </is>
      </c>
      <c r="AT110">
        <f>HYPERLINK("http://catalog.hathitrust.org/Record/004427094","HathiTrust Record")</f>
        <v/>
      </c>
      <c r="AU110">
        <f>HYPERLINK("https://creighton-primo.hosted.exlibrisgroup.com/primo-explore/search?tab=default_tab&amp;search_scope=EVERYTHING&amp;vid=01CRU&amp;lang=en_US&amp;offset=0&amp;query=any,contains,991003490219702656","Catalog Record")</f>
        <v/>
      </c>
      <c r="AV110">
        <f>HYPERLINK("http://www.worldcat.org/oclc/1039307","WorldCat Record")</f>
        <v/>
      </c>
      <c r="AW110" t="inlineStr">
        <is>
          <t>375309286:eng</t>
        </is>
      </c>
      <c r="AX110" t="inlineStr">
        <is>
          <t>1039307</t>
        </is>
      </c>
      <c r="AY110" t="inlineStr">
        <is>
          <t>991003490219702656</t>
        </is>
      </c>
      <c r="AZ110" t="inlineStr">
        <is>
          <t>991003490219702656</t>
        </is>
      </c>
      <c r="BA110" t="inlineStr">
        <is>
          <t>2264779160002656</t>
        </is>
      </c>
      <c r="BB110" t="inlineStr">
        <is>
          <t>BOOK</t>
        </is>
      </c>
      <c r="BE110" t="inlineStr">
        <is>
          <t>32285002275666</t>
        </is>
      </c>
      <c r="BF110" t="inlineStr">
        <is>
          <t>893787376</t>
        </is>
      </c>
    </row>
    <row r="111">
      <c r="B111" t="inlineStr">
        <is>
          <t>CURAL</t>
        </is>
      </c>
      <c r="C111" t="inlineStr">
        <is>
          <t>SHELVES</t>
        </is>
      </c>
      <c r="D111" t="inlineStr">
        <is>
          <t>CB357 .M3 1968</t>
        </is>
      </c>
      <c r="E111" t="inlineStr">
        <is>
          <t>0                      CB 0357000M  3           1968</t>
        </is>
      </c>
      <c r="F111" t="inlineStr">
        <is>
          <t>Some makers of the modern spirit; a symposium.</t>
        </is>
      </c>
      <c r="H111" t="inlineStr">
        <is>
          <t>No</t>
        </is>
      </c>
      <c r="I111" t="inlineStr">
        <is>
          <t>1</t>
        </is>
      </c>
      <c r="J111" t="inlineStr">
        <is>
          <t>No</t>
        </is>
      </c>
      <c r="K111" t="inlineStr">
        <is>
          <t>No</t>
        </is>
      </c>
      <c r="L111" t="inlineStr">
        <is>
          <t>0</t>
        </is>
      </c>
      <c r="M111" t="inlineStr">
        <is>
          <t>Macmurray, John, 1891-1976, editor.</t>
        </is>
      </c>
      <c r="N111" t="inlineStr">
        <is>
          <t>Freeport, N.Y., Books for Libraries Press [1968]</t>
        </is>
      </c>
      <c r="O111" t="inlineStr">
        <is>
          <t>1968</t>
        </is>
      </c>
      <c r="Q111" t="inlineStr">
        <is>
          <t>eng</t>
        </is>
      </c>
      <c r="R111" t="inlineStr">
        <is>
          <t>nyu</t>
        </is>
      </c>
      <c r="S111" t="inlineStr">
        <is>
          <t>Essay index reprint series</t>
        </is>
      </c>
      <c r="T111" t="inlineStr">
        <is>
          <t xml:space="preserve">CB </t>
        </is>
      </c>
      <c r="U111" t="n">
        <v>3</v>
      </c>
      <c r="V111" t="n">
        <v>3</v>
      </c>
      <c r="W111" t="inlineStr">
        <is>
          <t>1997-03-28</t>
        </is>
      </c>
      <c r="X111" t="inlineStr">
        <is>
          <t>1997-03-28</t>
        </is>
      </c>
      <c r="Y111" t="inlineStr">
        <is>
          <t>1996-08-19</t>
        </is>
      </c>
      <c r="Z111" t="inlineStr">
        <is>
          <t>1996-08-19</t>
        </is>
      </c>
      <c r="AA111" t="n">
        <v>318</v>
      </c>
      <c r="AB111" t="n">
        <v>299</v>
      </c>
      <c r="AC111" t="n">
        <v>371</v>
      </c>
      <c r="AD111" t="n">
        <v>3</v>
      </c>
      <c r="AE111" t="n">
        <v>4</v>
      </c>
      <c r="AF111" t="n">
        <v>16</v>
      </c>
      <c r="AG111" t="n">
        <v>18</v>
      </c>
      <c r="AH111" t="n">
        <v>7</v>
      </c>
      <c r="AI111" t="n">
        <v>7</v>
      </c>
      <c r="AJ111" t="n">
        <v>3</v>
      </c>
      <c r="AK111" t="n">
        <v>3</v>
      </c>
      <c r="AL111" t="n">
        <v>8</v>
      </c>
      <c r="AM111" t="n">
        <v>9</v>
      </c>
      <c r="AN111" t="n">
        <v>2</v>
      </c>
      <c r="AO111" t="n">
        <v>3</v>
      </c>
      <c r="AP111" t="n">
        <v>0</v>
      </c>
      <c r="AQ111" t="n">
        <v>0</v>
      </c>
      <c r="AR111" t="inlineStr">
        <is>
          <t>No</t>
        </is>
      </c>
      <c r="AS111" t="inlineStr">
        <is>
          <t>Yes</t>
        </is>
      </c>
      <c r="AT111">
        <f>HYPERLINK("http://catalog.hathitrust.org/Record/010881224","HathiTrust Record")</f>
        <v/>
      </c>
      <c r="AU111">
        <f>HYPERLINK("https://creighton-primo.hosted.exlibrisgroup.com/primo-explore/search?tab=default_tab&amp;search_scope=EVERYTHING&amp;vid=01CRU&amp;lang=en_US&amp;offset=0&amp;query=any,contains,991002658269702656","Catalog Record")</f>
        <v/>
      </c>
      <c r="AV111">
        <f>HYPERLINK("http://www.worldcat.org/oclc/390351","WorldCat Record")</f>
        <v/>
      </c>
      <c r="AW111" t="inlineStr">
        <is>
          <t>3943474453:eng</t>
        </is>
      </c>
      <c r="AX111" t="inlineStr">
        <is>
          <t>390351</t>
        </is>
      </c>
      <c r="AY111" t="inlineStr">
        <is>
          <t>991002658269702656</t>
        </is>
      </c>
      <c r="AZ111" t="inlineStr">
        <is>
          <t>991002658269702656</t>
        </is>
      </c>
      <c r="BA111" t="inlineStr">
        <is>
          <t>2262023370002656</t>
        </is>
      </c>
      <c r="BB111" t="inlineStr">
        <is>
          <t>BOOK</t>
        </is>
      </c>
      <c r="BE111" t="inlineStr">
        <is>
          <t>32285002275690</t>
        </is>
      </c>
      <c r="BF111" t="inlineStr">
        <is>
          <t>893792731</t>
        </is>
      </c>
    </row>
    <row r="112">
      <c r="B112" t="inlineStr">
        <is>
          <t>CURAL</t>
        </is>
      </c>
      <c r="C112" t="inlineStr">
        <is>
          <t>SHELVES</t>
        </is>
      </c>
      <c r="D112" t="inlineStr">
        <is>
          <t>CB358 .F37 2006</t>
        </is>
      </c>
      <c r="E112" t="inlineStr">
        <is>
          <t>0                      CB 0358000F  37          2006</t>
        </is>
      </c>
      <c r="F112" t="inlineStr">
        <is>
          <t>Paranoia and modernity : Cervantes to Rousseau / John Farrell.</t>
        </is>
      </c>
      <c r="H112" t="inlineStr">
        <is>
          <t>No</t>
        </is>
      </c>
      <c r="I112" t="inlineStr">
        <is>
          <t>1</t>
        </is>
      </c>
      <c r="J112" t="inlineStr">
        <is>
          <t>No</t>
        </is>
      </c>
      <c r="K112" t="inlineStr">
        <is>
          <t>No</t>
        </is>
      </c>
      <c r="L112" t="inlineStr">
        <is>
          <t>0</t>
        </is>
      </c>
      <c r="M112" t="inlineStr">
        <is>
          <t>Farrell, John, 1957-</t>
        </is>
      </c>
      <c r="N112" t="inlineStr">
        <is>
          <t>Ithaca, N.Y. : Cornell University Press, 2006.</t>
        </is>
      </c>
      <c r="O112" t="inlineStr">
        <is>
          <t>2006</t>
        </is>
      </c>
      <c r="Q112" t="inlineStr">
        <is>
          <t>eng</t>
        </is>
      </c>
      <c r="R112" t="inlineStr">
        <is>
          <t>nyu</t>
        </is>
      </c>
      <c r="T112" t="inlineStr">
        <is>
          <t xml:space="preserve">CB </t>
        </is>
      </c>
      <c r="U112" t="n">
        <v>1</v>
      </c>
      <c r="V112" t="n">
        <v>1</v>
      </c>
      <c r="W112" t="inlineStr">
        <is>
          <t>2006-04-25</t>
        </is>
      </c>
      <c r="X112" t="inlineStr">
        <is>
          <t>2006-04-25</t>
        </is>
      </c>
      <c r="Y112" t="inlineStr">
        <is>
          <t>2006-04-25</t>
        </is>
      </c>
      <c r="Z112" t="inlineStr">
        <is>
          <t>2006-04-25</t>
        </is>
      </c>
      <c r="AA112" t="n">
        <v>464</v>
      </c>
      <c r="AB112" t="n">
        <v>396</v>
      </c>
      <c r="AC112" t="n">
        <v>573</v>
      </c>
      <c r="AD112" t="n">
        <v>5</v>
      </c>
      <c r="AE112" t="n">
        <v>5</v>
      </c>
      <c r="AF112" t="n">
        <v>25</v>
      </c>
      <c r="AG112" t="n">
        <v>33</v>
      </c>
      <c r="AH112" t="n">
        <v>12</v>
      </c>
      <c r="AI112" t="n">
        <v>16</v>
      </c>
      <c r="AJ112" t="n">
        <v>7</v>
      </c>
      <c r="AK112" t="n">
        <v>8</v>
      </c>
      <c r="AL112" t="n">
        <v>9</v>
      </c>
      <c r="AM112" t="n">
        <v>15</v>
      </c>
      <c r="AN112" t="n">
        <v>4</v>
      </c>
      <c r="AO112" t="n">
        <v>4</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HYPERLINK("https://creighton-primo.hosted.exlibrisgroup.com/primo-explore/search?tab=default_tab&amp;search_scope=EVERYTHING&amp;vid=01CRU&amp;lang=en_US&amp;offset=0&amp;query=any,contains,991004758719702656","Catalog Record")</f>
        <v/>
      </c>
      <c r="AV112">
        <f>HYPERLINK("http://www.worldcat.org/oclc/60743159","WorldCat Record")</f>
        <v/>
      </c>
      <c r="AW112" t="inlineStr">
        <is>
          <t>865166881:eng</t>
        </is>
      </c>
      <c r="AX112" t="inlineStr">
        <is>
          <t>60743159</t>
        </is>
      </c>
      <c r="AY112" t="inlineStr">
        <is>
          <t>991004758719702656</t>
        </is>
      </c>
      <c r="AZ112" t="inlineStr">
        <is>
          <t>991004758719702656</t>
        </is>
      </c>
      <c r="BA112" t="inlineStr">
        <is>
          <t>2271735960002656</t>
        </is>
      </c>
      <c r="BB112" t="inlineStr">
        <is>
          <t>BOOK</t>
        </is>
      </c>
      <c r="BD112" t="inlineStr">
        <is>
          <t>9780801444104</t>
        </is>
      </c>
      <c r="BE112" t="inlineStr">
        <is>
          <t>32285005182091</t>
        </is>
      </c>
      <c r="BF112" t="inlineStr">
        <is>
          <t>893901720</t>
        </is>
      </c>
    </row>
    <row r="113">
      <c r="B113" t="inlineStr">
        <is>
          <t>CURAL</t>
        </is>
      </c>
      <c r="C113" t="inlineStr">
        <is>
          <t>SHELVES</t>
        </is>
      </c>
      <c r="D113" t="inlineStr">
        <is>
          <t>CB358 .H36 1985</t>
        </is>
      </c>
      <c r="E113" t="inlineStr">
        <is>
          <t>0                      CB 0358000H  36          1985</t>
        </is>
      </c>
      <c r="F113" t="inlineStr">
        <is>
          <t>Upon the shoulders of giants : the shaping of the industrial West / Richard Hardison.</t>
        </is>
      </c>
      <c r="H113" t="inlineStr">
        <is>
          <t>No</t>
        </is>
      </c>
      <c r="I113" t="inlineStr">
        <is>
          <t>1</t>
        </is>
      </c>
      <c r="J113" t="inlineStr">
        <is>
          <t>No</t>
        </is>
      </c>
      <c r="K113" t="inlineStr">
        <is>
          <t>No</t>
        </is>
      </c>
      <c r="L113" t="inlineStr">
        <is>
          <t>0</t>
        </is>
      </c>
      <c r="M113" t="inlineStr">
        <is>
          <t>Hardison, Richard, 1922-</t>
        </is>
      </c>
      <c r="N113" t="inlineStr">
        <is>
          <t>Lanham, MD : University Press of America, c1985.</t>
        </is>
      </c>
      <c r="O113" t="inlineStr">
        <is>
          <t>1985</t>
        </is>
      </c>
      <c r="Q113" t="inlineStr">
        <is>
          <t>eng</t>
        </is>
      </c>
      <c r="R113" t="inlineStr">
        <is>
          <t>mdu</t>
        </is>
      </c>
      <c r="T113" t="inlineStr">
        <is>
          <t xml:space="preserve">CB </t>
        </is>
      </c>
      <c r="U113" t="n">
        <v>1</v>
      </c>
      <c r="V113" t="n">
        <v>1</v>
      </c>
      <c r="W113" t="inlineStr">
        <is>
          <t>2004-05-21</t>
        </is>
      </c>
      <c r="X113" t="inlineStr">
        <is>
          <t>2004-05-21</t>
        </is>
      </c>
      <c r="Y113" t="inlineStr">
        <is>
          <t>1992-06-02</t>
        </is>
      </c>
      <c r="Z113" t="inlineStr">
        <is>
          <t>1992-06-02</t>
        </is>
      </c>
      <c r="AA113" t="n">
        <v>125</v>
      </c>
      <c r="AB113" t="n">
        <v>104</v>
      </c>
      <c r="AC113" t="n">
        <v>104</v>
      </c>
      <c r="AD113" t="n">
        <v>2</v>
      </c>
      <c r="AE113" t="n">
        <v>2</v>
      </c>
      <c r="AF113" t="n">
        <v>7</v>
      </c>
      <c r="AG113" t="n">
        <v>7</v>
      </c>
      <c r="AH113" t="n">
        <v>3</v>
      </c>
      <c r="AI113" t="n">
        <v>3</v>
      </c>
      <c r="AJ113" t="n">
        <v>1</v>
      </c>
      <c r="AK113" t="n">
        <v>1</v>
      </c>
      <c r="AL113" t="n">
        <v>6</v>
      </c>
      <c r="AM113" t="n">
        <v>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HYPERLINK("https://creighton-primo.hosted.exlibrisgroup.com/primo-explore/search?tab=default_tab&amp;search_scope=EVERYTHING&amp;vid=01CRU&amp;lang=en_US&amp;offset=0&amp;query=any,contains,991000543279702656","Catalog Record")</f>
        <v/>
      </c>
      <c r="AV113">
        <f>HYPERLINK("http://www.worldcat.org/oclc/11497891","WorldCat Record")</f>
        <v/>
      </c>
      <c r="AW113" t="inlineStr">
        <is>
          <t>288457063:eng</t>
        </is>
      </c>
      <c r="AX113" t="inlineStr">
        <is>
          <t>11497891</t>
        </is>
      </c>
      <c r="AY113" t="inlineStr">
        <is>
          <t>991000543279702656</t>
        </is>
      </c>
      <c r="AZ113" t="inlineStr">
        <is>
          <t>991000543279702656</t>
        </is>
      </c>
      <c r="BA113" t="inlineStr">
        <is>
          <t>2262826760002656</t>
        </is>
      </c>
      <c r="BB113" t="inlineStr">
        <is>
          <t>BOOK</t>
        </is>
      </c>
      <c r="BD113" t="inlineStr">
        <is>
          <t>9780819145178</t>
        </is>
      </c>
      <c r="BE113" t="inlineStr">
        <is>
          <t>32285001143584</t>
        </is>
      </c>
      <c r="BF113" t="inlineStr">
        <is>
          <t>893315037</t>
        </is>
      </c>
    </row>
    <row r="114">
      <c r="B114" t="inlineStr">
        <is>
          <t>CURAL</t>
        </is>
      </c>
      <c r="C114" t="inlineStr">
        <is>
          <t>SHELVES</t>
        </is>
      </c>
      <c r="D114" t="inlineStr">
        <is>
          <t>CB359 .H5</t>
        </is>
      </c>
      <c r="E114" t="inlineStr">
        <is>
          <t>0                      CB 0359000H  5</t>
        </is>
      </c>
      <c r="F114" t="inlineStr">
        <is>
          <t>Men and ideas in the sixteenth century [by] Hans J. Hillerbrand.</t>
        </is>
      </c>
      <c r="H114" t="inlineStr">
        <is>
          <t>No</t>
        </is>
      </c>
      <c r="I114" t="inlineStr">
        <is>
          <t>1</t>
        </is>
      </c>
      <c r="J114" t="inlineStr">
        <is>
          <t>No</t>
        </is>
      </c>
      <c r="K114" t="inlineStr">
        <is>
          <t>No</t>
        </is>
      </c>
      <c r="L114" t="inlineStr">
        <is>
          <t>0</t>
        </is>
      </c>
      <c r="M114" t="inlineStr">
        <is>
          <t>Hillerbrand, Hans Joachim.</t>
        </is>
      </c>
      <c r="N114" t="inlineStr">
        <is>
          <t>Chicago, Rand McNally [1969]</t>
        </is>
      </c>
      <c r="O114" t="inlineStr">
        <is>
          <t>1969</t>
        </is>
      </c>
      <c r="Q114" t="inlineStr">
        <is>
          <t>eng</t>
        </is>
      </c>
      <c r="R114" t="inlineStr">
        <is>
          <t>ilu</t>
        </is>
      </c>
      <c r="S114" t="inlineStr">
        <is>
          <t>The Rand McNally European history series</t>
        </is>
      </c>
      <c r="T114" t="inlineStr">
        <is>
          <t xml:space="preserve">CB </t>
        </is>
      </c>
      <c r="U114" t="n">
        <v>1</v>
      </c>
      <c r="V114" t="n">
        <v>1</v>
      </c>
      <c r="W114" t="inlineStr">
        <is>
          <t>2002-04-25</t>
        </is>
      </c>
      <c r="X114" t="inlineStr">
        <is>
          <t>2002-04-25</t>
        </is>
      </c>
      <c r="Y114" t="inlineStr">
        <is>
          <t>1996-08-19</t>
        </is>
      </c>
      <c r="Z114" t="inlineStr">
        <is>
          <t>1996-08-19</t>
        </is>
      </c>
      <c r="AA114" t="n">
        <v>841</v>
      </c>
      <c r="AB114" t="n">
        <v>737</v>
      </c>
      <c r="AC114" t="n">
        <v>818</v>
      </c>
      <c r="AD114" t="n">
        <v>9</v>
      </c>
      <c r="AE114" t="n">
        <v>9</v>
      </c>
      <c r="AF114" t="n">
        <v>33</v>
      </c>
      <c r="AG114" t="n">
        <v>37</v>
      </c>
      <c r="AH114" t="n">
        <v>8</v>
      </c>
      <c r="AI114" t="n">
        <v>12</v>
      </c>
      <c r="AJ114" t="n">
        <v>8</v>
      </c>
      <c r="AK114" t="n">
        <v>8</v>
      </c>
      <c r="AL114" t="n">
        <v>16</v>
      </c>
      <c r="AM114" t="n">
        <v>17</v>
      </c>
      <c r="AN114" t="n">
        <v>7</v>
      </c>
      <c r="AO114" t="n">
        <v>7</v>
      </c>
      <c r="AP114" t="n">
        <v>0</v>
      </c>
      <c r="AQ114" t="n">
        <v>0</v>
      </c>
      <c r="AR114" t="inlineStr">
        <is>
          <t>No</t>
        </is>
      </c>
      <c r="AS114" t="inlineStr">
        <is>
          <t>Yes</t>
        </is>
      </c>
      <c r="AT114">
        <f>HYPERLINK("http://catalog.hathitrust.org/Record/004533878","HathiTrust Record")</f>
        <v/>
      </c>
      <c r="AU114">
        <f>HYPERLINK("https://creighton-primo.hosted.exlibrisgroup.com/primo-explore/search?tab=default_tab&amp;search_scope=EVERYTHING&amp;vid=01CRU&amp;lang=en_US&amp;offset=0&amp;query=any,contains,991005436749702656","Catalog Record")</f>
        <v/>
      </c>
      <c r="AV114">
        <f>HYPERLINK("http://www.worldcat.org/oclc/4739","WorldCat Record")</f>
        <v/>
      </c>
      <c r="AW114" t="inlineStr">
        <is>
          <t>1128219:eng</t>
        </is>
      </c>
      <c r="AX114" t="inlineStr">
        <is>
          <t>4739</t>
        </is>
      </c>
      <c r="AY114" t="inlineStr">
        <is>
          <t>991005436749702656</t>
        </is>
      </c>
      <c r="AZ114" t="inlineStr">
        <is>
          <t>991005436749702656</t>
        </is>
      </c>
      <c r="BA114" t="inlineStr">
        <is>
          <t>2266348430002656</t>
        </is>
      </c>
      <c r="BB114" t="inlineStr">
        <is>
          <t>BOOK</t>
        </is>
      </c>
      <c r="BE114" t="inlineStr">
        <is>
          <t>32285002275724</t>
        </is>
      </c>
      <c r="BF114" t="inlineStr">
        <is>
          <t>893607397</t>
        </is>
      </c>
    </row>
    <row r="115">
      <c r="B115" t="inlineStr">
        <is>
          <t>CURAL</t>
        </is>
      </c>
      <c r="C115" t="inlineStr">
        <is>
          <t>SHELVES</t>
        </is>
      </c>
      <c r="D115" t="inlineStr">
        <is>
          <t>CB359 .L8 1960</t>
        </is>
      </c>
      <c r="E115" t="inlineStr">
        <is>
          <t>0                      CB 0359000L  8           1960</t>
        </is>
      </c>
      <c r="F115" t="inlineStr">
        <is>
          <t>The Renaissance and the Reformation.</t>
        </is>
      </c>
      <c r="H115" t="inlineStr">
        <is>
          <t>No</t>
        </is>
      </c>
      <c r="I115" t="inlineStr">
        <is>
          <t>1</t>
        </is>
      </c>
      <c r="J115" t="inlineStr">
        <is>
          <t>No</t>
        </is>
      </c>
      <c r="K115" t="inlineStr">
        <is>
          <t>No</t>
        </is>
      </c>
      <c r="L115" t="inlineStr">
        <is>
          <t>0</t>
        </is>
      </c>
      <c r="M115" t="inlineStr">
        <is>
          <t>Lucas, Henry Stephen, 1889-1961.</t>
        </is>
      </c>
      <c r="N115" t="inlineStr">
        <is>
          <t>New York : Harper, [1960]</t>
        </is>
      </c>
      <c r="O115" t="inlineStr">
        <is>
          <t>1960</t>
        </is>
      </c>
      <c r="P115" t="inlineStr">
        <is>
          <t>2d ed.</t>
        </is>
      </c>
      <c r="Q115" t="inlineStr">
        <is>
          <t>eng</t>
        </is>
      </c>
      <c r="R115" t="inlineStr">
        <is>
          <t xml:space="preserve">xx </t>
        </is>
      </c>
      <c r="S115" t="inlineStr">
        <is>
          <t>Harper's historical series</t>
        </is>
      </c>
      <c r="T115" t="inlineStr">
        <is>
          <t xml:space="preserve">CB </t>
        </is>
      </c>
      <c r="U115" t="n">
        <v>11</v>
      </c>
      <c r="V115" t="n">
        <v>11</v>
      </c>
      <c r="W115" t="inlineStr">
        <is>
          <t>2006-08-24</t>
        </is>
      </c>
      <c r="X115" t="inlineStr">
        <is>
          <t>2006-08-24</t>
        </is>
      </c>
      <c r="Y115" t="inlineStr">
        <is>
          <t>1992-12-11</t>
        </is>
      </c>
      <c r="Z115" t="inlineStr">
        <is>
          <t>1992-12-11</t>
        </is>
      </c>
      <c r="AA115" t="n">
        <v>956</v>
      </c>
      <c r="AB115" t="n">
        <v>829</v>
      </c>
      <c r="AC115" t="n">
        <v>1392</v>
      </c>
      <c r="AD115" t="n">
        <v>5</v>
      </c>
      <c r="AE115" t="n">
        <v>7</v>
      </c>
      <c r="AF115" t="n">
        <v>33</v>
      </c>
      <c r="AG115" t="n">
        <v>48</v>
      </c>
      <c r="AH115" t="n">
        <v>11</v>
      </c>
      <c r="AI115" t="n">
        <v>19</v>
      </c>
      <c r="AJ115" t="n">
        <v>6</v>
      </c>
      <c r="AK115" t="n">
        <v>9</v>
      </c>
      <c r="AL115" t="n">
        <v>19</v>
      </c>
      <c r="AM115" t="n">
        <v>25</v>
      </c>
      <c r="AN115" t="n">
        <v>4</v>
      </c>
      <c r="AO115" t="n">
        <v>6</v>
      </c>
      <c r="AP115" t="n">
        <v>0</v>
      </c>
      <c r="AQ115" t="n">
        <v>0</v>
      </c>
      <c r="AR115" t="inlineStr">
        <is>
          <t>No</t>
        </is>
      </c>
      <c r="AS115" t="inlineStr">
        <is>
          <t>Yes</t>
        </is>
      </c>
      <c r="AT115">
        <f>HYPERLINK("http://catalog.hathitrust.org/Record/004427114","HathiTrust Record")</f>
        <v/>
      </c>
      <c r="AU115">
        <f>HYPERLINK("https://creighton-primo.hosted.exlibrisgroup.com/primo-explore/search?tab=default_tab&amp;search_scope=EVERYTHING&amp;vid=01CRU&amp;lang=en_US&amp;offset=0&amp;query=any,contains,991002067889702656","Catalog Record")</f>
        <v/>
      </c>
      <c r="AV115">
        <f>HYPERLINK("http://www.worldcat.org/oclc/263272","WorldCat Record")</f>
        <v/>
      </c>
      <c r="AW115" t="inlineStr">
        <is>
          <t>1376660:eng</t>
        </is>
      </c>
      <c r="AX115" t="inlineStr">
        <is>
          <t>263272</t>
        </is>
      </c>
      <c r="AY115" t="inlineStr">
        <is>
          <t>991002067889702656</t>
        </is>
      </c>
      <c r="AZ115" t="inlineStr">
        <is>
          <t>991002067889702656</t>
        </is>
      </c>
      <c r="BA115" t="inlineStr">
        <is>
          <t>2268648600002656</t>
        </is>
      </c>
      <c r="BB115" t="inlineStr">
        <is>
          <t>BOOK</t>
        </is>
      </c>
      <c r="BE115" t="inlineStr">
        <is>
          <t>32285001441079</t>
        </is>
      </c>
      <c r="BF115" t="inlineStr">
        <is>
          <t>893316343</t>
        </is>
      </c>
    </row>
    <row r="116">
      <c r="B116" t="inlineStr">
        <is>
          <t>CURAL</t>
        </is>
      </c>
      <c r="C116" t="inlineStr">
        <is>
          <t>SHELVES</t>
        </is>
      </c>
      <c r="D116" t="inlineStr">
        <is>
          <t>CB361 .D3 1924</t>
        </is>
      </c>
      <c r="E116" t="inlineStr">
        <is>
          <t>0                      CB 0361000D  3           1924</t>
        </is>
      </c>
      <c r="F116" t="inlineStr">
        <is>
          <t>The story of the Renaissance / by Sidney Dark.</t>
        </is>
      </c>
      <c r="H116" t="inlineStr">
        <is>
          <t>No</t>
        </is>
      </c>
      <c r="I116" t="inlineStr">
        <is>
          <t>1</t>
        </is>
      </c>
      <c r="J116" t="inlineStr">
        <is>
          <t>No</t>
        </is>
      </c>
      <c r="K116" t="inlineStr">
        <is>
          <t>No</t>
        </is>
      </c>
      <c r="L116" t="inlineStr">
        <is>
          <t>0</t>
        </is>
      </c>
      <c r="M116" t="inlineStr">
        <is>
          <t>Dark, Sidney, 1874-1947.</t>
        </is>
      </c>
      <c r="N116" t="inlineStr">
        <is>
          <t>New York : George H. Doran Company, [c1924]</t>
        </is>
      </c>
      <c r="O116" t="inlineStr">
        <is>
          <t>1924</t>
        </is>
      </c>
      <c r="Q116" t="inlineStr">
        <is>
          <t>eng</t>
        </is>
      </c>
      <c r="R116" t="inlineStr">
        <is>
          <t>nyu</t>
        </is>
      </c>
      <c r="S116" t="inlineStr">
        <is>
          <t>Doran's modern readers' bookshelf</t>
        </is>
      </c>
      <c r="T116" t="inlineStr">
        <is>
          <t xml:space="preserve">CB </t>
        </is>
      </c>
      <c r="U116" t="n">
        <v>5</v>
      </c>
      <c r="V116" t="n">
        <v>5</v>
      </c>
      <c r="W116" t="inlineStr">
        <is>
          <t>1998-12-03</t>
        </is>
      </c>
      <c r="X116" t="inlineStr">
        <is>
          <t>1998-12-03</t>
        </is>
      </c>
      <c r="Y116" t="inlineStr">
        <is>
          <t>1994-09-21</t>
        </is>
      </c>
      <c r="Z116" t="inlineStr">
        <is>
          <t>1994-09-21</t>
        </is>
      </c>
      <c r="AA116" t="n">
        <v>70</v>
      </c>
      <c r="AB116" t="n">
        <v>63</v>
      </c>
      <c r="AC116" t="n">
        <v>129</v>
      </c>
      <c r="AD116" t="n">
        <v>1</v>
      </c>
      <c r="AE116" t="n">
        <v>1</v>
      </c>
      <c r="AF116" t="n">
        <v>3</v>
      </c>
      <c r="AG116" t="n">
        <v>8</v>
      </c>
      <c r="AH116" t="n">
        <v>1</v>
      </c>
      <c r="AI116" t="n">
        <v>2</v>
      </c>
      <c r="AJ116" t="n">
        <v>2</v>
      </c>
      <c r="AK116" t="n">
        <v>4</v>
      </c>
      <c r="AL116" t="n">
        <v>2</v>
      </c>
      <c r="AM116" t="n">
        <v>6</v>
      </c>
      <c r="AN116" t="n">
        <v>0</v>
      </c>
      <c r="AO116" t="n">
        <v>0</v>
      </c>
      <c r="AP116" t="n">
        <v>0</v>
      </c>
      <c r="AQ116" t="n">
        <v>0</v>
      </c>
      <c r="AR116" t="inlineStr">
        <is>
          <t>Yes</t>
        </is>
      </c>
      <c r="AS116" t="inlineStr">
        <is>
          <t>No</t>
        </is>
      </c>
      <c r="AT116">
        <f>HYPERLINK("http://catalog.hathitrust.org/Record/001595533","HathiTrust Record")</f>
        <v/>
      </c>
      <c r="AU116">
        <f>HYPERLINK("https://creighton-primo.hosted.exlibrisgroup.com/primo-explore/search?tab=default_tab&amp;search_scope=EVERYTHING&amp;vid=01CRU&amp;lang=en_US&amp;offset=0&amp;query=any,contains,991001141219702656","Catalog Record")</f>
        <v/>
      </c>
      <c r="AV116">
        <f>HYPERLINK("http://www.worldcat.org/oclc/16744823","WorldCat Record")</f>
        <v/>
      </c>
      <c r="AW116" t="inlineStr">
        <is>
          <t>3834069:eng</t>
        </is>
      </c>
      <c r="AX116" t="inlineStr">
        <is>
          <t>16744823</t>
        </is>
      </c>
      <c r="AY116" t="inlineStr">
        <is>
          <t>991001141219702656</t>
        </is>
      </c>
      <c r="AZ116" t="inlineStr">
        <is>
          <t>991001141219702656</t>
        </is>
      </c>
      <c r="BA116" t="inlineStr">
        <is>
          <t>2260582120002656</t>
        </is>
      </c>
      <c r="BB116" t="inlineStr">
        <is>
          <t>BOOK</t>
        </is>
      </c>
      <c r="BE116" t="inlineStr">
        <is>
          <t>32285001952083</t>
        </is>
      </c>
      <c r="BF116" t="inlineStr">
        <is>
          <t>893590058</t>
        </is>
      </c>
    </row>
    <row r="117">
      <c r="B117" t="inlineStr">
        <is>
          <t>CURAL</t>
        </is>
      </c>
      <c r="C117" t="inlineStr">
        <is>
          <t>SHELVES</t>
        </is>
      </c>
      <c r="D117" t="inlineStr">
        <is>
          <t>CB361 .D33</t>
        </is>
      </c>
      <c r="E117" t="inlineStr">
        <is>
          <t>0                      CB 0361000D  33</t>
        </is>
      </c>
      <c r="F117" t="inlineStr">
        <is>
          <t>The Darker vision of the Renaissance : beyond the fields of reason / edited, with introd., by Robert S. Kinsman.</t>
        </is>
      </c>
      <c r="H117" t="inlineStr">
        <is>
          <t>No</t>
        </is>
      </c>
      <c r="I117" t="inlineStr">
        <is>
          <t>1</t>
        </is>
      </c>
      <c r="J117" t="inlineStr">
        <is>
          <t>No</t>
        </is>
      </c>
      <c r="K117" t="inlineStr">
        <is>
          <t>No</t>
        </is>
      </c>
      <c r="L117" t="inlineStr">
        <is>
          <t>0</t>
        </is>
      </c>
      <c r="N117" t="inlineStr">
        <is>
          <t>Berkeley : University of California Press, 1974.</t>
        </is>
      </c>
      <c r="O117" t="inlineStr">
        <is>
          <t>1974</t>
        </is>
      </c>
      <c r="Q117" t="inlineStr">
        <is>
          <t>eng</t>
        </is>
      </c>
      <c r="R117" t="inlineStr">
        <is>
          <t>cau</t>
        </is>
      </c>
      <c r="S117" t="inlineStr">
        <is>
          <t>Contributions - UCLA Center for Medieval and Renaissance studies ; 6</t>
        </is>
      </c>
      <c r="T117" t="inlineStr">
        <is>
          <t xml:space="preserve">CB </t>
        </is>
      </c>
      <c r="U117" t="n">
        <v>3</v>
      </c>
      <c r="V117" t="n">
        <v>3</v>
      </c>
      <c r="W117" t="inlineStr">
        <is>
          <t>1999-04-17</t>
        </is>
      </c>
      <c r="X117" t="inlineStr">
        <is>
          <t>1999-04-17</t>
        </is>
      </c>
      <c r="Y117" t="inlineStr">
        <is>
          <t>1996-08-19</t>
        </is>
      </c>
      <c r="Z117" t="inlineStr">
        <is>
          <t>1996-08-19</t>
        </is>
      </c>
      <c r="AA117" t="n">
        <v>888</v>
      </c>
      <c r="AB117" t="n">
        <v>746</v>
      </c>
      <c r="AC117" t="n">
        <v>750</v>
      </c>
      <c r="AD117" t="n">
        <v>7</v>
      </c>
      <c r="AE117" t="n">
        <v>7</v>
      </c>
      <c r="AF117" t="n">
        <v>37</v>
      </c>
      <c r="AG117" t="n">
        <v>37</v>
      </c>
      <c r="AH117" t="n">
        <v>13</v>
      </c>
      <c r="AI117" t="n">
        <v>13</v>
      </c>
      <c r="AJ117" t="n">
        <v>10</v>
      </c>
      <c r="AK117" t="n">
        <v>10</v>
      </c>
      <c r="AL117" t="n">
        <v>17</v>
      </c>
      <c r="AM117" t="n">
        <v>17</v>
      </c>
      <c r="AN117" t="n">
        <v>6</v>
      </c>
      <c r="AO117" t="n">
        <v>6</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HYPERLINK("https://creighton-primo.hosted.exlibrisgroup.com/primo-explore/search?tab=default_tab&amp;search_scope=EVERYTHING&amp;vid=01CRU&amp;lang=en_US&amp;offset=0&amp;query=any,contains,991003669799702656","Catalog Record")</f>
        <v/>
      </c>
      <c r="AV117">
        <f>HYPERLINK("http://www.worldcat.org/oclc/1287485","WorldCat Record")</f>
        <v/>
      </c>
      <c r="AW117" t="inlineStr">
        <is>
          <t>878405209:eng</t>
        </is>
      </c>
      <c r="AX117" t="inlineStr">
        <is>
          <t>1287485</t>
        </is>
      </c>
      <c r="AY117" t="inlineStr">
        <is>
          <t>991003669799702656</t>
        </is>
      </c>
      <c r="AZ117" t="inlineStr">
        <is>
          <t>991003669799702656</t>
        </is>
      </c>
      <c r="BA117" t="inlineStr">
        <is>
          <t>2268550750002656</t>
        </is>
      </c>
      <c r="BB117" t="inlineStr">
        <is>
          <t>BOOK</t>
        </is>
      </c>
      <c r="BD117" t="inlineStr">
        <is>
          <t>9780520022591</t>
        </is>
      </c>
      <c r="BE117" t="inlineStr">
        <is>
          <t>32285002275773</t>
        </is>
      </c>
      <c r="BF117" t="inlineStr">
        <is>
          <t>893429063</t>
        </is>
      </c>
    </row>
    <row r="118">
      <c r="B118" t="inlineStr">
        <is>
          <t>CURAL</t>
        </is>
      </c>
      <c r="C118" t="inlineStr">
        <is>
          <t>SHELVES</t>
        </is>
      </c>
      <c r="D118" t="inlineStr">
        <is>
          <t>CB361 .F37 1940</t>
        </is>
      </c>
      <c r="E118" t="inlineStr">
        <is>
          <t>0                      CB 0361000F  37          1940</t>
        </is>
      </c>
      <c r="F118" t="inlineStr">
        <is>
          <t>The renaissance / by Wallace K. Ferguson.</t>
        </is>
      </c>
      <c r="H118" t="inlineStr">
        <is>
          <t>No</t>
        </is>
      </c>
      <c r="I118" t="inlineStr">
        <is>
          <t>1</t>
        </is>
      </c>
      <c r="J118" t="inlineStr">
        <is>
          <t>No</t>
        </is>
      </c>
      <c r="K118" t="inlineStr">
        <is>
          <t>No</t>
        </is>
      </c>
      <c r="L118" t="inlineStr">
        <is>
          <t>0</t>
        </is>
      </c>
      <c r="M118" t="inlineStr">
        <is>
          <t>Ferguson, Wallace K. (Wallace Klippert), 1902-1983.</t>
        </is>
      </c>
      <c r="N118" t="inlineStr">
        <is>
          <t>New York : Holt, Rinehart and Winston, c1940.</t>
        </is>
      </c>
      <c r="O118" t="inlineStr">
        <is>
          <t>1940</t>
        </is>
      </c>
      <c r="Q118" t="inlineStr">
        <is>
          <t>eng</t>
        </is>
      </c>
      <c r="R118" t="inlineStr">
        <is>
          <t>nyu</t>
        </is>
      </c>
      <c r="S118" t="inlineStr">
        <is>
          <t>Berkshire studies in European history</t>
        </is>
      </c>
      <c r="T118" t="inlineStr">
        <is>
          <t xml:space="preserve">CB </t>
        </is>
      </c>
      <c r="U118" t="n">
        <v>1</v>
      </c>
      <c r="V118" t="n">
        <v>1</v>
      </c>
      <c r="W118" t="inlineStr">
        <is>
          <t>2001-07-24</t>
        </is>
      </c>
      <c r="X118" t="inlineStr">
        <is>
          <t>2001-07-24</t>
        </is>
      </c>
      <c r="Y118" t="inlineStr">
        <is>
          <t>2001-07-23</t>
        </is>
      </c>
      <c r="Z118" t="inlineStr">
        <is>
          <t>2001-07-23</t>
        </is>
      </c>
      <c r="AA118" t="n">
        <v>164</v>
      </c>
      <c r="AB118" t="n">
        <v>124</v>
      </c>
      <c r="AC118" t="n">
        <v>1420</v>
      </c>
      <c r="AD118" t="n">
        <v>3</v>
      </c>
      <c r="AE118" t="n">
        <v>14</v>
      </c>
      <c r="AF118" t="n">
        <v>6</v>
      </c>
      <c r="AG118" t="n">
        <v>57</v>
      </c>
      <c r="AH118" t="n">
        <v>2</v>
      </c>
      <c r="AI118" t="n">
        <v>23</v>
      </c>
      <c r="AJ118" t="n">
        <v>0</v>
      </c>
      <c r="AK118" t="n">
        <v>10</v>
      </c>
      <c r="AL118" t="n">
        <v>3</v>
      </c>
      <c r="AM118" t="n">
        <v>25</v>
      </c>
      <c r="AN118" t="n">
        <v>2</v>
      </c>
      <c r="AO118" t="n">
        <v>12</v>
      </c>
      <c r="AP118" t="n">
        <v>0</v>
      </c>
      <c r="AQ118" t="n">
        <v>0</v>
      </c>
      <c r="AR118" t="inlineStr">
        <is>
          <t>No</t>
        </is>
      </c>
      <c r="AS118" t="inlineStr">
        <is>
          <t>No</t>
        </is>
      </c>
      <c r="AT118">
        <f>HYPERLINK("http://catalog.hathitrust.org/Record/102113155","HathiTrust Record")</f>
        <v/>
      </c>
      <c r="AU118">
        <f>HYPERLINK("https://creighton-primo.hosted.exlibrisgroup.com/primo-explore/search?tab=default_tab&amp;search_scope=EVERYTHING&amp;vid=01CRU&amp;lang=en_US&amp;offset=0&amp;query=any,contains,991003583979702656","Catalog Record")</f>
        <v/>
      </c>
      <c r="AV118">
        <f>HYPERLINK("http://www.worldcat.org/oclc/5277918","WorldCat Record")</f>
        <v/>
      </c>
      <c r="AW118" t="inlineStr">
        <is>
          <t>178463402:eng</t>
        </is>
      </c>
      <c r="AX118" t="inlineStr">
        <is>
          <t>5277918</t>
        </is>
      </c>
      <c r="AY118" t="inlineStr">
        <is>
          <t>991003583979702656</t>
        </is>
      </c>
      <c r="AZ118" t="inlineStr">
        <is>
          <t>991003583979702656</t>
        </is>
      </c>
      <c r="BA118" t="inlineStr">
        <is>
          <t>2257381910002656</t>
        </is>
      </c>
      <c r="BB118" t="inlineStr">
        <is>
          <t>BOOK</t>
        </is>
      </c>
      <c r="BD118" t="inlineStr">
        <is>
          <t>9780003082838</t>
        </is>
      </c>
      <c r="BE118" t="inlineStr">
        <is>
          <t>32285004334370</t>
        </is>
      </c>
      <c r="BF118" t="inlineStr">
        <is>
          <t>893234310</t>
        </is>
      </c>
    </row>
    <row r="119">
      <c r="B119" t="inlineStr">
        <is>
          <t>CURAL</t>
        </is>
      </c>
      <c r="C119" t="inlineStr">
        <is>
          <t>SHELVES</t>
        </is>
      </c>
      <c r="D119" t="inlineStr">
        <is>
          <t>CB361 .F373</t>
        </is>
      </c>
      <c r="E119" t="inlineStr">
        <is>
          <t>0                      CB 0361000F  373</t>
        </is>
      </c>
      <c r="F119" t="inlineStr">
        <is>
          <t>The Renaissance in historical thought; five centuries of interpretation.</t>
        </is>
      </c>
      <c r="H119" t="inlineStr">
        <is>
          <t>No</t>
        </is>
      </c>
      <c r="I119" t="inlineStr">
        <is>
          <t>1</t>
        </is>
      </c>
      <c r="J119" t="inlineStr">
        <is>
          <t>No</t>
        </is>
      </c>
      <c r="K119" t="inlineStr">
        <is>
          <t>No</t>
        </is>
      </c>
      <c r="L119" t="inlineStr">
        <is>
          <t>0</t>
        </is>
      </c>
      <c r="M119" t="inlineStr">
        <is>
          <t>Ferguson, Wallace K. (Wallace Klippert), 1902-1983.</t>
        </is>
      </c>
      <c r="N119" t="inlineStr">
        <is>
          <t>Boston, Houghton Mifflin Co. [1948]</t>
        </is>
      </c>
      <c r="O119" t="inlineStr">
        <is>
          <t>1948</t>
        </is>
      </c>
      <c r="Q119" t="inlineStr">
        <is>
          <t>eng</t>
        </is>
      </c>
      <c r="R119" t="inlineStr">
        <is>
          <t>mau</t>
        </is>
      </c>
      <c r="T119" t="inlineStr">
        <is>
          <t xml:space="preserve">CB </t>
        </is>
      </c>
      <c r="U119" t="n">
        <v>3</v>
      </c>
      <c r="V119" t="n">
        <v>3</v>
      </c>
      <c r="W119" t="inlineStr">
        <is>
          <t>1997-09-17</t>
        </is>
      </c>
      <c r="X119" t="inlineStr">
        <is>
          <t>1997-09-17</t>
        </is>
      </c>
      <c r="Y119" t="inlineStr">
        <is>
          <t>1996-08-19</t>
        </is>
      </c>
      <c r="Z119" t="inlineStr">
        <is>
          <t>1996-08-19</t>
        </is>
      </c>
      <c r="AA119" t="n">
        <v>1245</v>
      </c>
      <c r="AB119" t="n">
        <v>1095</v>
      </c>
      <c r="AC119" t="n">
        <v>1151</v>
      </c>
      <c r="AD119" t="n">
        <v>10</v>
      </c>
      <c r="AE119" t="n">
        <v>11</v>
      </c>
      <c r="AF119" t="n">
        <v>50</v>
      </c>
      <c r="AG119" t="n">
        <v>50</v>
      </c>
      <c r="AH119" t="n">
        <v>20</v>
      </c>
      <c r="AI119" t="n">
        <v>20</v>
      </c>
      <c r="AJ119" t="n">
        <v>9</v>
      </c>
      <c r="AK119" t="n">
        <v>9</v>
      </c>
      <c r="AL119" t="n">
        <v>23</v>
      </c>
      <c r="AM119" t="n">
        <v>23</v>
      </c>
      <c r="AN119" t="n">
        <v>9</v>
      </c>
      <c r="AO119" t="n">
        <v>9</v>
      </c>
      <c r="AP119" t="n">
        <v>0</v>
      </c>
      <c r="AQ119" t="n">
        <v>0</v>
      </c>
      <c r="AR119" t="inlineStr">
        <is>
          <t>No</t>
        </is>
      </c>
      <c r="AS119" t="inlineStr">
        <is>
          <t>Yes</t>
        </is>
      </c>
      <c r="AT119">
        <f>HYPERLINK("http://catalog.hathitrust.org/Record/001595537","HathiTrust Record")</f>
        <v/>
      </c>
      <c r="AU119">
        <f>HYPERLINK("https://creighton-primo.hosted.exlibrisgroup.com/primo-explore/search?tab=default_tab&amp;search_scope=EVERYTHING&amp;vid=01CRU&amp;lang=en_US&amp;offset=0&amp;query=any,contains,991002420119702656","Catalog Record")</f>
        <v/>
      </c>
      <c r="AV119">
        <f>HYPERLINK("http://www.worldcat.org/oclc/342491","WorldCat Record")</f>
        <v/>
      </c>
      <c r="AW119" t="inlineStr">
        <is>
          <t>196536085:eng</t>
        </is>
      </c>
      <c r="AX119" t="inlineStr">
        <is>
          <t>342491</t>
        </is>
      </c>
      <c r="AY119" t="inlineStr">
        <is>
          <t>991002420119702656</t>
        </is>
      </c>
      <c r="AZ119" t="inlineStr">
        <is>
          <t>991002420119702656</t>
        </is>
      </c>
      <c r="BA119" t="inlineStr">
        <is>
          <t>2266341790002656</t>
        </is>
      </c>
      <c r="BB119" t="inlineStr">
        <is>
          <t>BOOK</t>
        </is>
      </c>
      <c r="BE119" t="inlineStr">
        <is>
          <t>32285002275807</t>
        </is>
      </c>
      <c r="BF119" t="inlineStr">
        <is>
          <t>893609842</t>
        </is>
      </c>
    </row>
    <row r="120">
      <c r="B120" t="inlineStr">
        <is>
          <t>CURAL</t>
        </is>
      </c>
      <c r="C120" t="inlineStr">
        <is>
          <t>SHELVES</t>
        </is>
      </c>
      <c r="D120" t="inlineStr">
        <is>
          <t>CB361 .H65 1996</t>
        </is>
      </c>
      <c r="E120" t="inlineStr">
        <is>
          <t>0                      CB 0361000H  65          1996</t>
        </is>
      </c>
      <c r="F120" t="inlineStr">
        <is>
          <t>Renaissance / George Holmes.</t>
        </is>
      </c>
      <c r="H120" t="inlineStr">
        <is>
          <t>No</t>
        </is>
      </c>
      <c r="I120" t="inlineStr">
        <is>
          <t>1</t>
        </is>
      </c>
      <c r="J120" t="inlineStr">
        <is>
          <t>No</t>
        </is>
      </c>
      <c r="K120" t="inlineStr">
        <is>
          <t>No</t>
        </is>
      </c>
      <c r="L120" t="inlineStr">
        <is>
          <t>0</t>
        </is>
      </c>
      <c r="M120" t="inlineStr">
        <is>
          <t>Holmes, George, 1927-2009.</t>
        </is>
      </c>
      <c r="N120" t="inlineStr">
        <is>
          <t>New York : St. Martin's Press, c1996.</t>
        </is>
      </c>
      <c r="O120" t="inlineStr">
        <is>
          <t>1996</t>
        </is>
      </c>
      <c r="P120" t="inlineStr">
        <is>
          <t>1st U.S. ed.</t>
        </is>
      </c>
      <c r="Q120" t="inlineStr">
        <is>
          <t>eng</t>
        </is>
      </c>
      <c r="R120" t="inlineStr">
        <is>
          <t>nyu</t>
        </is>
      </c>
      <c r="T120" t="inlineStr">
        <is>
          <t xml:space="preserve">CB </t>
        </is>
      </c>
      <c r="U120" t="n">
        <v>1</v>
      </c>
      <c r="V120" t="n">
        <v>1</v>
      </c>
      <c r="W120" t="inlineStr">
        <is>
          <t>2002-04-10</t>
        </is>
      </c>
      <c r="X120" t="inlineStr">
        <is>
          <t>2002-04-10</t>
        </is>
      </c>
      <c r="Y120" t="inlineStr">
        <is>
          <t>1999-09-30</t>
        </is>
      </c>
      <c r="Z120" t="inlineStr">
        <is>
          <t>1999-09-30</t>
        </is>
      </c>
      <c r="AA120" t="n">
        <v>772</v>
      </c>
      <c r="AB120" t="n">
        <v>738</v>
      </c>
      <c r="AC120" t="n">
        <v>799</v>
      </c>
      <c r="AD120" t="n">
        <v>7</v>
      </c>
      <c r="AE120" t="n">
        <v>8</v>
      </c>
      <c r="AF120" t="n">
        <v>22</v>
      </c>
      <c r="AG120" t="n">
        <v>24</v>
      </c>
      <c r="AH120" t="n">
        <v>10</v>
      </c>
      <c r="AI120" t="n">
        <v>10</v>
      </c>
      <c r="AJ120" t="n">
        <v>4</v>
      </c>
      <c r="AK120" t="n">
        <v>5</v>
      </c>
      <c r="AL120" t="n">
        <v>11</v>
      </c>
      <c r="AM120" t="n">
        <v>12</v>
      </c>
      <c r="AN120" t="n">
        <v>4</v>
      </c>
      <c r="AO120" t="n">
        <v>5</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HYPERLINK("https://creighton-primo.hosted.exlibrisgroup.com/primo-explore/search?tab=default_tab&amp;search_scope=EVERYTHING&amp;vid=01CRU&amp;lang=en_US&amp;offset=0&amp;query=any,contains,991002766249702656","Catalog Record")</f>
        <v/>
      </c>
      <c r="AV120">
        <f>HYPERLINK("http://www.worldcat.org/oclc/36301361","WorldCat Record")</f>
        <v/>
      </c>
      <c r="AW120" t="inlineStr">
        <is>
          <t>26960548:eng</t>
        </is>
      </c>
      <c r="AX120" t="inlineStr">
        <is>
          <t>36301361</t>
        </is>
      </c>
      <c r="AY120" t="inlineStr">
        <is>
          <t>991002766249702656</t>
        </is>
      </c>
      <c r="AZ120" t="inlineStr">
        <is>
          <t>991002766249702656</t>
        </is>
      </c>
      <c r="BA120" t="inlineStr">
        <is>
          <t>2267795740002656</t>
        </is>
      </c>
      <c r="BB120" t="inlineStr">
        <is>
          <t>BOOK</t>
        </is>
      </c>
      <c r="BD120" t="inlineStr">
        <is>
          <t>9780312153182</t>
        </is>
      </c>
      <c r="BE120" t="inlineStr">
        <is>
          <t>32285003591731</t>
        </is>
      </c>
      <c r="BF120" t="inlineStr">
        <is>
          <t>893409504</t>
        </is>
      </c>
    </row>
    <row r="121">
      <c r="B121" t="inlineStr">
        <is>
          <t>CURAL</t>
        </is>
      </c>
      <c r="C121" t="inlineStr">
        <is>
          <t>SHELVES</t>
        </is>
      </c>
      <c r="D121" t="inlineStr">
        <is>
          <t>CB361 .I6 1964</t>
        </is>
      </c>
      <c r="E121" t="inlineStr">
        <is>
          <t>0                      CB 0361000I  6           1964</t>
        </is>
      </c>
      <c r="F121" t="inlineStr">
        <is>
          <t>Aspects of the Renaissance; a symposium. Edited by Archibald R. Lewis.</t>
        </is>
      </c>
      <c r="H121" t="inlineStr">
        <is>
          <t>No</t>
        </is>
      </c>
      <c r="I121" t="inlineStr">
        <is>
          <t>1</t>
        </is>
      </c>
      <c r="J121" t="inlineStr">
        <is>
          <t>No</t>
        </is>
      </c>
      <c r="K121" t="inlineStr">
        <is>
          <t>No</t>
        </is>
      </c>
      <c r="L121" t="inlineStr">
        <is>
          <t>0</t>
        </is>
      </c>
      <c r="M121" t="inlineStr">
        <is>
          <t>International Conference on the Meaning of the Renaissance (1964 : Austin, Tex.)</t>
        </is>
      </c>
      <c r="N121" t="inlineStr">
        <is>
          <t>Austin, University of Texas Press [1967]</t>
        </is>
      </c>
      <c r="O121" t="inlineStr">
        <is>
          <t>1967</t>
        </is>
      </c>
      <c r="Q121" t="inlineStr">
        <is>
          <t>eng</t>
        </is>
      </c>
      <c r="R121" t="inlineStr">
        <is>
          <t>txu</t>
        </is>
      </c>
      <c r="T121" t="inlineStr">
        <is>
          <t xml:space="preserve">CB </t>
        </is>
      </c>
      <c r="U121" t="n">
        <v>13</v>
      </c>
      <c r="V121" t="n">
        <v>13</v>
      </c>
      <c r="W121" t="inlineStr">
        <is>
          <t>2005-09-10</t>
        </is>
      </c>
      <c r="X121" t="inlineStr">
        <is>
          <t>2005-09-10</t>
        </is>
      </c>
      <c r="Y121" t="inlineStr">
        <is>
          <t>1996-08-19</t>
        </is>
      </c>
      <c r="Z121" t="inlineStr">
        <is>
          <t>1996-08-19</t>
        </is>
      </c>
      <c r="AA121" t="n">
        <v>589</v>
      </c>
      <c r="AB121" t="n">
        <v>514</v>
      </c>
      <c r="AC121" t="n">
        <v>540</v>
      </c>
      <c r="AD121" t="n">
        <v>5</v>
      </c>
      <c r="AE121" t="n">
        <v>5</v>
      </c>
      <c r="AF121" t="n">
        <v>25</v>
      </c>
      <c r="AG121" t="n">
        <v>27</v>
      </c>
      <c r="AH121" t="n">
        <v>7</v>
      </c>
      <c r="AI121" t="n">
        <v>8</v>
      </c>
      <c r="AJ121" t="n">
        <v>5</v>
      </c>
      <c r="AK121" t="n">
        <v>7</v>
      </c>
      <c r="AL121" t="n">
        <v>15</v>
      </c>
      <c r="AM121" t="n">
        <v>16</v>
      </c>
      <c r="AN121" t="n">
        <v>4</v>
      </c>
      <c r="AO121" t="n">
        <v>4</v>
      </c>
      <c r="AP121" t="n">
        <v>0</v>
      </c>
      <c r="AQ121" t="n">
        <v>0</v>
      </c>
      <c r="AR121" t="inlineStr">
        <is>
          <t>No</t>
        </is>
      </c>
      <c r="AS121" t="inlineStr">
        <is>
          <t>Yes</t>
        </is>
      </c>
      <c r="AT121">
        <f>HYPERLINK("http://catalog.hathitrust.org/Record/001595543","HathiTrust Record")</f>
        <v/>
      </c>
      <c r="AU121">
        <f>HYPERLINK("https://creighton-primo.hosted.exlibrisgroup.com/primo-explore/search?tab=default_tab&amp;search_scope=EVERYTHING&amp;vid=01CRU&amp;lang=en_US&amp;offset=0&amp;query=any,contains,991003184929702656","Catalog Record")</f>
        <v/>
      </c>
      <c r="AV121">
        <f>HYPERLINK("http://www.worldcat.org/oclc/712551","WorldCat Record")</f>
        <v/>
      </c>
      <c r="AW121" t="inlineStr">
        <is>
          <t>10252569437:eng</t>
        </is>
      </c>
      <c r="AX121" t="inlineStr">
        <is>
          <t>712551</t>
        </is>
      </c>
      <c r="AY121" t="inlineStr">
        <is>
          <t>991003184929702656</t>
        </is>
      </c>
      <c r="AZ121" t="inlineStr">
        <is>
          <t>991003184929702656</t>
        </is>
      </c>
      <c r="BA121" t="inlineStr">
        <is>
          <t>2256677980002656</t>
        </is>
      </c>
      <c r="BB121" t="inlineStr">
        <is>
          <t>BOOK</t>
        </is>
      </c>
      <c r="BE121" t="inlineStr">
        <is>
          <t>32285002275823</t>
        </is>
      </c>
      <c r="BF121" t="inlineStr">
        <is>
          <t>893893459</t>
        </is>
      </c>
    </row>
    <row r="122">
      <c r="B122" t="inlineStr">
        <is>
          <t>CURAL</t>
        </is>
      </c>
      <c r="C122" t="inlineStr">
        <is>
          <t>SHELVES</t>
        </is>
      </c>
      <c r="D122" t="inlineStr">
        <is>
          <t>CB361 .K36 1993</t>
        </is>
      </c>
      <c r="E122" t="inlineStr">
        <is>
          <t>0                      CB 0361000K  36          1993</t>
        </is>
      </c>
      <c r="F122" t="inlineStr">
        <is>
          <t>The mastery of nature : aspects of art, science, and humanism in the Renaissance / Thomas DaCosta Kaufmann.</t>
        </is>
      </c>
      <c r="H122" t="inlineStr">
        <is>
          <t>No</t>
        </is>
      </c>
      <c r="I122" t="inlineStr">
        <is>
          <t>1</t>
        </is>
      </c>
      <c r="J122" t="inlineStr">
        <is>
          <t>No</t>
        </is>
      </c>
      <c r="K122" t="inlineStr">
        <is>
          <t>No</t>
        </is>
      </c>
      <c r="L122" t="inlineStr">
        <is>
          <t>0</t>
        </is>
      </c>
      <c r="M122" t="inlineStr">
        <is>
          <t>Kaufmann, Thomas DaCosta.</t>
        </is>
      </c>
      <c r="N122" t="inlineStr">
        <is>
          <t>Princeton, N.J. : Princeton University Press, c1993.</t>
        </is>
      </c>
      <c r="O122" t="inlineStr">
        <is>
          <t>1993</t>
        </is>
      </c>
      <c r="Q122" t="inlineStr">
        <is>
          <t>eng</t>
        </is>
      </c>
      <c r="R122" t="inlineStr">
        <is>
          <t>nju</t>
        </is>
      </c>
      <c r="S122" t="inlineStr">
        <is>
          <t>Princeton essays on the arts</t>
        </is>
      </c>
      <c r="T122" t="inlineStr">
        <is>
          <t xml:space="preserve">CB </t>
        </is>
      </c>
      <c r="U122" t="n">
        <v>4</v>
      </c>
      <c r="V122" t="n">
        <v>4</v>
      </c>
      <c r="W122" t="inlineStr">
        <is>
          <t>1995-10-04</t>
        </is>
      </c>
      <c r="X122" t="inlineStr">
        <is>
          <t>1995-10-04</t>
        </is>
      </c>
      <c r="Y122" t="inlineStr">
        <is>
          <t>1993-09-22</t>
        </is>
      </c>
      <c r="Z122" t="inlineStr">
        <is>
          <t>1993-09-22</t>
        </is>
      </c>
      <c r="AA122" t="n">
        <v>502</v>
      </c>
      <c r="AB122" t="n">
        <v>366</v>
      </c>
      <c r="AC122" t="n">
        <v>366</v>
      </c>
      <c r="AD122" t="n">
        <v>3</v>
      </c>
      <c r="AE122" t="n">
        <v>3</v>
      </c>
      <c r="AF122" t="n">
        <v>19</v>
      </c>
      <c r="AG122" t="n">
        <v>19</v>
      </c>
      <c r="AH122" t="n">
        <v>9</v>
      </c>
      <c r="AI122" t="n">
        <v>9</v>
      </c>
      <c r="AJ122" t="n">
        <v>5</v>
      </c>
      <c r="AK122" t="n">
        <v>5</v>
      </c>
      <c r="AL122" t="n">
        <v>11</v>
      </c>
      <c r="AM122" t="n">
        <v>11</v>
      </c>
      <c r="AN122" t="n">
        <v>2</v>
      </c>
      <c r="AO122" t="n">
        <v>2</v>
      </c>
      <c r="AP122" t="n">
        <v>0</v>
      </c>
      <c r="AQ122" t="n">
        <v>0</v>
      </c>
      <c r="AR122" t="inlineStr">
        <is>
          <t>No</t>
        </is>
      </c>
      <c r="AS122" t="inlineStr">
        <is>
          <t>No</t>
        </is>
      </c>
      <c r="AU122">
        <f>HYPERLINK("https://creighton-primo.hosted.exlibrisgroup.com/primo-explore/search?tab=default_tab&amp;search_scope=EVERYTHING&amp;vid=01CRU&amp;lang=en_US&amp;offset=0&amp;query=any,contains,991002001019702656","Catalog Record")</f>
        <v/>
      </c>
      <c r="AV122">
        <f>HYPERLINK("http://www.worldcat.org/oclc/25412076","WorldCat Record")</f>
        <v/>
      </c>
      <c r="AW122" t="inlineStr">
        <is>
          <t>784455330:eng</t>
        </is>
      </c>
      <c r="AX122" t="inlineStr">
        <is>
          <t>25412076</t>
        </is>
      </c>
      <c r="AY122" t="inlineStr">
        <is>
          <t>991002001019702656</t>
        </is>
      </c>
      <c r="AZ122" t="inlineStr">
        <is>
          <t>991002001019702656</t>
        </is>
      </c>
      <c r="BA122" t="inlineStr">
        <is>
          <t>2256983590002656</t>
        </is>
      </c>
      <c r="BB122" t="inlineStr">
        <is>
          <t>BOOK</t>
        </is>
      </c>
      <c r="BD122" t="inlineStr">
        <is>
          <t>9780691032047</t>
        </is>
      </c>
      <c r="BE122" t="inlineStr">
        <is>
          <t>32285001767648</t>
        </is>
      </c>
      <c r="BF122" t="inlineStr">
        <is>
          <t>893715933</t>
        </is>
      </c>
    </row>
    <row r="123">
      <c r="B123" t="inlineStr">
        <is>
          <t>CURAL</t>
        </is>
      </c>
      <c r="C123" t="inlineStr">
        <is>
          <t>SHELVES</t>
        </is>
      </c>
      <c r="D123" t="inlineStr">
        <is>
          <t>CB361 .M42 1969, v.5</t>
        </is>
      </c>
      <c r="E123" t="inlineStr">
        <is>
          <t>0                      CB 0361000M  42          1969                                        v.5</t>
        </is>
      </c>
      <c r="F123" t="inlineStr">
        <is>
          <t>Medieval and Renaissance studies : proceedings of the Southeastern Institute of Medieval and Renaissance Studies, Summer, 1969.</t>
        </is>
      </c>
      <c r="G123" t="inlineStr">
        <is>
          <t>V.5</t>
        </is>
      </c>
      <c r="H123" t="inlineStr">
        <is>
          <t>No</t>
        </is>
      </c>
      <c r="I123" t="inlineStr">
        <is>
          <t>1</t>
        </is>
      </c>
      <c r="J123" t="inlineStr">
        <is>
          <t>No</t>
        </is>
      </c>
      <c r="K123" t="inlineStr">
        <is>
          <t>No</t>
        </is>
      </c>
      <c r="L123" t="inlineStr">
        <is>
          <t>0</t>
        </is>
      </c>
      <c r="M123" t="inlineStr">
        <is>
          <t>Southeastern Institute of Medieval and Renaissance Studies (5th : 1969 : University of North Carolina)</t>
        </is>
      </c>
      <c r="N123" t="inlineStr">
        <is>
          <t>Chapel Hill : University of North Carolina Press, [c1971]</t>
        </is>
      </c>
      <c r="O123" t="inlineStr">
        <is>
          <t>1971</t>
        </is>
      </c>
      <c r="Q123" t="inlineStr">
        <is>
          <t>eng</t>
        </is>
      </c>
      <c r="R123" t="inlineStr">
        <is>
          <t xml:space="preserve">xx </t>
        </is>
      </c>
      <c r="T123" t="inlineStr">
        <is>
          <t xml:space="preserve">CB </t>
        </is>
      </c>
      <c r="U123" t="n">
        <v>3</v>
      </c>
      <c r="V123" t="n">
        <v>3</v>
      </c>
      <c r="W123" t="inlineStr">
        <is>
          <t>2006-04-09</t>
        </is>
      </c>
      <c r="X123" t="inlineStr">
        <is>
          <t>2006-04-09</t>
        </is>
      </c>
      <c r="Y123" t="inlineStr">
        <is>
          <t>1994-10-03</t>
        </is>
      </c>
      <c r="Z123" t="inlineStr">
        <is>
          <t>1994-10-03</t>
        </is>
      </c>
      <c r="AA123" t="n">
        <v>26</v>
      </c>
      <c r="AB123" t="n">
        <v>12</v>
      </c>
      <c r="AC123" t="n">
        <v>13</v>
      </c>
      <c r="AD123" t="n">
        <v>1</v>
      </c>
      <c r="AE123" t="n">
        <v>1</v>
      </c>
      <c r="AF123" t="n">
        <v>1</v>
      </c>
      <c r="AG123" t="n">
        <v>1</v>
      </c>
      <c r="AH123" t="n">
        <v>0</v>
      </c>
      <c r="AI123" t="n">
        <v>0</v>
      </c>
      <c r="AJ123" t="n">
        <v>1</v>
      </c>
      <c r="AK123" t="n">
        <v>1</v>
      </c>
      <c r="AL123" t="n">
        <v>0</v>
      </c>
      <c r="AM123" t="n">
        <v>0</v>
      </c>
      <c r="AN123" t="n">
        <v>0</v>
      </c>
      <c r="AO123" t="n">
        <v>0</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HYPERLINK("https://creighton-primo.hosted.exlibrisgroup.com/primo-explore/search?tab=default_tab&amp;search_scope=EVERYTHING&amp;vid=01CRU&amp;lang=en_US&amp;offset=0&amp;query=any,contains,991002982869702656","Catalog Record")</f>
        <v/>
      </c>
      <c r="AV123">
        <f>HYPERLINK("http://www.worldcat.org/oclc/555834","WorldCat Record")</f>
        <v/>
      </c>
      <c r="AW123" t="inlineStr">
        <is>
          <t>4918285133:eng</t>
        </is>
      </c>
      <c r="AX123" t="inlineStr">
        <is>
          <t>555834</t>
        </is>
      </c>
      <c r="AY123" t="inlineStr">
        <is>
          <t>991002982869702656</t>
        </is>
      </c>
      <c r="AZ123" t="inlineStr">
        <is>
          <t>991002982869702656</t>
        </is>
      </c>
      <c r="BA123" t="inlineStr">
        <is>
          <t>2260461740002656</t>
        </is>
      </c>
      <c r="BB123" t="inlineStr">
        <is>
          <t>BOOK</t>
        </is>
      </c>
      <c r="BE123" t="inlineStr">
        <is>
          <t>32285001952299</t>
        </is>
      </c>
      <c r="BF123" t="inlineStr">
        <is>
          <t>893257940</t>
        </is>
      </c>
    </row>
    <row r="124">
      <c r="B124" t="inlineStr">
        <is>
          <t>CURAL</t>
        </is>
      </c>
      <c r="C124" t="inlineStr">
        <is>
          <t>SHELVES</t>
        </is>
      </c>
      <c r="D124" t="inlineStr">
        <is>
          <t>CB361 .M42 1978, v.9</t>
        </is>
      </c>
      <c r="E124" t="inlineStr">
        <is>
          <t>0                      CB 0361000M  42          1978                                        v.9</t>
        </is>
      </c>
      <c r="F124" t="inlineStr">
        <is>
          <t>Proceedings of the Southeastern Institute of Medieval and Renaissance Studies, summer, 1978 / edited by Frank Tirro.</t>
        </is>
      </c>
      <c r="G124" t="inlineStr">
        <is>
          <t>V.9</t>
        </is>
      </c>
      <c r="H124" t="inlineStr">
        <is>
          <t>No</t>
        </is>
      </c>
      <c r="I124" t="inlineStr">
        <is>
          <t>1</t>
        </is>
      </c>
      <c r="J124" t="inlineStr">
        <is>
          <t>No</t>
        </is>
      </c>
      <c r="K124" t="inlineStr">
        <is>
          <t>No</t>
        </is>
      </c>
      <c r="L124" t="inlineStr">
        <is>
          <t>0</t>
        </is>
      </c>
      <c r="M124" t="inlineStr">
        <is>
          <t>Southeastern Institute of Medieval and Renaissance Studies (9th : 1978 : Duke University)</t>
        </is>
      </c>
      <c r="N124" t="inlineStr">
        <is>
          <t>Durham, N.C. : Duke University Press, 1982.</t>
        </is>
      </c>
      <c r="O124" t="inlineStr">
        <is>
          <t>1982</t>
        </is>
      </c>
      <c r="Q124" t="inlineStr">
        <is>
          <t>eng</t>
        </is>
      </c>
      <c r="R124" t="inlineStr">
        <is>
          <t>ncu</t>
        </is>
      </c>
      <c r="T124" t="inlineStr">
        <is>
          <t xml:space="preserve">CB </t>
        </is>
      </c>
      <c r="U124" t="n">
        <v>4</v>
      </c>
      <c r="V124" t="n">
        <v>4</v>
      </c>
      <c r="W124" t="inlineStr">
        <is>
          <t>1996-10-29</t>
        </is>
      </c>
      <c r="X124" t="inlineStr">
        <is>
          <t>1996-10-29</t>
        </is>
      </c>
      <c r="Y124" t="inlineStr">
        <is>
          <t>1994-10-03</t>
        </is>
      </c>
      <c r="Z124" t="inlineStr">
        <is>
          <t>1994-10-03</t>
        </is>
      </c>
      <c r="AA124" t="n">
        <v>36</v>
      </c>
      <c r="AB124" t="n">
        <v>26</v>
      </c>
      <c r="AC124" t="n">
        <v>26</v>
      </c>
      <c r="AD124" t="n">
        <v>1</v>
      </c>
      <c r="AE124" t="n">
        <v>1</v>
      </c>
      <c r="AF124" t="n">
        <v>1</v>
      </c>
      <c r="AG124" t="n">
        <v>1</v>
      </c>
      <c r="AH124" t="n">
        <v>0</v>
      </c>
      <c r="AI124" t="n">
        <v>0</v>
      </c>
      <c r="AJ124" t="n">
        <v>0</v>
      </c>
      <c r="AK124" t="n">
        <v>0</v>
      </c>
      <c r="AL124" t="n">
        <v>1</v>
      </c>
      <c r="AM124" t="n">
        <v>1</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HYPERLINK("https://creighton-primo.hosted.exlibrisgroup.com/primo-explore/search?tab=default_tab&amp;search_scope=EVERYTHING&amp;vid=01CRU&amp;lang=en_US&amp;offset=0&amp;query=any,contains,991000268329702656","Catalog Record")</f>
        <v/>
      </c>
      <c r="AV124">
        <f>HYPERLINK("http://www.worldcat.org/oclc/9850722","WorldCat Record")</f>
        <v/>
      </c>
      <c r="AW124" t="inlineStr">
        <is>
          <t>3902576130:eng</t>
        </is>
      </c>
      <c r="AX124" t="inlineStr">
        <is>
          <t>9850722</t>
        </is>
      </c>
      <c r="AY124" t="inlineStr">
        <is>
          <t>991000268329702656</t>
        </is>
      </c>
      <c r="AZ124" t="inlineStr">
        <is>
          <t>991000268329702656</t>
        </is>
      </c>
      <c r="BA124" t="inlineStr">
        <is>
          <t>2263310900002656</t>
        </is>
      </c>
      <c r="BB124" t="inlineStr">
        <is>
          <t>BOOK</t>
        </is>
      </c>
      <c r="BD124" t="inlineStr">
        <is>
          <t>9780822304579</t>
        </is>
      </c>
      <c r="BE124" t="inlineStr">
        <is>
          <t>32285001952307</t>
        </is>
      </c>
      <c r="BF124" t="inlineStr">
        <is>
          <t>893502375</t>
        </is>
      </c>
    </row>
    <row r="125">
      <c r="B125" t="inlineStr">
        <is>
          <t>CURAL</t>
        </is>
      </c>
      <c r="C125" t="inlineStr">
        <is>
          <t>SHELVES</t>
        </is>
      </c>
      <c r="D125" t="inlineStr">
        <is>
          <t>CB361 .N388 2008</t>
        </is>
      </c>
      <c r="E125" t="inlineStr">
        <is>
          <t>0                      CB 0361000N  388         2008</t>
        </is>
      </c>
      <c r="F125" t="inlineStr">
        <is>
          <t>New technologies and Renaissance studies / edited by William R. Bowen, Raymond G. Siemens.</t>
        </is>
      </c>
      <c r="H125" t="inlineStr">
        <is>
          <t>No</t>
        </is>
      </c>
      <c r="I125" t="inlineStr">
        <is>
          <t>1</t>
        </is>
      </c>
      <c r="J125" t="inlineStr">
        <is>
          <t>No</t>
        </is>
      </c>
      <c r="K125" t="inlineStr">
        <is>
          <t>No</t>
        </is>
      </c>
      <c r="L125" t="inlineStr">
        <is>
          <t>0</t>
        </is>
      </c>
      <c r="N125" t="inlineStr">
        <is>
          <t>Tempe, Ariz. : Iter : In collaboration with ACMRS (Arizona Center for Medieval and Renaissance Studies), 2008.</t>
        </is>
      </c>
      <c r="O125" t="inlineStr">
        <is>
          <t>2008</t>
        </is>
      </c>
      <c r="Q125" t="inlineStr">
        <is>
          <t>eng</t>
        </is>
      </c>
      <c r="R125" t="inlineStr">
        <is>
          <t>azu</t>
        </is>
      </c>
      <c r="S125" t="inlineStr">
        <is>
          <t>Medieval and Renaissance texts and studies ; v. 324. New technologies in medieval and Renaissance studies ; v. 1</t>
        </is>
      </c>
      <c r="T125" t="inlineStr">
        <is>
          <t xml:space="preserve">CB </t>
        </is>
      </c>
      <c r="U125" t="n">
        <v>1</v>
      </c>
      <c r="V125" t="n">
        <v>1</v>
      </c>
      <c r="W125" t="inlineStr">
        <is>
          <t>2010-04-28</t>
        </is>
      </c>
      <c r="X125" t="inlineStr">
        <is>
          <t>2010-04-28</t>
        </is>
      </c>
      <c r="Y125" t="inlineStr">
        <is>
          <t>2010-04-28</t>
        </is>
      </c>
      <c r="Z125" t="inlineStr">
        <is>
          <t>2010-04-28</t>
        </is>
      </c>
      <c r="AA125" t="n">
        <v>113</v>
      </c>
      <c r="AB125" t="n">
        <v>84</v>
      </c>
      <c r="AC125" t="n">
        <v>87</v>
      </c>
      <c r="AD125" t="n">
        <v>2</v>
      </c>
      <c r="AE125" t="n">
        <v>2</v>
      </c>
      <c r="AF125" t="n">
        <v>6</v>
      </c>
      <c r="AG125" t="n">
        <v>6</v>
      </c>
      <c r="AH125" t="n">
        <v>0</v>
      </c>
      <c r="AI125" t="n">
        <v>0</v>
      </c>
      <c r="AJ125" t="n">
        <v>3</v>
      </c>
      <c r="AK125" t="n">
        <v>3</v>
      </c>
      <c r="AL125" t="n">
        <v>4</v>
      </c>
      <c r="AM125" t="n">
        <v>4</v>
      </c>
      <c r="AN125" t="n">
        <v>1</v>
      </c>
      <c r="AO125" t="n">
        <v>1</v>
      </c>
      <c r="AP125" t="n">
        <v>0</v>
      </c>
      <c r="AQ125" t="n">
        <v>0</v>
      </c>
      <c r="AR125" t="inlineStr">
        <is>
          <t>No</t>
        </is>
      </c>
      <c r="AS125" t="inlineStr">
        <is>
          <t>No</t>
        </is>
      </c>
      <c r="AU125">
        <f>HYPERLINK("https://creighton-primo.hosted.exlibrisgroup.com/primo-explore/search?tab=default_tab&amp;search_scope=EVERYTHING&amp;vid=01CRU&amp;lang=en_US&amp;offset=0&amp;query=any,contains,991005386469702656","Catalog Record")</f>
        <v/>
      </c>
      <c r="AV125">
        <f>HYPERLINK("http://www.worldcat.org/oclc/265734006","WorldCat Record")</f>
        <v/>
      </c>
      <c r="AW125" t="inlineStr">
        <is>
          <t>378392000:eng</t>
        </is>
      </c>
      <c r="AX125" t="inlineStr">
        <is>
          <t>265734006</t>
        </is>
      </c>
      <c r="AY125" t="inlineStr">
        <is>
          <t>991005386469702656</t>
        </is>
      </c>
      <c r="AZ125" t="inlineStr">
        <is>
          <t>991005386469702656</t>
        </is>
      </c>
      <c r="BA125" t="inlineStr">
        <is>
          <t>2270073560002656</t>
        </is>
      </c>
      <c r="BB125" t="inlineStr">
        <is>
          <t>BOOK</t>
        </is>
      </c>
      <c r="BD125" t="inlineStr">
        <is>
          <t>9780866983693</t>
        </is>
      </c>
      <c r="BE125" t="inlineStr">
        <is>
          <t>32285005568653</t>
        </is>
      </c>
      <c r="BF125" t="inlineStr">
        <is>
          <t>893533751</t>
        </is>
      </c>
    </row>
    <row r="126">
      <c r="B126" t="inlineStr">
        <is>
          <t>CURAL</t>
        </is>
      </c>
      <c r="C126" t="inlineStr">
        <is>
          <t>SHELVES</t>
        </is>
      </c>
      <c r="D126" t="inlineStr">
        <is>
          <t>CB361 .R28</t>
        </is>
      </c>
      <c r="E126" t="inlineStr">
        <is>
          <t>0                      CB 0361000R  28</t>
        </is>
      </c>
      <c r="F126" t="inlineStr">
        <is>
          <t>The Renaissance in perspective.</t>
        </is>
      </c>
      <c r="H126" t="inlineStr">
        <is>
          <t>No</t>
        </is>
      </c>
      <c r="I126" t="inlineStr">
        <is>
          <t>1</t>
        </is>
      </c>
      <c r="J126" t="inlineStr">
        <is>
          <t>No</t>
        </is>
      </c>
      <c r="K126" t="inlineStr">
        <is>
          <t>No</t>
        </is>
      </c>
      <c r="L126" t="inlineStr">
        <is>
          <t>0</t>
        </is>
      </c>
      <c r="M126" t="inlineStr">
        <is>
          <t>Ralph, Philip Lee, 1905-</t>
        </is>
      </c>
      <c r="N126" t="inlineStr">
        <is>
          <t>New York, St. Martin's Press [1973]</t>
        </is>
      </c>
      <c r="O126" t="inlineStr">
        <is>
          <t>1973</t>
        </is>
      </c>
      <c r="Q126" t="inlineStr">
        <is>
          <t>eng</t>
        </is>
      </c>
      <c r="R126" t="inlineStr">
        <is>
          <t>nyu</t>
        </is>
      </c>
      <c r="T126" t="inlineStr">
        <is>
          <t xml:space="preserve">CB </t>
        </is>
      </c>
      <c r="U126" t="n">
        <v>9</v>
      </c>
      <c r="V126" t="n">
        <v>9</v>
      </c>
      <c r="W126" t="inlineStr">
        <is>
          <t>1999-04-16</t>
        </is>
      </c>
      <c r="X126" t="inlineStr">
        <is>
          <t>1999-04-16</t>
        </is>
      </c>
      <c r="Y126" t="inlineStr">
        <is>
          <t>1996-08-19</t>
        </is>
      </c>
      <c r="Z126" t="inlineStr">
        <is>
          <t>1996-08-19</t>
        </is>
      </c>
      <c r="AA126" t="n">
        <v>505</v>
      </c>
      <c r="AB126" t="n">
        <v>443</v>
      </c>
      <c r="AC126" t="n">
        <v>469</v>
      </c>
      <c r="AD126" t="n">
        <v>5</v>
      </c>
      <c r="AE126" t="n">
        <v>5</v>
      </c>
      <c r="AF126" t="n">
        <v>21</v>
      </c>
      <c r="AG126" t="n">
        <v>23</v>
      </c>
      <c r="AH126" t="n">
        <v>6</v>
      </c>
      <c r="AI126" t="n">
        <v>7</v>
      </c>
      <c r="AJ126" t="n">
        <v>3</v>
      </c>
      <c r="AK126" t="n">
        <v>4</v>
      </c>
      <c r="AL126" t="n">
        <v>11</v>
      </c>
      <c r="AM126" t="n">
        <v>12</v>
      </c>
      <c r="AN126" t="n">
        <v>4</v>
      </c>
      <c r="AO126" t="n">
        <v>4</v>
      </c>
      <c r="AP126" t="n">
        <v>0</v>
      </c>
      <c r="AQ126" t="n">
        <v>0</v>
      </c>
      <c r="AR126" t="inlineStr">
        <is>
          <t>No</t>
        </is>
      </c>
      <c r="AS126" t="inlineStr">
        <is>
          <t>No</t>
        </is>
      </c>
      <c r="AU126">
        <f>HYPERLINK("https://creighton-primo.hosted.exlibrisgroup.com/primo-explore/search?tab=default_tab&amp;search_scope=EVERYTHING&amp;vid=01CRU&amp;lang=en_US&amp;offset=0&amp;query=any,contains,991003209659702656","Catalog Record")</f>
        <v/>
      </c>
      <c r="AV126">
        <f>HYPERLINK("http://www.worldcat.org/oclc/735827","WorldCat Record")</f>
        <v/>
      </c>
      <c r="AW126" t="inlineStr">
        <is>
          <t>1778050:eng</t>
        </is>
      </c>
      <c r="AX126" t="inlineStr">
        <is>
          <t>735827</t>
        </is>
      </c>
      <c r="AY126" t="inlineStr">
        <is>
          <t>991003209659702656</t>
        </is>
      </c>
      <c r="AZ126" t="inlineStr">
        <is>
          <t>991003209659702656</t>
        </is>
      </c>
      <c r="BA126" t="inlineStr">
        <is>
          <t>2257707090002656</t>
        </is>
      </c>
      <c r="BB126" t="inlineStr">
        <is>
          <t>BOOK</t>
        </is>
      </c>
      <c r="BE126" t="inlineStr">
        <is>
          <t>32285002275831</t>
        </is>
      </c>
      <c r="BF126" t="inlineStr">
        <is>
          <t>893598372</t>
        </is>
      </c>
    </row>
    <row r="127">
      <c r="B127" t="inlineStr">
        <is>
          <t>CURAL</t>
        </is>
      </c>
      <c r="C127" t="inlineStr">
        <is>
          <t>SHELVES</t>
        </is>
      </c>
      <c r="D127" t="inlineStr">
        <is>
          <t>CB361 .R39</t>
        </is>
      </c>
      <c r="E127" t="inlineStr">
        <is>
          <t>0                      CB 0361000R  39</t>
        </is>
      </c>
      <c r="F127" t="inlineStr">
        <is>
          <t>Renaissance letters : revelations of a world reborn / edited with introd., commentary, and translation by Robert J. Clements and Lorna Levant.</t>
        </is>
      </c>
      <c r="H127" t="inlineStr">
        <is>
          <t>No</t>
        </is>
      </c>
      <c r="I127" t="inlineStr">
        <is>
          <t>1</t>
        </is>
      </c>
      <c r="J127" t="inlineStr">
        <is>
          <t>No</t>
        </is>
      </c>
      <c r="K127" t="inlineStr">
        <is>
          <t>No</t>
        </is>
      </c>
      <c r="L127" t="inlineStr">
        <is>
          <t>0</t>
        </is>
      </c>
      <c r="N127" t="inlineStr">
        <is>
          <t>[New York] : New York University Press, c1976.</t>
        </is>
      </c>
      <c r="O127" t="inlineStr">
        <is>
          <t>1976</t>
        </is>
      </c>
      <c r="Q127" t="inlineStr">
        <is>
          <t>eng</t>
        </is>
      </c>
      <c r="R127" t="inlineStr">
        <is>
          <t>nyu</t>
        </is>
      </c>
      <c r="T127" t="inlineStr">
        <is>
          <t xml:space="preserve">CB </t>
        </is>
      </c>
      <c r="U127" t="n">
        <v>5</v>
      </c>
      <c r="V127" t="n">
        <v>5</v>
      </c>
      <c r="W127" t="inlineStr">
        <is>
          <t>2009-03-30</t>
        </is>
      </c>
      <c r="X127" t="inlineStr">
        <is>
          <t>2009-03-30</t>
        </is>
      </c>
      <c r="Y127" t="inlineStr">
        <is>
          <t>1995-03-02</t>
        </is>
      </c>
      <c r="Z127" t="inlineStr">
        <is>
          <t>1995-03-02</t>
        </is>
      </c>
      <c r="AA127" t="n">
        <v>564</v>
      </c>
      <c r="AB127" t="n">
        <v>488</v>
      </c>
      <c r="AC127" t="n">
        <v>488</v>
      </c>
      <c r="AD127" t="n">
        <v>4</v>
      </c>
      <c r="AE127" t="n">
        <v>4</v>
      </c>
      <c r="AF127" t="n">
        <v>21</v>
      </c>
      <c r="AG127" t="n">
        <v>21</v>
      </c>
      <c r="AH127" t="n">
        <v>7</v>
      </c>
      <c r="AI127" t="n">
        <v>7</v>
      </c>
      <c r="AJ127" t="n">
        <v>7</v>
      </c>
      <c r="AK127" t="n">
        <v>7</v>
      </c>
      <c r="AL127" t="n">
        <v>11</v>
      </c>
      <c r="AM127" t="n">
        <v>11</v>
      </c>
      <c r="AN127" t="n">
        <v>3</v>
      </c>
      <c r="AO127" t="n">
        <v>3</v>
      </c>
      <c r="AP127" t="n">
        <v>0</v>
      </c>
      <c r="AQ127" t="n">
        <v>0</v>
      </c>
      <c r="AR127" t="inlineStr">
        <is>
          <t>No</t>
        </is>
      </c>
      <c r="AS127" t="inlineStr">
        <is>
          <t>No</t>
        </is>
      </c>
      <c r="AU127">
        <f>HYPERLINK("https://creighton-primo.hosted.exlibrisgroup.com/primo-explore/search?tab=default_tab&amp;search_scope=EVERYTHING&amp;vid=01CRU&amp;lang=en_US&amp;offset=0&amp;query=any,contains,991003865269702656","Catalog Record")</f>
        <v/>
      </c>
      <c r="AV127">
        <f>HYPERLINK("http://www.worldcat.org/oclc/1676215","WorldCat Record")</f>
        <v/>
      </c>
      <c r="AW127" t="inlineStr">
        <is>
          <t>890821274:eng</t>
        </is>
      </c>
      <c r="AX127" t="inlineStr">
        <is>
          <t>1676215</t>
        </is>
      </c>
      <c r="AY127" t="inlineStr">
        <is>
          <t>991003865269702656</t>
        </is>
      </c>
      <c r="AZ127" t="inlineStr">
        <is>
          <t>991003865269702656</t>
        </is>
      </c>
      <c r="BA127" t="inlineStr">
        <is>
          <t>2267604500002656</t>
        </is>
      </c>
      <c r="BB127" t="inlineStr">
        <is>
          <t>BOOK</t>
        </is>
      </c>
      <c r="BD127" t="inlineStr">
        <is>
          <t>9780814713624</t>
        </is>
      </c>
      <c r="BE127" t="inlineStr">
        <is>
          <t>32285002011145</t>
        </is>
      </c>
      <c r="BF127" t="inlineStr">
        <is>
          <t>893699512</t>
        </is>
      </c>
    </row>
    <row r="128">
      <c r="B128" t="inlineStr">
        <is>
          <t>CURAL</t>
        </is>
      </c>
      <c r="C128" t="inlineStr">
        <is>
          <t>SHELVES</t>
        </is>
      </c>
      <c r="D128" t="inlineStr">
        <is>
          <t>CB367 .C57 1991</t>
        </is>
      </c>
      <c r="E128" t="inlineStr">
        <is>
          <t>0                      CB 0367000C  57          1991</t>
        </is>
      </c>
      <c r="F128" t="inlineStr">
        <is>
          <t>Circa 1492 : art in the age of exploration / edited by Jay A. Levenson.</t>
        </is>
      </c>
      <c r="H128" t="inlineStr">
        <is>
          <t>No</t>
        </is>
      </c>
      <c r="I128" t="inlineStr">
        <is>
          <t>1</t>
        </is>
      </c>
      <c r="J128" t="inlineStr">
        <is>
          <t>No</t>
        </is>
      </c>
      <c r="K128" t="inlineStr">
        <is>
          <t>No</t>
        </is>
      </c>
      <c r="L128" t="inlineStr">
        <is>
          <t>0</t>
        </is>
      </c>
      <c r="N128" t="inlineStr">
        <is>
          <t>New Haven : Yale University Press ; Washington : National Gallery of Art, 1991.</t>
        </is>
      </c>
      <c r="O128" t="inlineStr">
        <is>
          <t>1991</t>
        </is>
      </c>
      <c r="Q128" t="inlineStr">
        <is>
          <t>eng</t>
        </is>
      </c>
      <c r="R128" t="inlineStr">
        <is>
          <t>ctu</t>
        </is>
      </c>
      <c r="T128" t="inlineStr">
        <is>
          <t xml:space="preserve">CB </t>
        </is>
      </c>
      <c r="U128" t="n">
        <v>5</v>
      </c>
      <c r="V128" t="n">
        <v>5</v>
      </c>
      <c r="W128" t="inlineStr">
        <is>
          <t>1993-11-16</t>
        </is>
      </c>
      <c r="X128" t="inlineStr">
        <is>
          <t>1993-11-16</t>
        </is>
      </c>
      <c r="Y128" t="inlineStr">
        <is>
          <t>1991-12-30</t>
        </is>
      </c>
      <c r="Z128" t="inlineStr">
        <is>
          <t>1991-12-30</t>
        </is>
      </c>
      <c r="AA128" t="n">
        <v>1410</v>
      </c>
      <c r="AB128" t="n">
        <v>1225</v>
      </c>
      <c r="AC128" t="n">
        <v>1234</v>
      </c>
      <c r="AD128" t="n">
        <v>8</v>
      </c>
      <c r="AE128" t="n">
        <v>8</v>
      </c>
      <c r="AF128" t="n">
        <v>45</v>
      </c>
      <c r="AG128" t="n">
        <v>45</v>
      </c>
      <c r="AH128" t="n">
        <v>20</v>
      </c>
      <c r="AI128" t="n">
        <v>20</v>
      </c>
      <c r="AJ128" t="n">
        <v>8</v>
      </c>
      <c r="AK128" t="n">
        <v>8</v>
      </c>
      <c r="AL128" t="n">
        <v>18</v>
      </c>
      <c r="AM128" t="n">
        <v>18</v>
      </c>
      <c r="AN128" t="n">
        <v>7</v>
      </c>
      <c r="AO128" t="n">
        <v>7</v>
      </c>
      <c r="AP128" t="n">
        <v>0</v>
      </c>
      <c r="AQ128" t="n">
        <v>0</v>
      </c>
      <c r="AR128" t="inlineStr">
        <is>
          <t>No</t>
        </is>
      </c>
      <c r="AS128" t="inlineStr">
        <is>
          <t>No</t>
        </is>
      </c>
      <c r="AU128">
        <f>HYPERLINK("https://creighton-primo.hosted.exlibrisgroup.com/primo-explore/search?tab=default_tab&amp;search_scope=EVERYTHING&amp;vid=01CRU&amp;lang=en_US&amp;offset=0&amp;query=any,contains,991001908919702656","Catalog Record")</f>
        <v/>
      </c>
      <c r="AV128">
        <f>HYPERLINK("http://www.worldcat.org/oclc/24107945","WorldCat Record")</f>
        <v/>
      </c>
      <c r="AW128" t="inlineStr">
        <is>
          <t>836737647:eng</t>
        </is>
      </c>
      <c r="AX128" t="inlineStr">
        <is>
          <t>24107945</t>
        </is>
      </c>
      <c r="AY128" t="inlineStr">
        <is>
          <t>991001908919702656</t>
        </is>
      </c>
      <c r="AZ128" t="inlineStr">
        <is>
          <t>991001908919702656</t>
        </is>
      </c>
      <c r="BA128" t="inlineStr">
        <is>
          <t>2255587700002656</t>
        </is>
      </c>
      <c r="BB128" t="inlineStr">
        <is>
          <t>BOOK</t>
        </is>
      </c>
      <c r="BD128" t="inlineStr">
        <is>
          <t>9780300052176</t>
        </is>
      </c>
      <c r="BE128" t="inlineStr">
        <is>
          <t>32285000874676</t>
        </is>
      </c>
      <c r="BF128" t="inlineStr">
        <is>
          <t>893866571</t>
        </is>
      </c>
    </row>
    <row r="129">
      <c r="B129" t="inlineStr">
        <is>
          <t>CURAL</t>
        </is>
      </c>
      <c r="C129" t="inlineStr">
        <is>
          <t>SHELVES</t>
        </is>
      </c>
      <c r="D129" t="inlineStr">
        <is>
          <t>CB369 .T3</t>
        </is>
      </c>
      <c r="E129" t="inlineStr">
        <is>
          <t>0                      CB 0369000T  3</t>
        </is>
      </c>
      <c r="F129" t="inlineStr">
        <is>
          <t>Thought and expression in the sixteenth century, by Henry Osborn Taylor.</t>
        </is>
      </c>
      <c r="G129" t="inlineStr">
        <is>
          <t>V.2</t>
        </is>
      </c>
      <c r="H129" t="inlineStr">
        <is>
          <t>Yes</t>
        </is>
      </c>
      <c r="I129" t="inlineStr">
        <is>
          <t>1</t>
        </is>
      </c>
      <c r="J129" t="inlineStr">
        <is>
          <t>No</t>
        </is>
      </c>
      <c r="K129" t="inlineStr">
        <is>
          <t>No</t>
        </is>
      </c>
      <c r="L129" t="inlineStr">
        <is>
          <t>0</t>
        </is>
      </c>
      <c r="M129" t="inlineStr">
        <is>
          <t>Taylor, Henry Osborn, 1856-1941.</t>
        </is>
      </c>
      <c r="N129" t="inlineStr">
        <is>
          <t>New York, Macmillan, 1920.</t>
        </is>
      </c>
      <c r="O129" t="inlineStr">
        <is>
          <t>1920</t>
        </is>
      </c>
      <c r="Q129" t="inlineStr">
        <is>
          <t>eng</t>
        </is>
      </c>
      <c r="R129" t="inlineStr">
        <is>
          <t xml:space="preserve">xx </t>
        </is>
      </c>
      <c r="T129" t="inlineStr">
        <is>
          <t xml:space="preserve">CB </t>
        </is>
      </c>
      <c r="U129" t="n">
        <v>0</v>
      </c>
      <c r="V129" t="n">
        <v>3</v>
      </c>
      <c r="X129" t="inlineStr">
        <is>
          <t>1999-04-07</t>
        </is>
      </c>
      <c r="Y129" t="inlineStr">
        <is>
          <t>1996-08-19</t>
        </is>
      </c>
      <c r="Z129" t="inlineStr">
        <is>
          <t>1996-08-19</t>
        </is>
      </c>
      <c r="AA129" t="n">
        <v>440</v>
      </c>
      <c r="AB129" t="n">
        <v>375</v>
      </c>
      <c r="AC129" t="n">
        <v>579</v>
      </c>
      <c r="AD129" t="n">
        <v>2</v>
      </c>
      <c r="AE129" t="n">
        <v>3</v>
      </c>
      <c r="AF129" t="n">
        <v>13</v>
      </c>
      <c r="AG129" t="n">
        <v>25</v>
      </c>
      <c r="AH129" t="n">
        <v>3</v>
      </c>
      <c r="AI129" t="n">
        <v>7</v>
      </c>
      <c r="AJ129" t="n">
        <v>5</v>
      </c>
      <c r="AK129" t="n">
        <v>7</v>
      </c>
      <c r="AL129" t="n">
        <v>7</v>
      </c>
      <c r="AM129" t="n">
        <v>13</v>
      </c>
      <c r="AN129" t="n">
        <v>1</v>
      </c>
      <c r="AO129" t="n">
        <v>2</v>
      </c>
      <c r="AP129" t="n">
        <v>0</v>
      </c>
      <c r="AQ129" t="n">
        <v>0</v>
      </c>
      <c r="AR129" t="inlineStr">
        <is>
          <t>Yes</t>
        </is>
      </c>
      <c r="AS129" t="inlineStr">
        <is>
          <t>No</t>
        </is>
      </c>
      <c r="AT129">
        <f>HYPERLINK("http://catalog.hathitrust.org/Record/001595578","HathiTrust Record")</f>
        <v/>
      </c>
      <c r="AU129">
        <f>HYPERLINK("https://creighton-primo.hosted.exlibrisgroup.com/primo-explore/search?tab=default_tab&amp;search_scope=EVERYTHING&amp;vid=01CRU&amp;lang=en_US&amp;offset=0&amp;query=any,contains,991003072579702656","Catalog Record")</f>
        <v/>
      </c>
      <c r="AV129">
        <f>HYPERLINK("http://www.worldcat.org/oclc/626770","WorldCat Record")</f>
        <v/>
      </c>
      <c r="AW129" t="inlineStr">
        <is>
          <t>1355463:eng</t>
        </is>
      </c>
      <c r="AX129" t="inlineStr">
        <is>
          <t>626770</t>
        </is>
      </c>
      <c r="AY129" t="inlineStr">
        <is>
          <t>991003072579702656</t>
        </is>
      </c>
      <c r="AZ129" t="inlineStr">
        <is>
          <t>991003072579702656</t>
        </is>
      </c>
      <c r="BA129" t="inlineStr">
        <is>
          <t>2257281940002656</t>
        </is>
      </c>
      <c r="BB129" t="inlineStr">
        <is>
          <t>BOOK</t>
        </is>
      </c>
      <c r="BE129" t="inlineStr">
        <is>
          <t>32285002275906</t>
        </is>
      </c>
      <c r="BF129" t="inlineStr">
        <is>
          <t>893623119</t>
        </is>
      </c>
    </row>
    <row r="130">
      <c r="B130" t="inlineStr">
        <is>
          <t>CURAL</t>
        </is>
      </c>
      <c r="C130" t="inlineStr">
        <is>
          <t>SHELVES</t>
        </is>
      </c>
      <c r="D130" t="inlineStr">
        <is>
          <t>CB369 .T3</t>
        </is>
      </c>
      <c r="E130" t="inlineStr">
        <is>
          <t>0                      CB 0369000T  3</t>
        </is>
      </c>
      <c r="F130" t="inlineStr">
        <is>
          <t>Thought and expression in the sixteenth century, by Henry Osborn Taylor.</t>
        </is>
      </c>
      <c r="G130" t="inlineStr">
        <is>
          <t>V.1</t>
        </is>
      </c>
      <c r="H130" t="inlineStr">
        <is>
          <t>Yes</t>
        </is>
      </c>
      <c r="I130" t="inlineStr">
        <is>
          <t>1</t>
        </is>
      </c>
      <c r="J130" t="inlineStr">
        <is>
          <t>No</t>
        </is>
      </c>
      <c r="K130" t="inlineStr">
        <is>
          <t>No</t>
        </is>
      </c>
      <c r="L130" t="inlineStr">
        <is>
          <t>0</t>
        </is>
      </c>
      <c r="M130" t="inlineStr">
        <is>
          <t>Taylor, Henry Osborn, 1856-1941.</t>
        </is>
      </c>
      <c r="N130" t="inlineStr">
        <is>
          <t>New York, Macmillan, 1920.</t>
        </is>
      </c>
      <c r="O130" t="inlineStr">
        <is>
          <t>1920</t>
        </is>
      </c>
      <c r="Q130" t="inlineStr">
        <is>
          <t>eng</t>
        </is>
      </c>
      <c r="R130" t="inlineStr">
        <is>
          <t xml:space="preserve">xx </t>
        </is>
      </c>
      <c r="T130" t="inlineStr">
        <is>
          <t xml:space="preserve">CB </t>
        </is>
      </c>
      <c r="U130" t="n">
        <v>3</v>
      </c>
      <c r="V130" t="n">
        <v>3</v>
      </c>
      <c r="W130" t="inlineStr">
        <is>
          <t>1999-04-07</t>
        </is>
      </c>
      <c r="X130" t="inlineStr">
        <is>
          <t>1999-04-07</t>
        </is>
      </c>
      <c r="Y130" t="inlineStr">
        <is>
          <t>1996-08-19</t>
        </is>
      </c>
      <c r="Z130" t="inlineStr">
        <is>
          <t>1996-08-19</t>
        </is>
      </c>
      <c r="AA130" t="n">
        <v>440</v>
      </c>
      <c r="AB130" t="n">
        <v>375</v>
      </c>
      <c r="AC130" t="n">
        <v>579</v>
      </c>
      <c r="AD130" t="n">
        <v>2</v>
      </c>
      <c r="AE130" t="n">
        <v>3</v>
      </c>
      <c r="AF130" t="n">
        <v>13</v>
      </c>
      <c r="AG130" t="n">
        <v>25</v>
      </c>
      <c r="AH130" t="n">
        <v>3</v>
      </c>
      <c r="AI130" t="n">
        <v>7</v>
      </c>
      <c r="AJ130" t="n">
        <v>5</v>
      </c>
      <c r="AK130" t="n">
        <v>7</v>
      </c>
      <c r="AL130" t="n">
        <v>7</v>
      </c>
      <c r="AM130" t="n">
        <v>13</v>
      </c>
      <c r="AN130" t="n">
        <v>1</v>
      </c>
      <c r="AO130" t="n">
        <v>2</v>
      </c>
      <c r="AP130" t="n">
        <v>0</v>
      </c>
      <c r="AQ130" t="n">
        <v>0</v>
      </c>
      <c r="AR130" t="inlineStr">
        <is>
          <t>Yes</t>
        </is>
      </c>
      <c r="AS130" t="inlineStr">
        <is>
          <t>No</t>
        </is>
      </c>
      <c r="AT130">
        <f>HYPERLINK("http://catalog.hathitrust.org/Record/001595578","HathiTrust Record")</f>
        <v/>
      </c>
      <c r="AU130">
        <f>HYPERLINK("https://creighton-primo.hosted.exlibrisgroup.com/primo-explore/search?tab=default_tab&amp;search_scope=EVERYTHING&amp;vid=01CRU&amp;lang=en_US&amp;offset=0&amp;query=any,contains,991003072579702656","Catalog Record")</f>
        <v/>
      </c>
      <c r="AV130">
        <f>HYPERLINK("http://www.worldcat.org/oclc/626770","WorldCat Record")</f>
        <v/>
      </c>
      <c r="AW130" t="inlineStr">
        <is>
          <t>1355463:eng</t>
        </is>
      </c>
      <c r="AX130" t="inlineStr">
        <is>
          <t>626770</t>
        </is>
      </c>
      <c r="AY130" t="inlineStr">
        <is>
          <t>991003072579702656</t>
        </is>
      </c>
      <c r="AZ130" t="inlineStr">
        <is>
          <t>991003072579702656</t>
        </is>
      </c>
      <c r="BA130" t="inlineStr">
        <is>
          <t>2257281940002656</t>
        </is>
      </c>
      <c r="BB130" t="inlineStr">
        <is>
          <t>BOOK</t>
        </is>
      </c>
      <c r="BE130" t="inlineStr">
        <is>
          <t>32285002275898</t>
        </is>
      </c>
      <c r="BF130" t="inlineStr">
        <is>
          <t>893592164</t>
        </is>
      </c>
    </row>
    <row r="131">
      <c r="B131" t="inlineStr">
        <is>
          <t>CURAL</t>
        </is>
      </c>
      <c r="C131" t="inlineStr">
        <is>
          <t>SHELVES</t>
        </is>
      </c>
      <c r="D131" t="inlineStr">
        <is>
          <t>CB401 .C6</t>
        </is>
      </c>
      <c r="E131" t="inlineStr">
        <is>
          <t>0                      CB 0401000C  6</t>
        </is>
      </c>
      <c r="F131" t="inlineStr">
        <is>
          <t>The seventeenth century / by G.N. Clark.</t>
        </is>
      </c>
      <c r="H131" t="inlineStr">
        <is>
          <t>No</t>
        </is>
      </c>
      <c r="I131" t="inlineStr">
        <is>
          <t>1</t>
        </is>
      </c>
      <c r="J131" t="inlineStr">
        <is>
          <t>No</t>
        </is>
      </c>
      <c r="K131" t="inlineStr">
        <is>
          <t>No</t>
        </is>
      </c>
      <c r="L131" t="inlineStr">
        <is>
          <t>0</t>
        </is>
      </c>
      <c r="M131" t="inlineStr">
        <is>
          <t>Clark, G. N. (George Norman), Sir, 1890-1979.</t>
        </is>
      </c>
      <c r="N131" t="inlineStr">
        <is>
          <t>Oxford : Clarendon Press, 1929</t>
        </is>
      </c>
      <c r="O131" t="inlineStr">
        <is>
          <t>1929</t>
        </is>
      </c>
      <c r="Q131" t="inlineStr">
        <is>
          <t>eng</t>
        </is>
      </c>
      <c r="R131" t="inlineStr">
        <is>
          <t>enk</t>
        </is>
      </c>
      <c r="T131" t="inlineStr">
        <is>
          <t xml:space="preserve">CB </t>
        </is>
      </c>
      <c r="U131" t="n">
        <v>2</v>
      </c>
      <c r="V131" t="n">
        <v>2</v>
      </c>
      <c r="W131" t="inlineStr">
        <is>
          <t>1996-09-08</t>
        </is>
      </c>
      <c r="X131" t="inlineStr">
        <is>
          <t>1996-09-08</t>
        </is>
      </c>
      <c r="Y131" t="inlineStr">
        <is>
          <t>1996-08-19</t>
        </is>
      </c>
      <c r="Z131" t="inlineStr">
        <is>
          <t>1996-08-19</t>
        </is>
      </c>
      <c r="AA131" t="n">
        <v>376</v>
      </c>
      <c r="AB131" t="n">
        <v>306</v>
      </c>
      <c r="AC131" t="n">
        <v>1246</v>
      </c>
      <c r="AD131" t="n">
        <v>4</v>
      </c>
      <c r="AE131" t="n">
        <v>10</v>
      </c>
      <c r="AF131" t="n">
        <v>16</v>
      </c>
      <c r="AG131" t="n">
        <v>50</v>
      </c>
      <c r="AH131" t="n">
        <v>1</v>
      </c>
      <c r="AI131" t="n">
        <v>21</v>
      </c>
      <c r="AJ131" t="n">
        <v>4</v>
      </c>
      <c r="AK131" t="n">
        <v>9</v>
      </c>
      <c r="AL131" t="n">
        <v>10</v>
      </c>
      <c r="AM131" t="n">
        <v>24</v>
      </c>
      <c r="AN131" t="n">
        <v>3</v>
      </c>
      <c r="AO131" t="n">
        <v>8</v>
      </c>
      <c r="AP131" t="n">
        <v>0</v>
      </c>
      <c r="AQ131" t="n">
        <v>0</v>
      </c>
      <c r="AR131" t="inlineStr">
        <is>
          <t>No</t>
        </is>
      </c>
      <c r="AS131" t="inlineStr">
        <is>
          <t>Yes</t>
        </is>
      </c>
      <c r="AT131">
        <f>HYPERLINK("http://catalog.hathitrust.org/Record/000555142","HathiTrust Record")</f>
        <v/>
      </c>
      <c r="AU131">
        <f>HYPERLINK("https://creighton-primo.hosted.exlibrisgroup.com/primo-explore/search?tab=default_tab&amp;search_scope=EVERYTHING&amp;vid=01CRU&amp;lang=en_US&amp;offset=0&amp;query=any,contains,991000482399702656","Catalog Record")</f>
        <v/>
      </c>
      <c r="AV131">
        <f>HYPERLINK("http://www.worldcat.org/oclc/11056978","WorldCat Record")</f>
        <v/>
      </c>
      <c r="AW131" t="inlineStr">
        <is>
          <t>918124383:eng</t>
        </is>
      </c>
      <c r="AX131" t="inlineStr">
        <is>
          <t>11056978</t>
        </is>
      </c>
      <c r="AY131" t="inlineStr">
        <is>
          <t>991000482399702656</t>
        </is>
      </c>
      <c r="AZ131" t="inlineStr">
        <is>
          <t>991000482399702656</t>
        </is>
      </c>
      <c r="BA131" t="inlineStr">
        <is>
          <t>2261803600002656</t>
        </is>
      </c>
      <c r="BB131" t="inlineStr">
        <is>
          <t>BOOK</t>
        </is>
      </c>
      <c r="BE131" t="inlineStr">
        <is>
          <t>32285002275914</t>
        </is>
      </c>
      <c r="BF131" t="inlineStr">
        <is>
          <t>893225014</t>
        </is>
      </c>
    </row>
    <row r="132">
      <c r="B132" t="inlineStr">
        <is>
          <t>CURAL</t>
        </is>
      </c>
      <c r="C132" t="inlineStr">
        <is>
          <t>SHELVES</t>
        </is>
      </c>
      <c r="D132" t="inlineStr">
        <is>
          <t>CB401 .D6</t>
        </is>
      </c>
      <c r="E132" t="inlineStr">
        <is>
          <t>0                      CB 0401000D  6</t>
        </is>
      </c>
      <c r="F132" t="inlineStr">
        <is>
          <t>History of the Reformation; a conciliatory assessment of opposite views [by] John P. Dolan.</t>
        </is>
      </c>
      <c r="H132" t="inlineStr">
        <is>
          <t>No</t>
        </is>
      </c>
      <c r="I132" t="inlineStr">
        <is>
          <t>1</t>
        </is>
      </c>
      <c r="J132" t="inlineStr">
        <is>
          <t>No</t>
        </is>
      </c>
      <c r="K132" t="inlineStr">
        <is>
          <t>No</t>
        </is>
      </c>
      <c r="L132" t="inlineStr">
        <is>
          <t>0</t>
        </is>
      </c>
      <c r="M132" t="inlineStr">
        <is>
          <t>Dolan, John Patrick.</t>
        </is>
      </c>
      <c r="N132" t="inlineStr">
        <is>
          <t>New York, Desclee Co. [1965]</t>
        </is>
      </c>
      <c r="O132" t="inlineStr">
        <is>
          <t>1965</t>
        </is>
      </c>
      <c r="Q132" t="inlineStr">
        <is>
          <t>eng</t>
        </is>
      </c>
      <c r="R132" t="inlineStr">
        <is>
          <t>nyu</t>
        </is>
      </c>
      <c r="T132" t="inlineStr">
        <is>
          <t xml:space="preserve">CB </t>
        </is>
      </c>
      <c r="U132" t="n">
        <v>4</v>
      </c>
      <c r="V132" t="n">
        <v>4</v>
      </c>
      <c r="W132" t="inlineStr">
        <is>
          <t>2005-09-10</t>
        </is>
      </c>
      <c r="X132" t="inlineStr">
        <is>
          <t>2005-09-10</t>
        </is>
      </c>
      <c r="Y132" t="inlineStr">
        <is>
          <t>1996-08-19</t>
        </is>
      </c>
      <c r="Z132" t="inlineStr">
        <is>
          <t>1996-08-19</t>
        </is>
      </c>
      <c r="AA132" t="n">
        <v>645</v>
      </c>
      <c r="AB132" t="n">
        <v>572</v>
      </c>
      <c r="AC132" t="n">
        <v>645</v>
      </c>
      <c r="AD132" t="n">
        <v>7</v>
      </c>
      <c r="AE132" t="n">
        <v>8</v>
      </c>
      <c r="AF132" t="n">
        <v>47</v>
      </c>
      <c r="AG132" t="n">
        <v>50</v>
      </c>
      <c r="AH132" t="n">
        <v>20</v>
      </c>
      <c r="AI132" t="n">
        <v>22</v>
      </c>
      <c r="AJ132" t="n">
        <v>8</v>
      </c>
      <c r="AK132" t="n">
        <v>8</v>
      </c>
      <c r="AL132" t="n">
        <v>25</v>
      </c>
      <c r="AM132" t="n">
        <v>25</v>
      </c>
      <c r="AN132" t="n">
        <v>5</v>
      </c>
      <c r="AO132" t="n">
        <v>6</v>
      </c>
      <c r="AP132" t="n">
        <v>1</v>
      </c>
      <c r="AQ132" t="n">
        <v>1</v>
      </c>
      <c r="AR132" t="inlineStr">
        <is>
          <t>No</t>
        </is>
      </c>
      <c r="AS132" t="inlineStr">
        <is>
          <t>No</t>
        </is>
      </c>
      <c r="AU132">
        <f>HYPERLINK("https://creighton-primo.hosted.exlibrisgroup.com/primo-explore/search?tab=default_tab&amp;search_scope=EVERYTHING&amp;vid=01CRU&amp;lang=en_US&amp;offset=0&amp;query=any,contains,991003296519702656","Catalog Record")</f>
        <v/>
      </c>
      <c r="AV132">
        <f>HYPERLINK("http://www.worldcat.org/oclc/818947","WorldCat Record")</f>
        <v/>
      </c>
      <c r="AW132" t="inlineStr">
        <is>
          <t>1510360:eng</t>
        </is>
      </c>
      <c r="AX132" t="inlineStr">
        <is>
          <t>818947</t>
        </is>
      </c>
      <c r="AY132" t="inlineStr">
        <is>
          <t>991003296519702656</t>
        </is>
      </c>
      <c r="AZ132" t="inlineStr">
        <is>
          <t>991003296519702656</t>
        </is>
      </c>
      <c r="BA132" t="inlineStr">
        <is>
          <t>2271981930002656</t>
        </is>
      </c>
      <c r="BB132" t="inlineStr">
        <is>
          <t>BOOK</t>
        </is>
      </c>
      <c r="BE132" t="inlineStr">
        <is>
          <t>32285002275930</t>
        </is>
      </c>
      <c r="BF132" t="inlineStr">
        <is>
          <t>893705098</t>
        </is>
      </c>
    </row>
    <row r="133">
      <c r="B133" t="inlineStr">
        <is>
          <t>CURAL</t>
        </is>
      </c>
      <c r="C133" t="inlineStr">
        <is>
          <t>SHELVES</t>
        </is>
      </c>
      <c r="D133" t="inlineStr">
        <is>
          <t>CB401 .H3 1969b</t>
        </is>
      </c>
      <c r="E133" t="inlineStr">
        <is>
          <t>0                      CB 0401000H  3           1969b</t>
        </is>
      </c>
      <c r="F133" t="inlineStr">
        <is>
          <t>Europe in the age of Louis XIV [by] Ragnhild Hatton.</t>
        </is>
      </c>
      <c r="H133" t="inlineStr">
        <is>
          <t>No</t>
        </is>
      </c>
      <c r="I133" t="inlineStr">
        <is>
          <t>1</t>
        </is>
      </c>
      <c r="J133" t="inlineStr">
        <is>
          <t>No</t>
        </is>
      </c>
      <c r="K133" t="inlineStr">
        <is>
          <t>No</t>
        </is>
      </c>
      <c r="L133" t="inlineStr">
        <is>
          <t>0</t>
        </is>
      </c>
      <c r="M133" t="inlineStr">
        <is>
          <t>Hatton, Ragnhild Marie.</t>
        </is>
      </c>
      <c r="N133" t="inlineStr">
        <is>
          <t>[New York] Harcourt, Brace &amp; World [1969]</t>
        </is>
      </c>
      <c r="O133" t="inlineStr">
        <is>
          <t>1969</t>
        </is>
      </c>
      <c r="Q133" t="inlineStr">
        <is>
          <t>eng</t>
        </is>
      </c>
      <c r="R133" t="inlineStr">
        <is>
          <t>nyu</t>
        </is>
      </c>
      <c r="S133" t="inlineStr">
        <is>
          <t>History of European civilization library</t>
        </is>
      </c>
      <c r="T133" t="inlineStr">
        <is>
          <t xml:space="preserve">CB </t>
        </is>
      </c>
      <c r="U133" t="n">
        <v>7</v>
      </c>
      <c r="V133" t="n">
        <v>7</v>
      </c>
      <c r="W133" t="inlineStr">
        <is>
          <t>2000-02-06</t>
        </is>
      </c>
      <c r="X133" t="inlineStr">
        <is>
          <t>2000-02-06</t>
        </is>
      </c>
      <c r="Y133" t="inlineStr">
        <is>
          <t>1996-08-19</t>
        </is>
      </c>
      <c r="Z133" t="inlineStr">
        <is>
          <t>1996-08-19</t>
        </is>
      </c>
      <c r="AA133" t="n">
        <v>659</v>
      </c>
      <c r="AB133" t="n">
        <v>622</v>
      </c>
      <c r="AC133" t="n">
        <v>786</v>
      </c>
      <c r="AD133" t="n">
        <v>7</v>
      </c>
      <c r="AE133" t="n">
        <v>8</v>
      </c>
      <c r="AF133" t="n">
        <v>20</v>
      </c>
      <c r="AG133" t="n">
        <v>29</v>
      </c>
      <c r="AH133" t="n">
        <v>6</v>
      </c>
      <c r="AI133" t="n">
        <v>9</v>
      </c>
      <c r="AJ133" t="n">
        <v>4</v>
      </c>
      <c r="AK133" t="n">
        <v>6</v>
      </c>
      <c r="AL133" t="n">
        <v>7</v>
      </c>
      <c r="AM133" t="n">
        <v>12</v>
      </c>
      <c r="AN133" t="n">
        <v>6</v>
      </c>
      <c r="AO133" t="n">
        <v>7</v>
      </c>
      <c r="AP133" t="n">
        <v>0</v>
      </c>
      <c r="AQ133" t="n">
        <v>0</v>
      </c>
      <c r="AR133" t="inlineStr">
        <is>
          <t>No</t>
        </is>
      </c>
      <c r="AS133" t="inlineStr">
        <is>
          <t>No</t>
        </is>
      </c>
      <c r="AU133">
        <f>HYPERLINK("https://creighton-primo.hosted.exlibrisgroup.com/primo-explore/search?tab=default_tab&amp;search_scope=EVERYTHING&amp;vid=01CRU&amp;lang=en_US&amp;offset=0&amp;query=any,contains,991000172339702656","Catalog Record")</f>
        <v/>
      </c>
      <c r="AV133">
        <f>HYPERLINK("http://www.worldcat.org/oclc/62021","WorldCat Record")</f>
        <v/>
      </c>
      <c r="AW133" t="inlineStr">
        <is>
          <t>3943484174:eng</t>
        </is>
      </c>
      <c r="AX133" t="inlineStr">
        <is>
          <t>62021</t>
        </is>
      </c>
      <c r="AY133" t="inlineStr">
        <is>
          <t>991000172339702656</t>
        </is>
      </c>
      <c r="AZ133" t="inlineStr">
        <is>
          <t>991000172339702656</t>
        </is>
      </c>
      <c r="BA133" t="inlineStr">
        <is>
          <t>2254777890002656</t>
        </is>
      </c>
      <c r="BB133" t="inlineStr">
        <is>
          <t>BOOK</t>
        </is>
      </c>
      <c r="BE133" t="inlineStr">
        <is>
          <t>32285002275955</t>
        </is>
      </c>
      <c r="BF133" t="inlineStr">
        <is>
          <t>893406995</t>
        </is>
      </c>
    </row>
    <row r="134">
      <c r="B134" t="inlineStr">
        <is>
          <t>CURAL</t>
        </is>
      </c>
      <c r="C134" t="inlineStr">
        <is>
          <t>SHELVES</t>
        </is>
      </c>
      <c r="D134" t="inlineStr">
        <is>
          <t>CB401 .M3613 1979</t>
        </is>
      </c>
      <c r="E134" t="inlineStr">
        <is>
          <t>0                      CB 0401000M  3613        1979</t>
        </is>
      </c>
      <c r="F134" t="inlineStr">
        <is>
          <t>From humanism to science, 1480 to 1700 / Robert Mandrou ; translated by Brian Pearce.</t>
        </is>
      </c>
      <c r="H134" t="inlineStr">
        <is>
          <t>No</t>
        </is>
      </c>
      <c r="I134" t="inlineStr">
        <is>
          <t>1</t>
        </is>
      </c>
      <c r="J134" t="inlineStr">
        <is>
          <t>No</t>
        </is>
      </c>
      <c r="K134" t="inlineStr">
        <is>
          <t>No</t>
        </is>
      </c>
      <c r="L134" t="inlineStr">
        <is>
          <t>0</t>
        </is>
      </c>
      <c r="M134" t="inlineStr">
        <is>
          <t>Mandrou, Robert.</t>
        </is>
      </c>
      <c r="N134" t="inlineStr">
        <is>
          <t>Atlantic Highlands, N.J. : Humanities Press, 1979.</t>
        </is>
      </c>
      <c r="O134" t="inlineStr">
        <is>
          <t>1979</t>
        </is>
      </c>
      <c r="Q134" t="inlineStr">
        <is>
          <t>eng</t>
        </is>
      </c>
      <c r="R134" t="inlineStr">
        <is>
          <t>enk</t>
        </is>
      </c>
      <c r="T134" t="inlineStr">
        <is>
          <t xml:space="preserve">CB </t>
        </is>
      </c>
      <c r="U134" t="n">
        <v>4</v>
      </c>
      <c r="V134" t="n">
        <v>4</v>
      </c>
      <c r="W134" t="inlineStr">
        <is>
          <t>2008-10-17</t>
        </is>
      </c>
      <c r="X134" t="inlineStr">
        <is>
          <t>2008-10-17</t>
        </is>
      </c>
      <c r="Y134" t="inlineStr">
        <is>
          <t>1992-06-02</t>
        </is>
      </c>
      <c r="Z134" t="inlineStr">
        <is>
          <t>1992-06-02</t>
        </is>
      </c>
      <c r="AA134" t="n">
        <v>395</v>
      </c>
      <c r="AB134" t="n">
        <v>352</v>
      </c>
      <c r="AC134" t="n">
        <v>414</v>
      </c>
      <c r="AD134" t="n">
        <v>3</v>
      </c>
      <c r="AE134" t="n">
        <v>4</v>
      </c>
      <c r="AF134" t="n">
        <v>13</v>
      </c>
      <c r="AG134" t="n">
        <v>17</v>
      </c>
      <c r="AH134" t="n">
        <v>3</v>
      </c>
      <c r="AI134" t="n">
        <v>5</v>
      </c>
      <c r="AJ134" t="n">
        <v>4</v>
      </c>
      <c r="AK134" t="n">
        <v>5</v>
      </c>
      <c r="AL134" t="n">
        <v>7</v>
      </c>
      <c r="AM134" t="n">
        <v>8</v>
      </c>
      <c r="AN134" t="n">
        <v>2</v>
      </c>
      <c r="AO134" t="n">
        <v>3</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HYPERLINK("https://creighton-primo.hosted.exlibrisgroup.com/primo-explore/search?tab=default_tab&amp;search_scope=EVERYTHING&amp;vid=01CRU&amp;lang=en_US&amp;offset=0&amp;query=any,contains,991004659269702656","Catalog Record")</f>
        <v/>
      </c>
      <c r="AV134">
        <f>HYPERLINK("http://www.worldcat.org/oclc/4496222","WorldCat Record")</f>
        <v/>
      </c>
      <c r="AW134" t="inlineStr">
        <is>
          <t>3768441519:eng</t>
        </is>
      </c>
      <c r="AX134" t="inlineStr">
        <is>
          <t>4496222</t>
        </is>
      </c>
      <c r="AY134" t="inlineStr">
        <is>
          <t>991004659269702656</t>
        </is>
      </c>
      <c r="AZ134" t="inlineStr">
        <is>
          <t>991004659269702656</t>
        </is>
      </c>
      <c r="BA134" t="inlineStr">
        <is>
          <t>2268773760002656</t>
        </is>
      </c>
      <c r="BB134" t="inlineStr">
        <is>
          <t>BOOK</t>
        </is>
      </c>
      <c r="BD134" t="inlineStr">
        <is>
          <t>9780391005419</t>
        </is>
      </c>
      <c r="BE134" t="inlineStr">
        <is>
          <t>32285001143709</t>
        </is>
      </c>
      <c r="BF134" t="inlineStr">
        <is>
          <t>893593940</t>
        </is>
      </c>
    </row>
    <row r="135">
      <c r="B135" t="inlineStr">
        <is>
          <t>CURAL</t>
        </is>
      </c>
      <c r="C135" t="inlineStr">
        <is>
          <t>SHELVES</t>
        </is>
      </c>
      <c r="D135" t="inlineStr">
        <is>
          <t>CB401 .S56 1978</t>
        </is>
      </c>
      <c r="E135" t="inlineStr">
        <is>
          <t>0                      CB 0401000S  56          1978</t>
        </is>
      </c>
      <c r="F135" t="inlineStr">
        <is>
          <t>The baroque : literature and culture in seventeenth-century Europe / Peter N. Skrine.</t>
        </is>
      </c>
      <c r="H135" t="inlineStr">
        <is>
          <t>No</t>
        </is>
      </c>
      <c r="I135" t="inlineStr">
        <is>
          <t>1</t>
        </is>
      </c>
      <c r="J135" t="inlineStr">
        <is>
          <t>No</t>
        </is>
      </c>
      <c r="K135" t="inlineStr">
        <is>
          <t>No</t>
        </is>
      </c>
      <c r="L135" t="inlineStr">
        <is>
          <t>0</t>
        </is>
      </c>
      <c r="M135" t="inlineStr">
        <is>
          <t>Skrine, Peter N.</t>
        </is>
      </c>
      <c r="N135" t="inlineStr">
        <is>
          <t>New York : Holmes &amp; Meier, 1978.</t>
        </is>
      </c>
      <c r="O135" t="inlineStr">
        <is>
          <t>1978</t>
        </is>
      </c>
      <c r="Q135" t="inlineStr">
        <is>
          <t>eng</t>
        </is>
      </c>
      <c r="R135" t="inlineStr">
        <is>
          <t>nyu</t>
        </is>
      </c>
      <c r="T135" t="inlineStr">
        <is>
          <t xml:space="preserve">CB </t>
        </is>
      </c>
      <c r="U135" t="n">
        <v>12</v>
      </c>
      <c r="V135" t="n">
        <v>12</v>
      </c>
      <c r="W135" t="inlineStr">
        <is>
          <t>1997-04-02</t>
        </is>
      </c>
      <c r="X135" t="inlineStr">
        <is>
          <t>1997-04-02</t>
        </is>
      </c>
      <c r="Y135" t="inlineStr">
        <is>
          <t>1992-06-02</t>
        </is>
      </c>
      <c r="Z135" t="inlineStr">
        <is>
          <t>1992-06-02</t>
        </is>
      </c>
      <c r="AA135" t="n">
        <v>300</v>
      </c>
      <c r="AB135" t="n">
        <v>272</v>
      </c>
      <c r="AC135" t="n">
        <v>348</v>
      </c>
      <c r="AD135" t="n">
        <v>1</v>
      </c>
      <c r="AE135" t="n">
        <v>3</v>
      </c>
      <c r="AF135" t="n">
        <v>16</v>
      </c>
      <c r="AG135" t="n">
        <v>21</v>
      </c>
      <c r="AH135" t="n">
        <v>5</v>
      </c>
      <c r="AI135" t="n">
        <v>5</v>
      </c>
      <c r="AJ135" t="n">
        <v>5</v>
      </c>
      <c r="AK135" t="n">
        <v>7</v>
      </c>
      <c r="AL135" t="n">
        <v>10</v>
      </c>
      <c r="AM135" t="n">
        <v>12</v>
      </c>
      <c r="AN135" t="n">
        <v>0</v>
      </c>
      <c r="AO135" t="n">
        <v>2</v>
      </c>
      <c r="AP135" t="n">
        <v>0</v>
      </c>
      <c r="AQ135" t="n">
        <v>0</v>
      </c>
      <c r="AR135" t="inlineStr">
        <is>
          <t>No</t>
        </is>
      </c>
      <c r="AS135" t="inlineStr">
        <is>
          <t>Yes</t>
        </is>
      </c>
      <c r="AT135">
        <f>HYPERLINK("http://catalog.hathitrust.org/Record/007115061","HathiTrust Record")</f>
        <v/>
      </c>
      <c r="AU135">
        <f>HYPERLINK("https://creighton-primo.hosted.exlibrisgroup.com/primo-explore/search?tab=default_tab&amp;search_scope=EVERYTHING&amp;vid=01CRU&amp;lang=en_US&amp;offset=0&amp;query=any,contains,991004571799702656","Catalog Record")</f>
        <v/>
      </c>
      <c r="AV135">
        <f>HYPERLINK("http://www.worldcat.org/oclc/4036101","WorldCat Record")</f>
        <v/>
      </c>
      <c r="AW135" t="inlineStr">
        <is>
          <t>505644:eng</t>
        </is>
      </c>
      <c r="AX135" t="inlineStr">
        <is>
          <t>4036101</t>
        </is>
      </c>
      <c r="AY135" t="inlineStr">
        <is>
          <t>991004571799702656</t>
        </is>
      </c>
      <c r="AZ135" t="inlineStr">
        <is>
          <t>991004571799702656</t>
        </is>
      </c>
      <c r="BA135" t="inlineStr">
        <is>
          <t>2269680410002656</t>
        </is>
      </c>
      <c r="BB135" t="inlineStr">
        <is>
          <t>BOOK</t>
        </is>
      </c>
      <c r="BD135" t="inlineStr">
        <is>
          <t>9780841904279</t>
        </is>
      </c>
      <c r="BE135" t="inlineStr">
        <is>
          <t>32285001143717</t>
        </is>
      </c>
      <c r="BF135" t="inlineStr">
        <is>
          <t>893788878</t>
        </is>
      </c>
    </row>
    <row r="136">
      <c r="B136" t="inlineStr">
        <is>
          <t>CURAL</t>
        </is>
      </c>
      <c r="C136" t="inlineStr">
        <is>
          <t>SHELVES</t>
        </is>
      </c>
      <c r="D136" t="inlineStr">
        <is>
          <t>CB411 .J66</t>
        </is>
      </c>
      <c r="E136" t="inlineStr">
        <is>
          <t>0                      CB 0411000J  66</t>
        </is>
      </c>
      <c r="F136" t="inlineStr">
        <is>
          <t>Revolution &amp; romanticism.</t>
        </is>
      </c>
      <c r="H136" t="inlineStr">
        <is>
          <t>No</t>
        </is>
      </c>
      <c r="I136" t="inlineStr">
        <is>
          <t>1</t>
        </is>
      </c>
      <c r="J136" t="inlineStr">
        <is>
          <t>No</t>
        </is>
      </c>
      <c r="K136" t="inlineStr">
        <is>
          <t>No</t>
        </is>
      </c>
      <c r="L136" t="inlineStr">
        <is>
          <t>0</t>
        </is>
      </c>
      <c r="M136" t="inlineStr">
        <is>
          <t>Jones, Howard Mumford, 1892-1980.</t>
        </is>
      </c>
      <c r="N136" t="inlineStr">
        <is>
          <t>Cambridge, Mass., Belknap Press of Harvard University Press, 1974.</t>
        </is>
      </c>
      <c r="O136" t="inlineStr">
        <is>
          <t>1974</t>
        </is>
      </c>
      <c r="Q136" t="inlineStr">
        <is>
          <t>eng</t>
        </is>
      </c>
      <c r="R136" t="inlineStr">
        <is>
          <t>mau</t>
        </is>
      </c>
      <c r="T136" t="inlineStr">
        <is>
          <t xml:space="preserve">CB </t>
        </is>
      </c>
      <c r="U136" t="n">
        <v>5</v>
      </c>
      <c r="V136" t="n">
        <v>5</v>
      </c>
      <c r="W136" t="inlineStr">
        <is>
          <t>2003-02-27</t>
        </is>
      </c>
      <c r="X136" t="inlineStr">
        <is>
          <t>2003-02-27</t>
        </is>
      </c>
      <c r="Y136" t="inlineStr">
        <is>
          <t>1996-08-19</t>
        </is>
      </c>
      <c r="Z136" t="inlineStr">
        <is>
          <t>1996-08-19</t>
        </is>
      </c>
      <c r="AA136" t="n">
        <v>1142</v>
      </c>
      <c r="AB136" t="n">
        <v>926</v>
      </c>
      <c r="AC136" t="n">
        <v>1027</v>
      </c>
      <c r="AD136" t="n">
        <v>8</v>
      </c>
      <c r="AE136" t="n">
        <v>9</v>
      </c>
      <c r="AF136" t="n">
        <v>37</v>
      </c>
      <c r="AG136" t="n">
        <v>43</v>
      </c>
      <c r="AH136" t="n">
        <v>12</v>
      </c>
      <c r="AI136" t="n">
        <v>16</v>
      </c>
      <c r="AJ136" t="n">
        <v>8</v>
      </c>
      <c r="AK136" t="n">
        <v>10</v>
      </c>
      <c r="AL136" t="n">
        <v>19</v>
      </c>
      <c r="AM136" t="n">
        <v>19</v>
      </c>
      <c r="AN136" t="n">
        <v>7</v>
      </c>
      <c r="AO136" t="n">
        <v>8</v>
      </c>
      <c r="AP136" t="n">
        <v>0</v>
      </c>
      <c r="AQ136" t="n">
        <v>0</v>
      </c>
      <c r="AR136" t="inlineStr">
        <is>
          <t>No</t>
        </is>
      </c>
      <c r="AS136" t="inlineStr">
        <is>
          <t>Yes</t>
        </is>
      </c>
      <c r="AT136">
        <f>HYPERLINK("http://catalog.hathitrust.org/Record/001595597","HathiTrust Record")</f>
        <v/>
      </c>
      <c r="AU136">
        <f>HYPERLINK("https://creighton-primo.hosted.exlibrisgroup.com/primo-explore/search?tab=default_tab&amp;search_scope=EVERYTHING&amp;vid=01CRU&amp;lang=en_US&amp;offset=0&amp;query=any,contains,991003289019702656","Catalog Record")</f>
        <v/>
      </c>
      <c r="AV136">
        <f>HYPERLINK("http://www.worldcat.org/oclc/810509","WorldCat Record")</f>
        <v/>
      </c>
      <c r="AW136" t="inlineStr">
        <is>
          <t>1648205:eng</t>
        </is>
      </c>
      <c r="AX136" t="inlineStr">
        <is>
          <t>810509</t>
        </is>
      </c>
      <c r="AY136" t="inlineStr">
        <is>
          <t>991003289019702656</t>
        </is>
      </c>
      <c r="AZ136" t="inlineStr">
        <is>
          <t>991003289019702656</t>
        </is>
      </c>
      <c r="BA136" t="inlineStr">
        <is>
          <t>2269167200002656</t>
        </is>
      </c>
      <c r="BB136" t="inlineStr">
        <is>
          <t>BOOK</t>
        </is>
      </c>
      <c r="BD136" t="inlineStr">
        <is>
          <t>9780674767102</t>
        </is>
      </c>
      <c r="BE136" t="inlineStr">
        <is>
          <t>32285002276003</t>
        </is>
      </c>
      <c r="BF136" t="inlineStr">
        <is>
          <t>893805624</t>
        </is>
      </c>
    </row>
    <row r="137">
      <c r="B137" t="inlineStr">
        <is>
          <t>CURAL</t>
        </is>
      </c>
      <c r="C137" t="inlineStr">
        <is>
          <t>SHELVES</t>
        </is>
      </c>
      <c r="D137" t="inlineStr">
        <is>
          <t>CB411 .K7</t>
        </is>
      </c>
      <c r="E137" t="inlineStr">
        <is>
          <t>0                      CB 0411000K  7</t>
        </is>
      </c>
      <c r="F137" t="inlineStr">
        <is>
          <t>The Atlantic civilization: eighteenth-century origins.</t>
        </is>
      </c>
      <c r="H137" t="inlineStr">
        <is>
          <t>No</t>
        </is>
      </c>
      <c r="I137" t="inlineStr">
        <is>
          <t>1</t>
        </is>
      </c>
      <c r="J137" t="inlineStr">
        <is>
          <t>No</t>
        </is>
      </c>
      <c r="K137" t="inlineStr">
        <is>
          <t>No</t>
        </is>
      </c>
      <c r="L137" t="inlineStr">
        <is>
          <t>0</t>
        </is>
      </c>
      <c r="M137" t="inlineStr">
        <is>
          <t>Kraus, Michael, 1901-1990.</t>
        </is>
      </c>
      <c r="N137" t="inlineStr">
        <is>
          <t>Ithaca, Cornell University Press, 1949.</t>
        </is>
      </c>
      <c r="O137" t="inlineStr">
        <is>
          <t>1949</t>
        </is>
      </c>
      <c r="Q137" t="inlineStr">
        <is>
          <t>eng</t>
        </is>
      </c>
      <c r="R137" t="inlineStr">
        <is>
          <t>nyu</t>
        </is>
      </c>
      <c r="T137" t="inlineStr">
        <is>
          <t xml:space="preserve">CB </t>
        </is>
      </c>
      <c r="U137" t="n">
        <v>3</v>
      </c>
      <c r="V137" t="n">
        <v>3</v>
      </c>
      <c r="W137" t="inlineStr">
        <is>
          <t>1999-04-22</t>
        </is>
      </c>
      <c r="X137" t="inlineStr">
        <is>
          <t>1999-04-22</t>
        </is>
      </c>
      <c r="Y137" t="inlineStr">
        <is>
          <t>1996-08-19</t>
        </is>
      </c>
      <c r="Z137" t="inlineStr">
        <is>
          <t>1996-08-19</t>
        </is>
      </c>
      <c r="AA137" t="n">
        <v>656</v>
      </c>
      <c r="AB137" t="n">
        <v>598</v>
      </c>
      <c r="AC137" t="n">
        <v>1003</v>
      </c>
      <c r="AD137" t="n">
        <v>5</v>
      </c>
      <c r="AE137" t="n">
        <v>7</v>
      </c>
      <c r="AF137" t="n">
        <v>26</v>
      </c>
      <c r="AG137" t="n">
        <v>43</v>
      </c>
      <c r="AH137" t="n">
        <v>10</v>
      </c>
      <c r="AI137" t="n">
        <v>18</v>
      </c>
      <c r="AJ137" t="n">
        <v>7</v>
      </c>
      <c r="AK137" t="n">
        <v>9</v>
      </c>
      <c r="AL137" t="n">
        <v>13</v>
      </c>
      <c r="AM137" t="n">
        <v>21</v>
      </c>
      <c r="AN137" t="n">
        <v>4</v>
      </c>
      <c r="AO137" t="n">
        <v>6</v>
      </c>
      <c r="AP137" t="n">
        <v>0</v>
      </c>
      <c r="AQ137" t="n">
        <v>0</v>
      </c>
      <c r="AR137" t="inlineStr">
        <is>
          <t>Yes</t>
        </is>
      </c>
      <c r="AS137" t="inlineStr">
        <is>
          <t>No</t>
        </is>
      </c>
      <c r="AT137">
        <f>HYPERLINK("http://catalog.hathitrust.org/Record/001595598","HathiTrust Record")</f>
        <v/>
      </c>
      <c r="AU137">
        <f>HYPERLINK("https://creighton-primo.hosted.exlibrisgroup.com/primo-explore/search?tab=default_tab&amp;search_scope=EVERYTHING&amp;vid=01CRU&amp;lang=en_US&amp;offset=0&amp;query=any,contains,991004456669702656","Catalog Record")</f>
        <v/>
      </c>
      <c r="AV137">
        <f>HYPERLINK("http://www.worldcat.org/oclc/3530717","WorldCat Record")</f>
        <v/>
      </c>
      <c r="AW137" t="inlineStr">
        <is>
          <t>1472662:eng</t>
        </is>
      </c>
      <c r="AX137" t="inlineStr">
        <is>
          <t>3530717</t>
        </is>
      </c>
      <c r="AY137" t="inlineStr">
        <is>
          <t>991004456669702656</t>
        </is>
      </c>
      <c r="AZ137" t="inlineStr">
        <is>
          <t>991004456669702656</t>
        </is>
      </c>
      <c r="BA137" t="inlineStr">
        <is>
          <t>2259840990002656</t>
        </is>
      </c>
      <c r="BB137" t="inlineStr">
        <is>
          <t>BOOK</t>
        </is>
      </c>
      <c r="BE137" t="inlineStr">
        <is>
          <t>32285002276011</t>
        </is>
      </c>
      <c r="BF137" t="inlineStr">
        <is>
          <t>893263279</t>
        </is>
      </c>
    </row>
    <row r="138">
      <c r="B138" t="inlineStr">
        <is>
          <t>CURAL</t>
        </is>
      </c>
      <c r="C138" t="inlineStr">
        <is>
          <t>SHELVES</t>
        </is>
      </c>
      <c r="D138" t="inlineStr">
        <is>
          <t>CB411 .V37</t>
        </is>
      </c>
      <c r="E138" t="inlineStr">
        <is>
          <t>0                      CB 0411000V  37</t>
        </is>
      </c>
      <c r="F138" t="inlineStr">
        <is>
          <t>The Varied pattern; studies in the 18th century. Editors: Peter Hughes [and] David Williams.</t>
        </is>
      </c>
      <c r="H138" t="inlineStr">
        <is>
          <t>No</t>
        </is>
      </c>
      <c r="I138" t="inlineStr">
        <is>
          <t>1</t>
        </is>
      </c>
      <c r="J138" t="inlineStr">
        <is>
          <t>No</t>
        </is>
      </c>
      <c r="K138" t="inlineStr">
        <is>
          <t>No</t>
        </is>
      </c>
      <c r="L138" t="inlineStr">
        <is>
          <t>0</t>
        </is>
      </c>
      <c r="N138" t="inlineStr">
        <is>
          <t>Toronto, A. M. Hakkert, 1971.</t>
        </is>
      </c>
      <c r="O138" t="inlineStr">
        <is>
          <t>1971</t>
        </is>
      </c>
      <c r="Q138" t="inlineStr">
        <is>
          <t>eng</t>
        </is>
      </c>
      <c r="R138" t="inlineStr">
        <is>
          <t>onc</t>
        </is>
      </c>
      <c r="S138" t="inlineStr">
        <is>
          <t>Publications of the McMaster University Association for 18th-Century Studies ; v. 1</t>
        </is>
      </c>
      <c r="T138" t="inlineStr">
        <is>
          <t xml:space="preserve">CB </t>
        </is>
      </c>
      <c r="U138" t="n">
        <v>6</v>
      </c>
      <c r="V138" t="n">
        <v>6</v>
      </c>
      <c r="W138" t="inlineStr">
        <is>
          <t>2007-10-02</t>
        </is>
      </c>
      <c r="X138" t="inlineStr">
        <is>
          <t>2007-10-02</t>
        </is>
      </c>
      <c r="Y138" t="inlineStr">
        <is>
          <t>1996-08-19</t>
        </is>
      </c>
      <c r="Z138" t="inlineStr">
        <is>
          <t>1996-08-19</t>
        </is>
      </c>
      <c r="AA138" t="n">
        <v>466</v>
      </c>
      <c r="AB138" t="n">
        <v>345</v>
      </c>
      <c r="AC138" t="n">
        <v>352</v>
      </c>
      <c r="AD138" t="n">
        <v>3</v>
      </c>
      <c r="AE138" t="n">
        <v>3</v>
      </c>
      <c r="AF138" t="n">
        <v>18</v>
      </c>
      <c r="AG138" t="n">
        <v>18</v>
      </c>
      <c r="AH138" t="n">
        <v>6</v>
      </c>
      <c r="AI138" t="n">
        <v>6</v>
      </c>
      <c r="AJ138" t="n">
        <v>3</v>
      </c>
      <c r="AK138" t="n">
        <v>3</v>
      </c>
      <c r="AL138" t="n">
        <v>12</v>
      </c>
      <c r="AM138" t="n">
        <v>12</v>
      </c>
      <c r="AN138" t="n">
        <v>2</v>
      </c>
      <c r="AO138" t="n">
        <v>2</v>
      </c>
      <c r="AP138" t="n">
        <v>0</v>
      </c>
      <c r="AQ138" t="n">
        <v>0</v>
      </c>
      <c r="AR138" t="inlineStr">
        <is>
          <t>No</t>
        </is>
      </c>
      <c r="AS138" t="inlineStr">
        <is>
          <t>Yes</t>
        </is>
      </c>
      <c r="AT138">
        <f>HYPERLINK("http://catalog.hathitrust.org/Record/000009008","HathiTrust Record")</f>
        <v/>
      </c>
      <c r="AU138">
        <f>HYPERLINK("https://creighton-primo.hosted.exlibrisgroup.com/primo-explore/search?tab=default_tab&amp;search_scope=EVERYTHING&amp;vid=01CRU&amp;lang=en_US&amp;offset=0&amp;query=any,contains,991003099009702656","Catalog Record")</f>
        <v/>
      </c>
      <c r="AV138">
        <f>HYPERLINK("http://www.worldcat.org/oclc/648515","WorldCat Record")</f>
        <v/>
      </c>
      <c r="AW138" t="inlineStr">
        <is>
          <t>111519740:eng</t>
        </is>
      </c>
      <c r="AX138" t="inlineStr">
        <is>
          <t>648515</t>
        </is>
      </c>
      <c r="AY138" t="inlineStr">
        <is>
          <t>991003099009702656</t>
        </is>
      </c>
      <c r="AZ138" t="inlineStr">
        <is>
          <t>991003099009702656</t>
        </is>
      </c>
      <c r="BA138" t="inlineStr">
        <is>
          <t>2256301160002656</t>
        </is>
      </c>
      <c r="BB138" t="inlineStr">
        <is>
          <t>BOOK</t>
        </is>
      </c>
      <c r="BD138" t="inlineStr">
        <is>
          <t>9780888665058</t>
        </is>
      </c>
      <c r="BE138" t="inlineStr">
        <is>
          <t>32285002276060</t>
        </is>
      </c>
      <c r="BF138" t="inlineStr">
        <is>
          <t>893786965</t>
        </is>
      </c>
    </row>
    <row r="139">
      <c r="B139" t="inlineStr">
        <is>
          <t>CURAL</t>
        </is>
      </c>
      <c r="C139" t="inlineStr">
        <is>
          <t>SHELVES</t>
        </is>
      </c>
      <c r="D139" t="inlineStr">
        <is>
          <t>CB411 .W3</t>
        </is>
      </c>
      <c r="E139" t="inlineStr">
        <is>
          <t>0                      CB 0411000W  3</t>
        </is>
      </c>
      <c r="F139" t="inlineStr">
        <is>
          <t>Aspects of the eighteenth century. Edited by Earl R. Wasserman.</t>
        </is>
      </c>
      <c r="H139" t="inlineStr">
        <is>
          <t>No</t>
        </is>
      </c>
      <c r="I139" t="inlineStr">
        <is>
          <t>1</t>
        </is>
      </c>
      <c r="J139" t="inlineStr">
        <is>
          <t>No</t>
        </is>
      </c>
      <c r="K139" t="inlineStr">
        <is>
          <t>No</t>
        </is>
      </c>
      <c r="L139" t="inlineStr">
        <is>
          <t>0</t>
        </is>
      </c>
      <c r="M139" t="inlineStr">
        <is>
          <t>Wasserman, Earl R. (Earl Reeves), 1913-1973 editor.</t>
        </is>
      </c>
      <c r="N139" t="inlineStr">
        <is>
          <t>Baltimore, Johns Hopkins Press, 1965.</t>
        </is>
      </c>
      <c r="O139" t="inlineStr">
        <is>
          <t>1965</t>
        </is>
      </c>
      <c r="Q139" t="inlineStr">
        <is>
          <t>eng</t>
        </is>
      </c>
      <c r="R139" t="inlineStr">
        <is>
          <t>mdu</t>
        </is>
      </c>
      <c r="T139" t="inlineStr">
        <is>
          <t xml:space="preserve">CB </t>
        </is>
      </c>
      <c r="U139" t="n">
        <v>8</v>
      </c>
      <c r="V139" t="n">
        <v>8</v>
      </c>
      <c r="W139" t="inlineStr">
        <is>
          <t>2005-10-01</t>
        </is>
      </c>
      <c r="X139" t="inlineStr">
        <is>
          <t>2005-10-01</t>
        </is>
      </c>
      <c r="Y139" t="inlineStr">
        <is>
          <t>1996-08-19</t>
        </is>
      </c>
      <c r="Z139" t="inlineStr">
        <is>
          <t>1996-08-19</t>
        </is>
      </c>
      <c r="AA139" t="n">
        <v>1221</v>
      </c>
      <c r="AB139" t="n">
        <v>1045</v>
      </c>
      <c r="AC139" t="n">
        <v>1059</v>
      </c>
      <c r="AD139" t="n">
        <v>9</v>
      </c>
      <c r="AE139" t="n">
        <v>9</v>
      </c>
      <c r="AF139" t="n">
        <v>52</v>
      </c>
      <c r="AG139" t="n">
        <v>52</v>
      </c>
      <c r="AH139" t="n">
        <v>22</v>
      </c>
      <c r="AI139" t="n">
        <v>22</v>
      </c>
      <c r="AJ139" t="n">
        <v>9</v>
      </c>
      <c r="AK139" t="n">
        <v>9</v>
      </c>
      <c r="AL139" t="n">
        <v>25</v>
      </c>
      <c r="AM139" t="n">
        <v>25</v>
      </c>
      <c r="AN139" t="n">
        <v>8</v>
      </c>
      <c r="AO139" t="n">
        <v>8</v>
      </c>
      <c r="AP139" t="n">
        <v>0</v>
      </c>
      <c r="AQ139" t="n">
        <v>0</v>
      </c>
      <c r="AR139" t="inlineStr">
        <is>
          <t>No</t>
        </is>
      </c>
      <c r="AS139" t="inlineStr">
        <is>
          <t>Yes</t>
        </is>
      </c>
      <c r="AT139">
        <f>HYPERLINK("http://catalog.hathitrust.org/Record/001595607","HathiTrust Record")</f>
        <v/>
      </c>
      <c r="AU139">
        <f>HYPERLINK("https://creighton-primo.hosted.exlibrisgroup.com/primo-explore/search?tab=default_tab&amp;search_scope=EVERYTHING&amp;vid=01CRU&amp;lang=en_US&amp;offset=0&amp;query=any,contains,991002059569702656","Catalog Record")</f>
        <v/>
      </c>
      <c r="AV139">
        <f>HYPERLINK("http://www.worldcat.org/oclc/262949","WorldCat Record")</f>
        <v/>
      </c>
      <c r="AW139" t="inlineStr">
        <is>
          <t>355908335:eng</t>
        </is>
      </c>
      <c r="AX139" t="inlineStr">
        <is>
          <t>262949</t>
        </is>
      </c>
      <c r="AY139" t="inlineStr">
        <is>
          <t>991002059569702656</t>
        </is>
      </c>
      <c r="AZ139" t="inlineStr">
        <is>
          <t>991002059569702656</t>
        </is>
      </c>
      <c r="BA139" t="inlineStr">
        <is>
          <t>2268507180002656</t>
        </is>
      </c>
      <c r="BB139" t="inlineStr">
        <is>
          <t>BOOK</t>
        </is>
      </c>
      <c r="BE139" t="inlineStr">
        <is>
          <t>32285002276078</t>
        </is>
      </c>
      <c r="BF139" t="inlineStr">
        <is>
          <t>893534825</t>
        </is>
      </c>
    </row>
    <row r="140">
      <c r="B140" t="inlineStr">
        <is>
          <t>CURAL</t>
        </is>
      </c>
      <c r="C140" t="inlineStr">
        <is>
          <t>SHELVES</t>
        </is>
      </c>
      <c r="D140" t="inlineStr">
        <is>
          <t>CB415 .G39 2002</t>
        </is>
      </c>
      <c r="E140" t="inlineStr">
        <is>
          <t>0                      CB 0415000G  39          2002</t>
        </is>
      </c>
      <c r="F140" t="inlineStr">
        <is>
          <t>Schnitzler's century : the making of middle-class culture, 1815-1914 / Peter Gay.</t>
        </is>
      </c>
      <c r="H140" t="inlineStr">
        <is>
          <t>No</t>
        </is>
      </c>
      <c r="I140" t="inlineStr">
        <is>
          <t>1</t>
        </is>
      </c>
      <c r="J140" t="inlineStr">
        <is>
          <t>No</t>
        </is>
      </c>
      <c r="K140" t="inlineStr">
        <is>
          <t>No</t>
        </is>
      </c>
      <c r="L140" t="inlineStr">
        <is>
          <t>0</t>
        </is>
      </c>
      <c r="M140" t="inlineStr">
        <is>
          <t>Gay, Peter, 1923-2015.</t>
        </is>
      </c>
      <c r="N140" t="inlineStr">
        <is>
          <t>New York : W.W. Norton, c2002.</t>
        </is>
      </c>
      <c r="O140" t="inlineStr">
        <is>
          <t>2002</t>
        </is>
      </c>
      <c r="P140" t="inlineStr">
        <is>
          <t>1st ed.</t>
        </is>
      </c>
      <c r="Q140" t="inlineStr">
        <is>
          <t>eng</t>
        </is>
      </c>
      <c r="R140" t="inlineStr">
        <is>
          <t>nyu</t>
        </is>
      </c>
      <c r="T140" t="inlineStr">
        <is>
          <t xml:space="preserve">CB </t>
        </is>
      </c>
      <c r="U140" t="n">
        <v>5</v>
      </c>
      <c r="V140" t="n">
        <v>5</v>
      </c>
      <c r="W140" t="inlineStr">
        <is>
          <t>2010-04-08</t>
        </is>
      </c>
      <c r="X140" t="inlineStr">
        <is>
          <t>2010-04-08</t>
        </is>
      </c>
      <c r="Y140" t="inlineStr">
        <is>
          <t>2001-11-15</t>
        </is>
      </c>
      <c r="Z140" t="inlineStr">
        <is>
          <t>2001-11-15</t>
        </is>
      </c>
      <c r="AA140" t="n">
        <v>1077</v>
      </c>
      <c r="AB140" t="n">
        <v>984</v>
      </c>
      <c r="AC140" t="n">
        <v>1048</v>
      </c>
      <c r="AD140" t="n">
        <v>8</v>
      </c>
      <c r="AE140" t="n">
        <v>8</v>
      </c>
      <c r="AF140" t="n">
        <v>45</v>
      </c>
      <c r="AG140" t="n">
        <v>45</v>
      </c>
      <c r="AH140" t="n">
        <v>22</v>
      </c>
      <c r="AI140" t="n">
        <v>22</v>
      </c>
      <c r="AJ140" t="n">
        <v>11</v>
      </c>
      <c r="AK140" t="n">
        <v>11</v>
      </c>
      <c r="AL140" t="n">
        <v>21</v>
      </c>
      <c r="AM140" t="n">
        <v>21</v>
      </c>
      <c r="AN140" t="n">
        <v>5</v>
      </c>
      <c r="AO140" t="n">
        <v>5</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HYPERLINK("https://creighton-primo.hosted.exlibrisgroup.com/primo-explore/search?tab=default_tab&amp;search_scope=EVERYTHING&amp;vid=01CRU&amp;lang=en_US&amp;offset=0&amp;query=any,contains,991003657939702656","Catalog Record")</f>
        <v/>
      </c>
      <c r="AV140">
        <f>HYPERLINK("http://www.worldcat.org/oclc/46969935","WorldCat Record")</f>
        <v/>
      </c>
      <c r="AW140" t="inlineStr">
        <is>
          <t>1968393:eng</t>
        </is>
      </c>
      <c r="AX140" t="inlineStr">
        <is>
          <t>46969935</t>
        </is>
      </c>
      <c r="AY140" t="inlineStr">
        <is>
          <t>991003657939702656</t>
        </is>
      </c>
      <c r="AZ140" t="inlineStr">
        <is>
          <t>991003657939702656</t>
        </is>
      </c>
      <c r="BA140" t="inlineStr">
        <is>
          <t>2266902230002656</t>
        </is>
      </c>
      <c r="BB140" t="inlineStr">
        <is>
          <t>BOOK</t>
        </is>
      </c>
      <c r="BD140" t="inlineStr">
        <is>
          <t>9780393048933</t>
        </is>
      </c>
      <c r="BE140" t="inlineStr">
        <is>
          <t>32285004411970</t>
        </is>
      </c>
      <c r="BF140" t="inlineStr">
        <is>
          <t>893258676</t>
        </is>
      </c>
    </row>
    <row r="141">
      <c r="B141" t="inlineStr">
        <is>
          <t>CURAL</t>
        </is>
      </c>
      <c r="C141" t="inlineStr">
        <is>
          <t>SHELVES</t>
        </is>
      </c>
      <c r="D141" t="inlineStr">
        <is>
          <t>CB417 .B45 2000</t>
        </is>
      </c>
      <c r="E141" t="inlineStr">
        <is>
          <t>0                      CB 0417000B  45          2000</t>
        </is>
      </c>
      <c r="F141" t="inlineStr">
        <is>
          <t>The world in 1800 / Olivier Bernier.</t>
        </is>
      </c>
      <c r="H141" t="inlineStr">
        <is>
          <t>No</t>
        </is>
      </c>
      <c r="I141" t="inlineStr">
        <is>
          <t>1</t>
        </is>
      </c>
      <c r="J141" t="inlineStr">
        <is>
          <t>No</t>
        </is>
      </c>
      <c r="K141" t="inlineStr">
        <is>
          <t>No</t>
        </is>
      </c>
      <c r="L141" t="inlineStr">
        <is>
          <t>0</t>
        </is>
      </c>
      <c r="M141" t="inlineStr">
        <is>
          <t>Bernier, Olivier.</t>
        </is>
      </c>
      <c r="N141" t="inlineStr">
        <is>
          <t>New York : John Wiley &amp; Sons, c2000.</t>
        </is>
      </c>
      <c r="O141" t="inlineStr">
        <is>
          <t>2000</t>
        </is>
      </c>
      <c r="Q141" t="inlineStr">
        <is>
          <t>eng</t>
        </is>
      </c>
      <c r="R141" t="inlineStr">
        <is>
          <t>nyu</t>
        </is>
      </c>
      <c r="T141" t="inlineStr">
        <is>
          <t xml:space="preserve">CB </t>
        </is>
      </c>
      <c r="U141" t="n">
        <v>2</v>
      </c>
      <c r="V141" t="n">
        <v>2</v>
      </c>
      <c r="W141" t="inlineStr">
        <is>
          <t>2000-08-22</t>
        </is>
      </c>
      <c r="X141" t="inlineStr">
        <is>
          <t>2000-08-22</t>
        </is>
      </c>
      <c r="Y141" t="inlineStr">
        <is>
          <t>2000-07-05</t>
        </is>
      </c>
      <c r="Z141" t="inlineStr">
        <is>
          <t>2000-07-05</t>
        </is>
      </c>
      <c r="AA141" t="n">
        <v>1117</v>
      </c>
      <c r="AB141" t="n">
        <v>999</v>
      </c>
      <c r="AC141" t="n">
        <v>1005</v>
      </c>
      <c r="AD141" t="n">
        <v>5</v>
      </c>
      <c r="AE141" t="n">
        <v>5</v>
      </c>
      <c r="AF141" t="n">
        <v>24</v>
      </c>
      <c r="AG141" t="n">
        <v>24</v>
      </c>
      <c r="AH141" t="n">
        <v>10</v>
      </c>
      <c r="AI141" t="n">
        <v>10</v>
      </c>
      <c r="AJ141" t="n">
        <v>5</v>
      </c>
      <c r="AK141" t="n">
        <v>5</v>
      </c>
      <c r="AL141" t="n">
        <v>13</v>
      </c>
      <c r="AM141" t="n">
        <v>13</v>
      </c>
      <c r="AN141" t="n">
        <v>2</v>
      </c>
      <c r="AO141" t="n">
        <v>2</v>
      </c>
      <c r="AP141" t="n">
        <v>0</v>
      </c>
      <c r="AQ141" t="n">
        <v>0</v>
      </c>
      <c r="AR141" t="inlineStr">
        <is>
          <t>No</t>
        </is>
      </c>
      <c r="AS141" t="inlineStr">
        <is>
          <t>Yes</t>
        </is>
      </c>
      <c r="AT141">
        <f>HYPERLINK("http://catalog.hathitrust.org/Record/004084912","HathiTrust Record")</f>
        <v/>
      </c>
      <c r="AU141">
        <f>HYPERLINK("https://creighton-primo.hosted.exlibrisgroup.com/primo-explore/search?tab=default_tab&amp;search_scope=EVERYTHING&amp;vid=01CRU&amp;lang=en_US&amp;offset=0&amp;query=any,contains,991003198139702656","Catalog Record")</f>
        <v/>
      </c>
      <c r="AV141">
        <f>HYPERLINK("http://www.worldcat.org/oclc/41468629","WorldCat Record")</f>
        <v/>
      </c>
      <c r="AW141" t="inlineStr">
        <is>
          <t>4233244117:eng</t>
        </is>
      </c>
      <c r="AX141" t="inlineStr">
        <is>
          <t>41468629</t>
        </is>
      </c>
      <c r="AY141" t="inlineStr">
        <is>
          <t>991003198139702656</t>
        </is>
      </c>
      <c r="AZ141" t="inlineStr">
        <is>
          <t>991003198139702656</t>
        </is>
      </c>
      <c r="BA141" t="inlineStr">
        <is>
          <t>2272263920002656</t>
        </is>
      </c>
      <c r="BB141" t="inlineStr">
        <is>
          <t>BOOK</t>
        </is>
      </c>
      <c r="BD141" t="inlineStr">
        <is>
          <t>9780471303718</t>
        </is>
      </c>
      <c r="BE141" t="inlineStr">
        <is>
          <t>32285003713764</t>
        </is>
      </c>
      <c r="BF141" t="inlineStr">
        <is>
          <t>893317732</t>
        </is>
      </c>
    </row>
    <row r="142">
      <c r="B142" t="inlineStr">
        <is>
          <t>CURAL</t>
        </is>
      </c>
      <c r="C142" t="inlineStr">
        <is>
          <t>SHELVES</t>
        </is>
      </c>
      <c r="D142" t="inlineStr">
        <is>
          <t>CB417 .B8</t>
        </is>
      </c>
      <c r="E142" t="inlineStr">
        <is>
          <t>0                      CB 0417000B  8</t>
        </is>
      </c>
      <c r="F142" t="inlineStr">
        <is>
          <t>Age of progress, by S. C. Burchell and the editors of Time-Life Books.</t>
        </is>
      </c>
      <c r="H142" t="inlineStr">
        <is>
          <t>No</t>
        </is>
      </c>
      <c r="I142" t="inlineStr">
        <is>
          <t>1</t>
        </is>
      </c>
      <c r="J142" t="inlineStr">
        <is>
          <t>No</t>
        </is>
      </c>
      <c r="K142" t="inlineStr">
        <is>
          <t>No</t>
        </is>
      </c>
      <c r="L142" t="inlineStr">
        <is>
          <t>0</t>
        </is>
      </c>
      <c r="M142" t="inlineStr">
        <is>
          <t>Burchell, S. C.</t>
        </is>
      </c>
      <c r="N142" t="inlineStr">
        <is>
          <t>New York, Time, inc. [1966]</t>
        </is>
      </c>
      <c r="O142" t="inlineStr">
        <is>
          <t>1966</t>
        </is>
      </c>
      <c r="Q142" t="inlineStr">
        <is>
          <t>eng</t>
        </is>
      </c>
      <c r="R142" t="inlineStr">
        <is>
          <t>nyu</t>
        </is>
      </c>
      <c r="S142" t="inlineStr">
        <is>
          <t>Great ages of man</t>
        </is>
      </c>
      <c r="T142" t="inlineStr">
        <is>
          <t xml:space="preserve">CB </t>
        </is>
      </c>
      <c r="U142" t="n">
        <v>2</v>
      </c>
      <c r="V142" t="n">
        <v>2</v>
      </c>
      <c r="W142" t="inlineStr">
        <is>
          <t>2008-12-03</t>
        </is>
      </c>
      <c r="X142" t="inlineStr">
        <is>
          <t>2008-12-03</t>
        </is>
      </c>
      <c r="Y142" t="inlineStr">
        <is>
          <t>1996-08-19</t>
        </is>
      </c>
      <c r="Z142" t="inlineStr">
        <is>
          <t>1996-08-19</t>
        </is>
      </c>
      <c r="AA142" t="n">
        <v>2039</v>
      </c>
      <c r="AB142" t="n">
        <v>1917</v>
      </c>
      <c r="AC142" t="n">
        <v>2138</v>
      </c>
      <c r="AD142" t="n">
        <v>19</v>
      </c>
      <c r="AE142" t="n">
        <v>19</v>
      </c>
      <c r="AF142" t="n">
        <v>33</v>
      </c>
      <c r="AG142" t="n">
        <v>38</v>
      </c>
      <c r="AH142" t="n">
        <v>12</v>
      </c>
      <c r="AI142" t="n">
        <v>16</v>
      </c>
      <c r="AJ142" t="n">
        <v>6</v>
      </c>
      <c r="AK142" t="n">
        <v>6</v>
      </c>
      <c r="AL142" t="n">
        <v>18</v>
      </c>
      <c r="AM142" t="n">
        <v>19</v>
      </c>
      <c r="AN142" t="n">
        <v>4</v>
      </c>
      <c r="AO142" t="n">
        <v>4</v>
      </c>
      <c r="AP142" t="n">
        <v>0</v>
      </c>
      <c r="AQ142" t="n">
        <v>0</v>
      </c>
      <c r="AR142" t="inlineStr">
        <is>
          <t>No</t>
        </is>
      </c>
      <c r="AS142" t="inlineStr">
        <is>
          <t>Yes</t>
        </is>
      </c>
      <c r="AT142">
        <f>HYPERLINK("http://catalog.hathitrust.org/Record/001962360","HathiTrust Record")</f>
        <v/>
      </c>
      <c r="AU142">
        <f>HYPERLINK("https://creighton-primo.hosted.exlibrisgroup.com/primo-explore/search?tab=default_tab&amp;search_scope=EVERYTHING&amp;vid=01CRU&amp;lang=en_US&amp;offset=0&amp;query=any,contains,991002654229702656","Catalog Record")</f>
        <v/>
      </c>
      <c r="AV142">
        <f>HYPERLINK("http://www.worldcat.org/oclc/388124","WorldCat Record")</f>
        <v/>
      </c>
      <c r="AW142" t="inlineStr">
        <is>
          <t>467318:eng</t>
        </is>
      </c>
      <c r="AX142" t="inlineStr">
        <is>
          <t>388124</t>
        </is>
      </c>
      <c r="AY142" t="inlineStr">
        <is>
          <t>991002654229702656</t>
        </is>
      </c>
      <c r="AZ142" t="inlineStr">
        <is>
          <t>991002654229702656</t>
        </is>
      </c>
      <c r="BA142" t="inlineStr">
        <is>
          <t>2255124250002656</t>
        </is>
      </c>
      <c r="BB142" t="inlineStr">
        <is>
          <t>BOOK</t>
        </is>
      </c>
      <c r="BE142" t="inlineStr">
        <is>
          <t>32285002276128</t>
        </is>
      </c>
      <c r="BF142" t="inlineStr">
        <is>
          <t>893704321</t>
        </is>
      </c>
    </row>
    <row r="143">
      <c r="B143" t="inlineStr">
        <is>
          <t>CURAL</t>
        </is>
      </c>
      <c r="C143" t="inlineStr">
        <is>
          <t>SHELVES</t>
        </is>
      </c>
      <c r="D143" t="inlineStr">
        <is>
          <t>CB417 .M53</t>
        </is>
      </c>
      <c r="E143" t="inlineStr">
        <is>
          <t>0                      CB 0417000M  53</t>
        </is>
      </c>
      <c r="F143" t="inlineStr">
        <is>
          <t>Bohemia : the protoculture then and now / Richard Miller.</t>
        </is>
      </c>
      <c r="H143" t="inlineStr">
        <is>
          <t>No</t>
        </is>
      </c>
      <c r="I143" t="inlineStr">
        <is>
          <t>1</t>
        </is>
      </c>
      <c r="J143" t="inlineStr">
        <is>
          <t>No</t>
        </is>
      </c>
      <c r="K143" t="inlineStr">
        <is>
          <t>No</t>
        </is>
      </c>
      <c r="L143" t="inlineStr">
        <is>
          <t>0</t>
        </is>
      </c>
      <c r="M143" t="inlineStr">
        <is>
          <t>Miller, Richard, 1925-2006.</t>
        </is>
      </c>
      <c r="N143" t="inlineStr">
        <is>
          <t>Chicago : Nelson-Hall, c1977.</t>
        </is>
      </c>
      <c r="O143" t="inlineStr">
        <is>
          <t>1977</t>
        </is>
      </c>
      <c r="Q143" t="inlineStr">
        <is>
          <t>eng</t>
        </is>
      </c>
      <c r="R143" t="inlineStr">
        <is>
          <t>ilu</t>
        </is>
      </c>
      <c r="T143" t="inlineStr">
        <is>
          <t xml:space="preserve">CB </t>
        </is>
      </c>
      <c r="U143" t="n">
        <v>4</v>
      </c>
      <c r="V143" t="n">
        <v>4</v>
      </c>
      <c r="W143" t="inlineStr">
        <is>
          <t>1999-04-14</t>
        </is>
      </c>
      <c r="X143" t="inlineStr">
        <is>
          <t>1999-04-14</t>
        </is>
      </c>
      <c r="Y143" t="inlineStr">
        <is>
          <t>1992-06-02</t>
        </is>
      </c>
      <c r="Z143" t="inlineStr">
        <is>
          <t>1992-06-02</t>
        </is>
      </c>
      <c r="AA143" t="n">
        <v>515</v>
      </c>
      <c r="AB143" t="n">
        <v>462</v>
      </c>
      <c r="AC143" t="n">
        <v>464</v>
      </c>
      <c r="AD143" t="n">
        <v>6</v>
      </c>
      <c r="AE143" t="n">
        <v>6</v>
      </c>
      <c r="AF143" t="n">
        <v>20</v>
      </c>
      <c r="AG143" t="n">
        <v>20</v>
      </c>
      <c r="AH143" t="n">
        <v>6</v>
      </c>
      <c r="AI143" t="n">
        <v>6</v>
      </c>
      <c r="AJ143" t="n">
        <v>1</v>
      </c>
      <c r="AK143" t="n">
        <v>1</v>
      </c>
      <c r="AL143" t="n">
        <v>10</v>
      </c>
      <c r="AM143" t="n">
        <v>10</v>
      </c>
      <c r="AN143" t="n">
        <v>5</v>
      </c>
      <c r="AO143" t="n">
        <v>5</v>
      </c>
      <c r="AP143" t="n">
        <v>0</v>
      </c>
      <c r="AQ143" t="n">
        <v>0</v>
      </c>
      <c r="AR143" t="inlineStr">
        <is>
          <t>No</t>
        </is>
      </c>
      <c r="AS143" t="inlineStr">
        <is>
          <t>Yes</t>
        </is>
      </c>
      <c r="AT143">
        <f>HYPERLINK("http://catalog.hathitrust.org/Record/000019217","HathiTrust Record")</f>
        <v/>
      </c>
      <c r="AU143">
        <f>HYPERLINK("https://creighton-primo.hosted.exlibrisgroup.com/primo-explore/search?tab=default_tab&amp;search_scope=EVERYTHING&amp;vid=01CRU&amp;lang=en_US&amp;offset=0&amp;query=any,contains,991004400019702656","Catalog Record")</f>
        <v/>
      </c>
      <c r="AV143">
        <f>HYPERLINK("http://www.worldcat.org/oclc/3294607","WorldCat Record")</f>
        <v/>
      </c>
      <c r="AW143" t="inlineStr">
        <is>
          <t>249156906:eng</t>
        </is>
      </c>
      <c r="AX143" t="inlineStr">
        <is>
          <t>3294607</t>
        </is>
      </c>
      <c r="AY143" t="inlineStr">
        <is>
          <t>991004400019702656</t>
        </is>
      </c>
      <c r="AZ143" t="inlineStr">
        <is>
          <t>991004400019702656</t>
        </is>
      </c>
      <c r="BA143" t="inlineStr">
        <is>
          <t>2259548060002656</t>
        </is>
      </c>
      <c r="BB143" t="inlineStr">
        <is>
          <t>BOOK</t>
        </is>
      </c>
      <c r="BD143" t="inlineStr">
        <is>
          <t>9780882292939</t>
        </is>
      </c>
      <c r="BE143" t="inlineStr">
        <is>
          <t>32285001143832</t>
        </is>
      </c>
      <c r="BF143" t="inlineStr">
        <is>
          <t>893235455</t>
        </is>
      </c>
    </row>
    <row r="144">
      <c r="B144" t="inlineStr">
        <is>
          <t>CURAL</t>
        </is>
      </c>
      <c r="C144" t="inlineStr">
        <is>
          <t>SHELVES</t>
        </is>
      </c>
      <c r="D144" t="inlineStr">
        <is>
          <t>CB425 .A89</t>
        </is>
      </c>
      <c r="E144" t="inlineStr">
        <is>
          <t>0                      CB 0425000A  89</t>
        </is>
      </c>
      <c r="F144" t="inlineStr">
        <is>
          <t>Toward a reasonable society; the values of industrial civilization, by C. E. Ayres.</t>
        </is>
      </c>
      <c r="H144" t="inlineStr">
        <is>
          <t>No</t>
        </is>
      </c>
      <c r="I144" t="inlineStr">
        <is>
          <t>1</t>
        </is>
      </c>
      <c r="J144" t="inlineStr">
        <is>
          <t>No</t>
        </is>
      </c>
      <c r="K144" t="inlineStr">
        <is>
          <t>No</t>
        </is>
      </c>
      <c r="L144" t="inlineStr">
        <is>
          <t>0</t>
        </is>
      </c>
      <c r="M144" t="inlineStr">
        <is>
          <t>Ayres, Clarence Edwin, 1891-1972.</t>
        </is>
      </c>
      <c r="N144" t="inlineStr">
        <is>
          <t>Austin, Univ. of Texas Pr. [1961]</t>
        </is>
      </c>
      <c r="O144" t="inlineStr">
        <is>
          <t>1961</t>
        </is>
      </c>
      <c r="Q144" t="inlineStr">
        <is>
          <t>eng</t>
        </is>
      </c>
      <c r="R144" t="inlineStr">
        <is>
          <t>___</t>
        </is>
      </c>
      <c r="T144" t="inlineStr">
        <is>
          <t xml:space="preserve">CB </t>
        </is>
      </c>
      <c r="U144" t="n">
        <v>4</v>
      </c>
      <c r="V144" t="n">
        <v>4</v>
      </c>
      <c r="W144" t="inlineStr">
        <is>
          <t>2000-04-17</t>
        </is>
      </c>
      <c r="X144" t="inlineStr">
        <is>
          <t>2000-04-17</t>
        </is>
      </c>
      <c r="Y144" t="inlineStr">
        <is>
          <t>1992-06-02</t>
        </is>
      </c>
      <c r="Z144" t="inlineStr">
        <is>
          <t>1992-06-02</t>
        </is>
      </c>
      <c r="AA144" t="n">
        <v>563</v>
      </c>
      <c r="AB144" t="n">
        <v>502</v>
      </c>
      <c r="AC144" t="n">
        <v>593</v>
      </c>
      <c r="AD144" t="n">
        <v>3</v>
      </c>
      <c r="AE144" t="n">
        <v>5</v>
      </c>
      <c r="AF144" t="n">
        <v>21</v>
      </c>
      <c r="AG144" t="n">
        <v>29</v>
      </c>
      <c r="AH144" t="n">
        <v>6</v>
      </c>
      <c r="AI144" t="n">
        <v>11</v>
      </c>
      <c r="AJ144" t="n">
        <v>5</v>
      </c>
      <c r="AK144" t="n">
        <v>7</v>
      </c>
      <c r="AL144" t="n">
        <v>11</v>
      </c>
      <c r="AM144" t="n">
        <v>11</v>
      </c>
      <c r="AN144" t="n">
        <v>2</v>
      </c>
      <c r="AO144" t="n">
        <v>4</v>
      </c>
      <c r="AP144" t="n">
        <v>0</v>
      </c>
      <c r="AQ144" t="n">
        <v>0</v>
      </c>
      <c r="AR144" t="inlineStr">
        <is>
          <t>No</t>
        </is>
      </c>
      <c r="AS144" t="inlineStr">
        <is>
          <t>No</t>
        </is>
      </c>
      <c r="AT144">
        <f>HYPERLINK("http://catalog.hathitrust.org/Record/001595632","HathiTrust Record")</f>
        <v/>
      </c>
      <c r="AU144">
        <f>HYPERLINK("https://creighton-primo.hosted.exlibrisgroup.com/primo-explore/search?tab=default_tab&amp;search_scope=EVERYTHING&amp;vid=01CRU&amp;lang=en_US&amp;offset=0&amp;query=any,contains,991001007239702656","Catalog Record")</f>
        <v/>
      </c>
      <c r="AV144">
        <f>HYPERLINK("http://www.worldcat.org/oclc/172940","WorldCat Record")</f>
        <v/>
      </c>
      <c r="AW144" t="inlineStr">
        <is>
          <t>836625484:eng</t>
        </is>
      </c>
      <c r="AX144" t="inlineStr">
        <is>
          <t>172940</t>
        </is>
      </c>
      <c r="AY144" t="inlineStr">
        <is>
          <t>991001007239702656</t>
        </is>
      </c>
      <c r="AZ144" t="inlineStr">
        <is>
          <t>991001007239702656</t>
        </is>
      </c>
      <c r="BA144" t="inlineStr">
        <is>
          <t>2270169030002656</t>
        </is>
      </c>
      <c r="BB144" t="inlineStr">
        <is>
          <t>BOOK</t>
        </is>
      </c>
      <c r="BE144" t="inlineStr">
        <is>
          <t>32285001143840</t>
        </is>
      </c>
      <c r="BF144" t="inlineStr">
        <is>
          <t>893444545</t>
        </is>
      </c>
    </row>
    <row r="145">
      <c r="B145" t="inlineStr">
        <is>
          <t>CURAL</t>
        </is>
      </c>
      <c r="C145" t="inlineStr">
        <is>
          <t>SHELVES</t>
        </is>
      </c>
      <c r="D145" t="inlineStr">
        <is>
          <t>CB425 .C28 1988</t>
        </is>
      </c>
      <c r="E145" t="inlineStr">
        <is>
          <t>0                      CB 0425000C  28          1988</t>
        </is>
      </c>
      <c r="F145" t="inlineStr">
        <is>
          <t>Twentieth-century culture : modernism to deconstruction / Norman F. Cantor.</t>
        </is>
      </c>
      <c r="H145" t="inlineStr">
        <is>
          <t>No</t>
        </is>
      </c>
      <c r="I145" t="inlineStr">
        <is>
          <t>1</t>
        </is>
      </c>
      <c r="J145" t="inlineStr">
        <is>
          <t>No</t>
        </is>
      </c>
      <c r="K145" t="inlineStr">
        <is>
          <t>No</t>
        </is>
      </c>
      <c r="L145" t="inlineStr">
        <is>
          <t>0</t>
        </is>
      </c>
      <c r="M145" t="inlineStr">
        <is>
          <t>Cantor, Norman F.</t>
        </is>
      </c>
      <c r="N145" t="inlineStr">
        <is>
          <t>New York : P. Lang, 1988.</t>
        </is>
      </c>
      <c r="O145" t="inlineStr">
        <is>
          <t>1988</t>
        </is>
      </c>
      <c r="Q145" t="inlineStr">
        <is>
          <t>eng</t>
        </is>
      </c>
      <c r="R145" t="inlineStr">
        <is>
          <t>nyu</t>
        </is>
      </c>
      <c r="T145" t="inlineStr">
        <is>
          <t xml:space="preserve">CB </t>
        </is>
      </c>
      <c r="U145" t="n">
        <v>12</v>
      </c>
      <c r="V145" t="n">
        <v>12</v>
      </c>
      <c r="W145" t="inlineStr">
        <is>
          <t>2005-10-04</t>
        </is>
      </c>
      <c r="X145" t="inlineStr">
        <is>
          <t>2005-10-04</t>
        </is>
      </c>
      <c r="Y145" t="inlineStr">
        <is>
          <t>1992-06-02</t>
        </is>
      </c>
      <c r="Z145" t="inlineStr">
        <is>
          <t>1992-06-02</t>
        </is>
      </c>
      <c r="AA145" t="n">
        <v>811</v>
      </c>
      <c r="AB145" t="n">
        <v>699</v>
      </c>
      <c r="AC145" t="n">
        <v>701</v>
      </c>
      <c r="AD145" t="n">
        <v>6</v>
      </c>
      <c r="AE145" t="n">
        <v>6</v>
      </c>
      <c r="AF145" t="n">
        <v>36</v>
      </c>
      <c r="AG145" t="n">
        <v>36</v>
      </c>
      <c r="AH145" t="n">
        <v>17</v>
      </c>
      <c r="AI145" t="n">
        <v>17</v>
      </c>
      <c r="AJ145" t="n">
        <v>7</v>
      </c>
      <c r="AK145" t="n">
        <v>7</v>
      </c>
      <c r="AL145" t="n">
        <v>17</v>
      </c>
      <c r="AM145" t="n">
        <v>17</v>
      </c>
      <c r="AN145" t="n">
        <v>5</v>
      </c>
      <c r="AO145" t="n">
        <v>5</v>
      </c>
      <c r="AP145" t="n">
        <v>0</v>
      </c>
      <c r="AQ145" t="n">
        <v>0</v>
      </c>
      <c r="AR145" t="inlineStr">
        <is>
          <t>No</t>
        </is>
      </c>
      <c r="AS145" t="inlineStr">
        <is>
          <t>Yes</t>
        </is>
      </c>
      <c r="AT145">
        <f>HYPERLINK("http://catalog.hathitrust.org/Record/002055874","HathiTrust Record")</f>
        <v/>
      </c>
      <c r="AU145">
        <f>HYPERLINK("https://creighton-primo.hosted.exlibrisgroup.com/primo-explore/search?tab=default_tab&amp;search_scope=EVERYTHING&amp;vid=01CRU&amp;lang=en_US&amp;offset=0&amp;query=any,contains,991001098359702656","Catalog Record")</f>
        <v/>
      </c>
      <c r="AV145">
        <f>HYPERLINK("http://www.worldcat.org/oclc/16277832","WorldCat Record")</f>
        <v/>
      </c>
      <c r="AW145" t="inlineStr">
        <is>
          <t>890254690:eng</t>
        </is>
      </c>
      <c r="AX145" t="inlineStr">
        <is>
          <t>16277832</t>
        </is>
      </c>
      <c r="AY145" t="inlineStr">
        <is>
          <t>991001098359702656</t>
        </is>
      </c>
      <c r="AZ145" t="inlineStr">
        <is>
          <t>991001098359702656</t>
        </is>
      </c>
      <c r="BA145" t="inlineStr">
        <is>
          <t>2260879160002656</t>
        </is>
      </c>
      <c r="BB145" t="inlineStr">
        <is>
          <t>BOOK</t>
        </is>
      </c>
      <c r="BD145" t="inlineStr">
        <is>
          <t>9780820403588</t>
        </is>
      </c>
      <c r="BE145" t="inlineStr">
        <is>
          <t>32285001143857</t>
        </is>
      </c>
      <c r="BF145" t="inlineStr">
        <is>
          <t>893315513</t>
        </is>
      </c>
    </row>
    <row r="146">
      <c r="B146" t="inlineStr">
        <is>
          <t>CURAL</t>
        </is>
      </c>
      <c r="C146" t="inlineStr">
        <is>
          <t>SHELVES</t>
        </is>
      </c>
      <c r="D146" t="inlineStr">
        <is>
          <t>CB425 .C28 1997</t>
        </is>
      </c>
      <c r="E146" t="inlineStr">
        <is>
          <t>0                      CB 0425000C  28          1997</t>
        </is>
      </c>
      <c r="F146" t="inlineStr">
        <is>
          <t>The American century : varieties of culture in modern times / Norman F. Cantor ; picture essays by Mindy Cantor.</t>
        </is>
      </c>
      <c r="H146" t="inlineStr">
        <is>
          <t>No</t>
        </is>
      </c>
      <c r="I146" t="inlineStr">
        <is>
          <t>1</t>
        </is>
      </c>
      <c r="J146" t="inlineStr">
        <is>
          <t>No</t>
        </is>
      </c>
      <c r="K146" t="inlineStr">
        <is>
          <t>No</t>
        </is>
      </c>
      <c r="L146" t="inlineStr">
        <is>
          <t>0</t>
        </is>
      </c>
      <c r="M146" t="inlineStr">
        <is>
          <t>Cantor, Norman F.</t>
        </is>
      </c>
      <c r="N146" t="inlineStr">
        <is>
          <t>New York : HarperCollinsPublishers, c1997.</t>
        </is>
      </c>
      <c r="O146" t="inlineStr">
        <is>
          <t>1997</t>
        </is>
      </c>
      <c r="P146" t="inlineStr">
        <is>
          <t>1st ed.</t>
        </is>
      </c>
      <c r="Q146" t="inlineStr">
        <is>
          <t>eng</t>
        </is>
      </c>
      <c r="R146" t="inlineStr">
        <is>
          <t>nyu</t>
        </is>
      </c>
      <c r="T146" t="inlineStr">
        <is>
          <t xml:space="preserve">CB </t>
        </is>
      </c>
      <c r="U146" t="n">
        <v>4</v>
      </c>
      <c r="V146" t="n">
        <v>4</v>
      </c>
      <c r="W146" t="inlineStr">
        <is>
          <t>2000-12-05</t>
        </is>
      </c>
      <c r="X146" t="inlineStr">
        <is>
          <t>2000-12-05</t>
        </is>
      </c>
      <c r="Y146" t="inlineStr">
        <is>
          <t>1998-06-29</t>
        </is>
      </c>
      <c r="Z146" t="inlineStr">
        <is>
          <t>1998-06-29</t>
        </is>
      </c>
      <c r="AA146" t="n">
        <v>723</v>
      </c>
      <c r="AB146" t="n">
        <v>664</v>
      </c>
      <c r="AC146" t="n">
        <v>888</v>
      </c>
      <c r="AD146" t="n">
        <v>5</v>
      </c>
      <c r="AE146" t="n">
        <v>7</v>
      </c>
      <c r="AF146" t="n">
        <v>20</v>
      </c>
      <c r="AG146" t="n">
        <v>29</v>
      </c>
      <c r="AH146" t="n">
        <v>6</v>
      </c>
      <c r="AI146" t="n">
        <v>12</v>
      </c>
      <c r="AJ146" t="n">
        <v>6</v>
      </c>
      <c r="AK146" t="n">
        <v>7</v>
      </c>
      <c r="AL146" t="n">
        <v>9</v>
      </c>
      <c r="AM146" t="n">
        <v>14</v>
      </c>
      <c r="AN146" t="n">
        <v>3</v>
      </c>
      <c r="AO146" t="n">
        <v>4</v>
      </c>
      <c r="AP146" t="n">
        <v>0</v>
      </c>
      <c r="AQ146" t="n">
        <v>0</v>
      </c>
      <c r="AR146" t="inlineStr">
        <is>
          <t>No</t>
        </is>
      </c>
      <c r="AS146" t="inlineStr">
        <is>
          <t>Yes</t>
        </is>
      </c>
      <c r="AT146">
        <f>HYPERLINK("http://catalog.hathitrust.org/Record/003167971","HathiTrust Record")</f>
        <v/>
      </c>
      <c r="AU146">
        <f>HYPERLINK("https://creighton-primo.hosted.exlibrisgroup.com/primo-explore/search?tab=default_tab&amp;search_scope=EVERYTHING&amp;vid=01CRU&amp;lang=en_US&amp;offset=0&amp;query=any,contains,991002684459702656","Catalog Record")</f>
        <v/>
      </c>
      <c r="AV146">
        <f>HYPERLINK("http://www.worldcat.org/oclc/35084327","WorldCat Record")</f>
        <v/>
      </c>
      <c r="AW146" t="inlineStr">
        <is>
          <t>587978:eng</t>
        </is>
      </c>
      <c r="AX146" t="inlineStr">
        <is>
          <t>35084327</t>
        </is>
      </c>
      <c r="AY146" t="inlineStr">
        <is>
          <t>991002684459702656</t>
        </is>
      </c>
      <c r="AZ146" t="inlineStr">
        <is>
          <t>991002684459702656</t>
        </is>
      </c>
      <c r="BA146" t="inlineStr">
        <is>
          <t>2255399970002656</t>
        </is>
      </c>
      <c r="BB146" t="inlineStr">
        <is>
          <t>BOOK</t>
        </is>
      </c>
      <c r="BD146" t="inlineStr">
        <is>
          <t>9780060174514</t>
        </is>
      </c>
      <c r="BE146" t="inlineStr">
        <is>
          <t>32285003402384</t>
        </is>
      </c>
      <c r="BF146" t="inlineStr">
        <is>
          <t>893427881</t>
        </is>
      </c>
    </row>
    <row r="147">
      <c r="B147" t="inlineStr">
        <is>
          <t>CURAL</t>
        </is>
      </c>
      <c r="C147" t="inlineStr">
        <is>
          <t>SHELVES</t>
        </is>
      </c>
      <c r="D147" t="inlineStr">
        <is>
          <t>CB425 .G745 1998</t>
        </is>
      </c>
      <c r="E147" t="inlineStr">
        <is>
          <t>0                      CB 0425000G  745         1998</t>
        </is>
      </c>
      <c r="F147" t="inlineStr">
        <is>
          <t>From Plato to NATO : the idea of the West and its opponents / David Gress.</t>
        </is>
      </c>
      <c r="H147" t="inlineStr">
        <is>
          <t>No</t>
        </is>
      </c>
      <c r="I147" t="inlineStr">
        <is>
          <t>1</t>
        </is>
      </c>
      <c r="J147" t="inlineStr">
        <is>
          <t>No</t>
        </is>
      </c>
      <c r="K147" t="inlineStr">
        <is>
          <t>No</t>
        </is>
      </c>
      <c r="L147" t="inlineStr">
        <is>
          <t>0</t>
        </is>
      </c>
      <c r="M147" t="inlineStr">
        <is>
          <t>Gress, David, 1953-</t>
        </is>
      </c>
      <c r="N147" t="inlineStr">
        <is>
          <t>New York : Free Press, c1998.</t>
        </is>
      </c>
      <c r="O147" t="inlineStr">
        <is>
          <t>1998</t>
        </is>
      </c>
      <c r="Q147" t="inlineStr">
        <is>
          <t>eng</t>
        </is>
      </c>
      <c r="R147" t="inlineStr">
        <is>
          <t>nyu</t>
        </is>
      </c>
      <c r="T147" t="inlineStr">
        <is>
          <t xml:space="preserve">CB </t>
        </is>
      </c>
      <c r="U147" t="n">
        <v>2</v>
      </c>
      <c r="V147" t="n">
        <v>2</v>
      </c>
      <c r="W147" t="inlineStr">
        <is>
          <t>2010-07-19</t>
        </is>
      </c>
      <c r="X147" t="inlineStr">
        <is>
          <t>2010-07-19</t>
        </is>
      </c>
      <c r="Y147" t="inlineStr">
        <is>
          <t>1998-09-03</t>
        </is>
      </c>
      <c r="Z147" t="inlineStr">
        <is>
          <t>1998-09-03</t>
        </is>
      </c>
      <c r="AA147" t="n">
        <v>884</v>
      </c>
      <c r="AB147" t="n">
        <v>737</v>
      </c>
      <c r="AC147" t="n">
        <v>758</v>
      </c>
      <c r="AD147" t="n">
        <v>7</v>
      </c>
      <c r="AE147" t="n">
        <v>7</v>
      </c>
      <c r="AF147" t="n">
        <v>34</v>
      </c>
      <c r="AG147" t="n">
        <v>34</v>
      </c>
      <c r="AH147" t="n">
        <v>13</v>
      </c>
      <c r="AI147" t="n">
        <v>13</v>
      </c>
      <c r="AJ147" t="n">
        <v>8</v>
      </c>
      <c r="AK147" t="n">
        <v>8</v>
      </c>
      <c r="AL147" t="n">
        <v>16</v>
      </c>
      <c r="AM147" t="n">
        <v>16</v>
      </c>
      <c r="AN147" t="n">
        <v>6</v>
      </c>
      <c r="AO147" t="n">
        <v>6</v>
      </c>
      <c r="AP147" t="n">
        <v>0</v>
      </c>
      <c r="AQ147" t="n">
        <v>0</v>
      </c>
      <c r="AR147" t="inlineStr">
        <is>
          <t>No</t>
        </is>
      </c>
      <c r="AS147" t="inlineStr">
        <is>
          <t>Yes</t>
        </is>
      </c>
      <c r="AT147">
        <f>HYPERLINK("http://catalog.hathitrust.org/Record/003978253","HathiTrust Record")</f>
        <v/>
      </c>
      <c r="AU147">
        <f>HYPERLINK("https://creighton-primo.hosted.exlibrisgroup.com/primo-explore/search?tab=default_tab&amp;search_scope=EVERYTHING&amp;vid=01CRU&amp;lang=en_US&amp;offset=0&amp;query=any,contains,991002926329702656","Catalog Record")</f>
        <v/>
      </c>
      <c r="AV147">
        <f>HYPERLINK("http://www.worldcat.org/oclc/38890864","WorldCat Record")</f>
        <v/>
      </c>
      <c r="AW147" t="inlineStr">
        <is>
          <t>794047610:eng</t>
        </is>
      </c>
      <c r="AX147" t="inlineStr">
        <is>
          <t>38890864</t>
        </is>
      </c>
      <c r="AY147" t="inlineStr">
        <is>
          <t>991002926329702656</t>
        </is>
      </c>
      <c r="AZ147" t="inlineStr">
        <is>
          <t>991002926329702656</t>
        </is>
      </c>
      <c r="BA147" t="inlineStr">
        <is>
          <t>2265184260002656</t>
        </is>
      </c>
      <c r="BB147" t="inlineStr">
        <is>
          <t>BOOK</t>
        </is>
      </c>
      <c r="BD147" t="inlineStr">
        <is>
          <t>9780684827896</t>
        </is>
      </c>
      <c r="BE147" t="inlineStr">
        <is>
          <t>32285003465159</t>
        </is>
      </c>
      <c r="BF147" t="inlineStr">
        <is>
          <t>893805220</t>
        </is>
      </c>
    </row>
    <row r="148">
      <c r="B148" t="inlineStr">
        <is>
          <t>CURAL</t>
        </is>
      </c>
      <c r="C148" t="inlineStr">
        <is>
          <t>SHELVES</t>
        </is>
      </c>
      <c r="D148" t="inlineStr">
        <is>
          <t>CB425 .K45</t>
        </is>
      </c>
      <c r="E148" t="inlineStr">
        <is>
          <t>0                      CB 0425000K  45</t>
        </is>
      </c>
      <c r="F148" t="inlineStr">
        <is>
          <t>The decline of pleasure.</t>
        </is>
      </c>
      <c r="H148" t="inlineStr">
        <is>
          <t>No</t>
        </is>
      </c>
      <c r="I148" t="inlineStr">
        <is>
          <t>1</t>
        </is>
      </c>
      <c r="J148" t="inlineStr">
        <is>
          <t>No</t>
        </is>
      </c>
      <c r="K148" t="inlineStr">
        <is>
          <t>No</t>
        </is>
      </c>
      <c r="L148" t="inlineStr">
        <is>
          <t>0</t>
        </is>
      </c>
      <c r="M148" t="inlineStr">
        <is>
          <t>Kerr, Walter, 1913-1996.</t>
        </is>
      </c>
      <c r="N148" t="inlineStr">
        <is>
          <t>New York, Simon and Schuster, 1962.</t>
        </is>
      </c>
      <c r="O148" t="inlineStr">
        <is>
          <t>1962</t>
        </is>
      </c>
      <c r="Q148" t="inlineStr">
        <is>
          <t>eng</t>
        </is>
      </c>
      <c r="R148" t="inlineStr">
        <is>
          <t>nyu</t>
        </is>
      </c>
      <c r="T148" t="inlineStr">
        <is>
          <t xml:space="preserve">CB </t>
        </is>
      </c>
      <c r="U148" t="n">
        <v>7</v>
      </c>
      <c r="V148" t="n">
        <v>7</v>
      </c>
      <c r="W148" t="inlineStr">
        <is>
          <t>1999-07-27</t>
        </is>
      </c>
      <c r="X148" t="inlineStr">
        <is>
          <t>1999-07-27</t>
        </is>
      </c>
      <c r="Y148" t="inlineStr">
        <is>
          <t>1996-08-19</t>
        </is>
      </c>
      <c r="Z148" t="inlineStr">
        <is>
          <t>1996-08-19</t>
        </is>
      </c>
      <c r="AA148" t="n">
        <v>859</v>
      </c>
      <c r="AB148" t="n">
        <v>787</v>
      </c>
      <c r="AC148" t="n">
        <v>962</v>
      </c>
      <c r="AD148" t="n">
        <v>5</v>
      </c>
      <c r="AE148" t="n">
        <v>7</v>
      </c>
      <c r="AF148" t="n">
        <v>30</v>
      </c>
      <c r="AG148" t="n">
        <v>35</v>
      </c>
      <c r="AH148" t="n">
        <v>10</v>
      </c>
      <c r="AI148" t="n">
        <v>13</v>
      </c>
      <c r="AJ148" t="n">
        <v>6</v>
      </c>
      <c r="AK148" t="n">
        <v>6</v>
      </c>
      <c r="AL148" t="n">
        <v>21</v>
      </c>
      <c r="AM148" t="n">
        <v>22</v>
      </c>
      <c r="AN148" t="n">
        <v>2</v>
      </c>
      <c r="AO148" t="n">
        <v>4</v>
      </c>
      <c r="AP148" t="n">
        <v>0</v>
      </c>
      <c r="AQ148" t="n">
        <v>0</v>
      </c>
      <c r="AR148" t="inlineStr">
        <is>
          <t>No</t>
        </is>
      </c>
      <c r="AS148" t="inlineStr">
        <is>
          <t>Yes</t>
        </is>
      </c>
      <c r="AT148">
        <f>HYPERLINK("http://catalog.hathitrust.org/Record/001595679","HathiTrust Record")</f>
        <v/>
      </c>
      <c r="AU148">
        <f>HYPERLINK("https://creighton-primo.hosted.exlibrisgroup.com/primo-explore/search?tab=default_tab&amp;search_scope=EVERYTHING&amp;vid=01CRU&amp;lang=en_US&amp;offset=0&amp;query=any,contains,991001085439702656","Catalog Record")</f>
        <v/>
      </c>
      <c r="AV148">
        <f>HYPERLINK("http://www.worldcat.org/oclc/180212","WorldCat Record")</f>
        <v/>
      </c>
      <c r="AW148" t="inlineStr">
        <is>
          <t>105114938:eng</t>
        </is>
      </c>
      <c r="AX148" t="inlineStr">
        <is>
          <t>180212</t>
        </is>
      </c>
      <c r="AY148" t="inlineStr">
        <is>
          <t>991001085439702656</t>
        </is>
      </c>
      <c r="AZ148" t="inlineStr">
        <is>
          <t>991001085439702656</t>
        </is>
      </c>
      <c r="BA148" t="inlineStr">
        <is>
          <t>2271927860002656</t>
        </is>
      </c>
      <c r="BB148" t="inlineStr">
        <is>
          <t>BOOK</t>
        </is>
      </c>
      <c r="BE148" t="inlineStr">
        <is>
          <t>32285002276268</t>
        </is>
      </c>
      <c r="BF148" t="inlineStr">
        <is>
          <t>893315496</t>
        </is>
      </c>
    </row>
    <row r="149">
      <c r="B149" t="inlineStr">
        <is>
          <t>CURAL</t>
        </is>
      </c>
      <c r="C149" t="inlineStr">
        <is>
          <t>SHELVES</t>
        </is>
      </c>
      <c r="D149" t="inlineStr">
        <is>
          <t>CB427 .A7 1993</t>
        </is>
      </c>
      <c r="E149" t="inlineStr">
        <is>
          <t>0                      CB 0427000A  7           1993</t>
        </is>
      </c>
      <c r="F149" t="inlineStr">
        <is>
          <t>Between past and future : eight exercises in political thought / Hannah Arendt.</t>
        </is>
      </c>
      <c r="H149" t="inlineStr">
        <is>
          <t>No</t>
        </is>
      </c>
      <c r="I149" t="inlineStr">
        <is>
          <t>1</t>
        </is>
      </c>
      <c r="J149" t="inlineStr">
        <is>
          <t>No</t>
        </is>
      </c>
      <c r="K149" t="inlineStr">
        <is>
          <t>No</t>
        </is>
      </c>
      <c r="L149" t="inlineStr">
        <is>
          <t>0</t>
        </is>
      </c>
      <c r="M149" t="inlineStr">
        <is>
          <t>Arendt, Hannah, 1906-1975.</t>
        </is>
      </c>
      <c r="N149" t="inlineStr">
        <is>
          <t>New York : Penguin Books, 1993, c1968.</t>
        </is>
      </c>
      <c r="O149" t="inlineStr">
        <is>
          <t>1993</t>
        </is>
      </c>
      <c r="Q149" t="inlineStr">
        <is>
          <t>eng</t>
        </is>
      </c>
      <c r="R149" t="inlineStr">
        <is>
          <t>nyu</t>
        </is>
      </c>
      <c r="T149" t="inlineStr">
        <is>
          <t xml:space="preserve">CB </t>
        </is>
      </c>
      <c r="U149" t="n">
        <v>3</v>
      </c>
      <c r="V149" t="n">
        <v>3</v>
      </c>
      <c r="W149" t="inlineStr">
        <is>
          <t>2006-11-04</t>
        </is>
      </c>
      <c r="X149" t="inlineStr">
        <is>
          <t>2006-11-04</t>
        </is>
      </c>
      <c r="Y149" t="inlineStr">
        <is>
          <t>1994-05-06</t>
        </is>
      </c>
      <c r="Z149" t="inlineStr">
        <is>
          <t>1994-05-06</t>
        </is>
      </c>
      <c r="AA149" t="n">
        <v>130</v>
      </c>
      <c r="AB149" t="n">
        <v>111</v>
      </c>
      <c r="AC149" t="n">
        <v>1046</v>
      </c>
      <c r="AD149" t="n">
        <v>1</v>
      </c>
      <c r="AE149" t="n">
        <v>6</v>
      </c>
      <c r="AF149" t="n">
        <v>4</v>
      </c>
      <c r="AG149" t="n">
        <v>42</v>
      </c>
      <c r="AH149" t="n">
        <v>2</v>
      </c>
      <c r="AI149" t="n">
        <v>20</v>
      </c>
      <c r="AJ149" t="n">
        <v>2</v>
      </c>
      <c r="AK149" t="n">
        <v>7</v>
      </c>
      <c r="AL149" t="n">
        <v>2</v>
      </c>
      <c r="AM149" t="n">
        <v>21</v>
      </c>
      <c r="AN149" t="n">
        <v>0</v>
      </c>
      <c r="AO149" t="n">
        <v>5</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HYPERLINK("https://creighton-primo.hosted.exlibrisgroup.com/primo-explore/search?tab=default_tab&amp;search_scope=EVERYTHING&amp;vid=01CRU&amp;lang=en_US&amp;offset=0&amp;query=any,contains,991002201399702656","Catalog Record")</f>
        <v/>
      </c>
      <c r="AV149">
        <f>HYPERLINK("http://www.worldcat.org/oclc/28311361","WorldCat Record")</f>
        <v/>
      </c>
      <c r="AW149" t="inlineStr">
        <is>
          <t>52702909:eng</t>
        </is>
      </c>
      <c r="AX149" t="inlineStr">
        <is>
          <t>28311361</t>
        </is>
      </c>
      <c r="AY149" t="inlineStr">
        <is>
          <t>991002201399702656</t>
        </is>
      </c>
      <c r="AZ149" t="inlineStr">
        <is>
          <t>991002201399702656</t>
        </is>
      </c>
      <c r="BA149" t="inlineStr">
        <is>
          <t>2256035980002656</t>
        </is>
      </c>
      <c r="BB149" t="inlineStr">
        <is>
          <t>BOOK</t>
        </is>
      </c>
      <c r="BD149" t="inlineStr">
        <is>
          <t>9780140186505</t>
        </is>
      </c>
      <c r="BE149" t="inlineStr">
        <is>
          <t>32285001879070</t>
        </is>
      </c>
      <c r="BF149" t="inlineStr">
        <is>
          <t>893779531</t>
        </is>
      </c>
    </row>
    <row r="150">
      <c r="B150" t="inlineStr">
        <is>
          <t>CURAL</t>
        </is>
      </c>
      <c r="C150" t="inlineStr">
        <is>
          <t>SHELVES</t>
        </is>
      </c>
      <c r="D150" t="inlineStr">
        <is>
          <t>CB427 .S56</t>
        </is>
      </c>
      <c r="E150" t="inlineStr">
        <is>
          <t>0                      CB 0427000S  56</t>
        </is>
      </c>
      <c r="F150" t="inlineStr">
        <is>
          <t>The basic trends of our times [by] Pitirim A. Sorokin.</t>
        </is>
      </c>
      <c r="H150" t="inlineStr">
        <is>
          <t>No</t>
        </is>
      </c>
      <c r="I150" t="inlineStr">
        <is>
          <t>1</t>
        </is>
      </c>
      <c r="J150" t="inlineStr">
        <is>
          <t>No</t>
        </is>
      </c>
      <c r="K150" t="inlineStr">
        <is>
          <t>No</t>
        </is>
      </c>
      <c r="L150" t="inlineStr">
        <is>
          <t>0</t>
        </is>
      </c>
      <c r="M150" t="inlineStr">
        <is>
          <t>Sorokin, Pitirim Aleksandrovich, 1889-1968.</t>
        </is>
      </c>
      <c r="N150" t="inlineStr">
        <is>
          <t>New Haven, College &amp; University Press [c1964]</t>
        </is>
      </c>
      <c r="O150" t="inlineStr">
        <is>
          <t>1964</t>
        </is>
      </c>
      <c r="Q150" t="inlineStr">
        <is>
          <t>eng</t>
        </is>
      </c>
      <c r="R150" t="inlineStr">
        <is>
          <t>ctu</t>
        </is>
      </c>
      <c r="T150" t="inlineStr">
        <is>
          <t xml:space="preserve">CB </t>
        </is>
      </c>
      <c r="U150" t="n">
        <v>1</v>
      </c>
      <c r="V150" t="n">
        <v>1</v>
      </c>
      <c r="W150" t="inlineStr">
        <is>
          <t>2006-12-03</t>
        </is>
      </c>
      <c r="X150" t="inlineStr">
        <is>
          <t>2006-12-03</t>
        </is>
      </c>
      <c r="Y150" t="inlineStr">
        <is>
          <t>1996-08-19</t>
        </is>
      </c>
      <c r="Z150" t="inlineStr">
        <is>
          <t>1996-08-19</t>
        </is>
      </c>
      <c r="AA150" t="n">
        <v>462</v>
      </c>
      <c r="AB150" t="n">
        <v>381</v>
      </c>
      <c r="AC150" t="n">
        <v>388</v>
      </c>
      <c r="AD150" t="n">
        <v>2</v>
      </c>
      <c r="AE150" t="n">
        <v>2</v>
      </c>
      <c r="AF150" t="n">
        <v>16</v>
      </c>
      <c r="AG150" t="n">
        <v>16</v>
      </c>
      <c r="AH150" t="n">
        <v>5</v>
      </c>
      <c r="AI150" t="n">
        <v>5</v>
      </c>
      <c r="AJ150" t="n">
        <v>4</v>
      </c>
      <c r="AK150" t="n">
        <v>4</v>
      </c>
      <c r="AL150" t="n">
        <v>10</v>
      </c>
      <c r="AM150" t="n">
        <v>10</v>
      </c>
      <c r="AN150" t="n">
        <v>1</v>
      </c>
      <c r="AO150" t="n">
        <v>1</v>
      </c>
      <c r="AP150" t="n">
        <v>0</v>
      </c>
      <c r="AQ150" t="n">
        <v>0</v>
      </c>
      <c r="AR150" t="inlineStr">
        <is>
          <t>No</t>
        </is>
      </c>
      <c r="AS150" t="inlineStr">
        <is>
          <t>Yes</t>
        </is>
      </c>
      <c r="AT150">
        <f>HYPERLINK("http://catalog.hathitrust.org/Record/001595766","HathiTrust Record")</f>
        <v/>
      </c>
      <c r="AU150">
        <f>HYPERLINK("https://creighton-primo.hosted.exlibrisgroup.com/primo-explore/search?tab=default_tab&amp;search_scope=EVERYTHING&amp;vid=01CRU&amp;lang=en_US&amp;offset=0&amp;query=any,contains,991002658829702656","Catalog Record")</f>
        <v/>
      </c>
      <c r="AV150">
        <f>HYPERLINK("http://www.worldcat.org/oclc/390661","WorldCat Record")</f>
        <v/>
      </c>
      <c r="AW150" t="inlineStr">
        <is>
          <t>1525013:eng</t>
        </is>
      </c>
      <c r="AX150" t="inlineStr">
        <is>
          <t>390661</t>
        </is>
      </c>
      <c r="AY150" t="inlineStr">
        <is>
          <t>991002658829702656</t>
        </is>
      </c>
      <c r="AZ150" t="inlineStr">
        <is>
          <t>991002658829702656</t>
        </is>
      </c>
      <c r="BA150" t="inlineStr">
        <is>
          <t>2262102010002656</t>
        </is>
      </c>
      <c r="BB150" t="inlineStr">
        <is>
          <t>BOOK</t>
        </is>
      </c>
      <c r="BE150" t="inlineStr">
        <is>
          <t>32285002276516</t>
        </is>
      </c>
      <c r="BF150" t="inlineStr">
        <is>
          <t>893415481</t>
        </is>
      </c>
    </row>
    <row r="151">
      <c r="B151" t="inlineStr">
        <is>
          <t>CURAL</t>
        </is>
      </c>
      <c r="C151" t="inlineStr">
        <is>
          <t>SHELVES</t>
        </is>
      </c>
      <c r="D151" t="inlineStr">
        <is>
          <t>CB428 .A35</t>
        </is>
      </c>
      <c r="E151" t="inlineStr">
        <is>
          <t>0                      CB 0428000A  35</t>
        </is>
      </c>
      <c r="F151" t="inlineStr">
        <is>
          <t>Philosophy and the modern mind : a philosophical critique of modern Western civilization / by E. M. Adams.</t>
        </is>
      </c>
      <c r="H151" t="inlineStr">
        <is>
          <t>No</t>
        </is>
      </c>
      <c r="I151" t="inlineStr">
        <is>
          <t>1</t>
        </is>
      </c>
      <c r="J151" t="inlineStr">
        <is>
          <t>No</t>
        </is>
      </c>
      <c r="K151" t="inlineStr">
        <is>
          <t>No</t>
        </is>
      </c>
      <c r="L151" t="inlineStr">
        <is>
          <t>0</t>
        </is>
      </c>
      <c r="M151" t="inlineStr">
        <is>
          <t>Adams, E. M. (Elie Maynard), 1919-2003.</t>
        </is>
      </c>
      <c r="N151" t="inlineStr">
        <is>
          <t>Chapel Hill : University of North Carolina Press, [1975]</t>
        </is>
      </c>
      <c r="O151" t="inlineStr">
        <is>
          <t>1975</t>
        </is>
      </c>
      <c r="Q151" t="inlineStr">
        <is>
          <t>eng</t>
        </is>
      </c>
      <c r="R151" t="inlineStr">
        <is>
          <t>ncu</t>
        </is>
      </c>
      <c r="T151" t="inlineStr">
        <is>
          <t xml:space="preserve">CB </t>
        </is>
      </c>
      <c r="U151" t="n">
        <v>2</v>
      </c>
      <c r="V151" t="n">
        <v>2</v>
      </c>
      <c r="W151" t="inlineStr">
        <is>
          <t>2006-12-03</t>
        </is>
      </c>
      <c r="X151" t="inlineStr">
        <is>
          <t>2006-12-03</t>
        </is>
      </c>
      <c r="Y151" t="inlineStr">
        <is>
          <t>1996-08-20</t>
        </is>
      </c>
      <c r="Z151" t="inlineStr">
        <is>
          <t>1996-08-20</t>
        </is>
      </c>
      <c r="AA151" t="n">
        <v>562</v>
      </c>
      <c r="AB151" t="n">
        <v>468</v>
      </c>
      <c r="AC151" t="n">
        <v>507</v>
      </c>
      <c r="AD151" t="n">
        <v>4</v>
      </c>
      <c r="AE151" t="n">
        <v>4</v>
      </c>
      <c r="AF151" t="n">
        <v>22</v>
      </c>
      <c r="AG151" t="n">
        <v>23</v>
      </c>
      <c r="AH151" t="n">
        <v>5</v>
      </c>
      <c r="AI151" t="n">
        <v>5</v>
      </c>
      <c r="AJ151" t="n">
        <v>5</v>
      </c>
      <c r="AK151" t="n">
        <v>5</v>
      </c>
      <c r="AL151" t="n">
        <v>15</v>
      </c>
      <c r="AM151" t="n">
        <v>16</v>
      </c>
      <c r="AN151" t="n">
        <v>3</v>
      </c>
      <c r="AO151" t="n">
        <v>3</v>
      </c>
      <c r="AP151" t="n">
        <v>0</v>
      </c>
      <c r="AQ151" t="n">
        <v>0</v>
      </c>
      <c r="AR151" t="inlineStr">
        <is>
          <t>No</t>
        </is>
      </c>
      <c r="AS151" t="inlineStr">
        <is>
          <t>Yes</t>
        </is>
      </c>
      <c r="AT151">
        <f>HYPERLINK("http://catalog.hathitrust.org/Record/001603776","HathiTrust Record")</f>
        <v/>
      </c>
      <c r="AU151">
        <f>HYPERLINK("https://creighton-primo.hosted.exlibrisgroup.com/primo-explore/search?tab=default_tab&amp;search_scope=EVERYTHING&amp;vid=01CRU&amp;lang=en_US&amp;offset=0&amp;query=any,contains,991003532469702656","Catalog Record")</f>
        <v/>
      </c>
      <c r="AV151">
        <f>HYPERLINK("http://www.worldcat.org/oclc/1094941","WorldCat Record")</f>
        <v/>
      </c>
      <c r="AW151" t="inlineStr">
        <is>
          <t>259933674:eng</t>
        </is>
      </c>
      <c r="AX151" t="inlineStr">
        <is>
          <t>1094941</t>
        </is>
      </c>
      <c r="AY151" t="inlineStr">
        <is>
          <t>991003532469702656</t>
        </is>
      </c>
      <c r="AZ151" t="inlineStr">
        <is>
          <t>991003532469702656</t>
        </is>
      </c>
      <c r="BA151" t="inlineStr">
        <is>
          <t>2265178460002656</t>
        </is>
      </c>
      <c r="BB151" t="inlineStr">
        <is>
          <t>BOOK</t>
        </is>
      </c>
      <c r="BD151" t="inlineStr">
        <is>
          <t>9780807812426</t>
        </is>
      </c>
      <c r="BE151" t="inlineStr">
        <is>
          <t>32285002276532</t>
        </is>
      </c>
      <c r="BF151" t="inlineStr">
        <is>
          <t>893623588</t>
        </is>
      </c>
    </row>
    <row r="152">
      <c r="B152" t="inlineStr">
        <is>
          <t>CURAL</t>
        </is>
      </c>
      <c r="C152" t="inlineStr">
        <is>
          <t>SHELVES</t>
        </is>
      </c>
      <c r="D152" t="inlineStr">
        <is>
          <t>CB428 .A64 1992</t>
        </is>
      </c>
      <c r="E152" t="inlineStr">
        <is>
          <t>0                      CB 0428000A  64          1992</t>
        </is>
      </c>
      <c r="F152" t="inlineStr">
        <is>
          <t>Reality isn't what it used to be : theatrical politics, ready-to-wear religion, global myths, primitive chic and other wonders of the postmodern world / Walter Truett Anderson.</t>
        </is>
      </c>
      <c r="H152" t="inlineStr">
        <is>
          <t>No</t>
        </is>
      </c>
      <c r="I152" t="inlineStr">
        <is>
          <t>1</t>
        </is>
      </c>
      <c r="J152" t="inlineStr">
        <is>
          <t>No</t>
        </is>
      </c>
      <c r="K152" t="inlineStr">
        <is>
          <t>No</t>
        </is>
      </c>
      <c r="L152" t="inlineStr">
        <is>
          <t>0</t>
        </is>
      </c>
      <c r="M152" t="inlineStr">
        <is>
          <t>Anderson, Walt, 1933-</t>
        </is>
      </c>
      <c r="N152" t="inlineStr">
        <is>
          <t>San Francisco, Calif. : Harper San Francisco, [1992]</t>
        </is>
      </c>
      <c r="O152" t="inlineStr">
        <is>
          <t>1992</t>
        </is>
      </c>
      <c r="Q152" t="inlineStr">
        <is>
          <t>eng</t>
        </is>
      </c>
      <c r="R152" t="inlineStr">
        <is>
          <t>cau</t>
        </is>
      </c>
      <c r="T152" t="inlineStr">
        <is>
          <t xml:space="preserve">CB </t>
        </is>
      </c>
      <c r="U152" t="n">
        <v>4</v>
      </c>
      <c r="V152" t="n">
        <v>4</v>
      </c>
      <c r="W152" t="inlineStr">
        <is>
          <t>2004-04-23</t>
        </is>
      </c>
      <c r="X152" t="inlineStr">
        <is>
          <t>2004-04-23</t>
        </is>
      </c>
      <c r="Y152" t="inlineStr">
        <is>
          <t>1992-10-07</t>
        </is>
      </c>
      <c r="Z152" t="inlineStr">
        <is>
          <t>1992-10-07</t>
        </is>
      </c>
      <c r="AA152" t="n">
        <v>290</v>
      </c>
      <c r="AB152" t="n">
        <v>242</v>
      </c>
      <c r="AC152" t="n">
        <v>628</v>
      </c>
      <c r="AD152" t="n">
        <v>2</v>
      </c>
      <c r="AE152" t="n">
        <v>5</v>
      </c>
      <c r="AF152" t="n">
        <v>13</v>
      </c>
      <c r="AG152" t="n">
        <v>28</v>
      </c>
      <c r="AH152" t="n">
        <v>8</v>
      </c>
      <c r="AI152" t="n">
        <v>12</v>
      </c>
      <c r="AJ152" t="n">
        <v>1</v>
      </c>
      <c r="AK152" t="n">
        <v>6</v>
      </c>
      <c r="AL152" t="n">
        <v>5</v>
      </c>
      <c r="AM152" t="n">
        <v>12</v>
      </c>
      <c r="AN152" t="n">
        <v>1</v>
      </c>
      <c r="AO152" t="n">
        <v>4</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HYPERLINK("https://creighton-primo.hosted.exlibrisgroup.com/primo-explore/search?tab=default_tab&amp;search_scope=EVERYTHING&amp;vid=01CRU&amp;lang=en_US&amp;offset=0&amp;query=any,contains,991001991839702656","Catalog Record")</f>
        <v/>
      </c>
      <c r="AV152">
        <f>HYPERLINK("http://www.worldcat.org/oclc/25315428","WorldCat Record")</f>
        <v/>
      </c>
      <c r="AW152" t="inlineStr">
        <is>
          <t>22477296:eng</t>
        </is>
      </c>
      <c r="AX152" t="inlineStr">
        <is>
          <t>25315428</t>
        </is>
      </c>
      <c r="AY152" t="inlineStr">
        <is>
          <t>991001991839702656</t>
        </is>
      </c>
      <c r="AZ152" t="inlineStr">
        <is>
          <t>991001991839702656</t>
        </is>
      </c>
      <c r="BA152" t="inlineStr">
        <is>
          <t>2270729270002656</t>
        </is>
      </c>
      <c r="BB152" t="inlineStr">
        <is>
          <t>BOOK</t>
        </is>
      </c>
      <c r="BD152" t="inlineStr">
        <is>
          <t>9780062500175</t>
        </is>
      </c>
      <c r="BE152" t="inlineStr">
        <is>
          <t>32285001315737</t>
        </is>
      </c>
      <c r="BF152" t="inlineStr">
        <is>
          <t>893529408</t>
        </is>
      </c>
    </row>
    <row r="153">
      <c r="B153" t="inlineStr">
        <is>
          <t>CURAL</t>
        </is>
      </c>
      <c r="C153" t="inlineStr">
        <is>
          <t>SHELVES</t>
        </is>
      </c>
      <c r="D153" t="inlineStr">
        <is>
          <t>CB428 .C3</t>
        </is>
      </c>
      <c r="E153" t="inlineStr">
        <is>
          <t>0                      CB 0428000C  3</t>
        </is>
      </c>
      <c r="F153" t="inlineStr">
        <is>
          <t>The tyranny of survival; and other pathologies of civilized life [by] Daniel Callahan.</t>
        </is>
      </c>
      <c r="H153" t="inlineStr">
        <is>
          <t>No</t>
        </is>
      </c>
      <c r="I153" t="inlineStr">
        <is>
          <t>1</t>
        </is>
      </c>
      <c r="J153" t="inlineStr">
        <is>
          <t>No</t>
        </is>
      </c>
      <c r="K153" t="inlineStr">
        <is>
          <t>No</t>
        </is>
      </c>
      <c r="L153" t="inlineStr">
        <is>
          <t>0</t>
        </is>
      </c>
      <c r="M153" t="inlineStr">
        <is>
          <t>Callahan, Daniel, 1930-2019.</t>
        </is>
      </c>
      <c r="N153" t="inlineStr">
        <is>
          <t>New York, Macmillan [1973]</t>
        </is>
      </c>
      <c r="O153" t="inlineStr">
        <is>
          <t>1973</t>
        </is>
      </c>
      <c r="Q153" t="inlineStr">
        <is>
          <t>eng</t>
        </is>
      </c>
      <c r="R153" t="inlineStr">
        <is>
          <t>nyu</t>
        </is>
      </c>
      <c r="T153" t="inlineStr">
        <is>
          <t xml:space="preserve">CB </t>
        </is>
      </c>
      <c r="U153" t="n">
        <v>2</v>
      </c>
      <c r="V153" t="n">
        <v>2</v>
      </c>
      <c r="W153" t="inlineStr">
        <is>
          <t>2008-10-17</t>
        </is>
      </c>
      <c r="X153" t="inlineStr">
        <is>
          <t>2008-10-17</t>
        </is>
      </c>
      <c r="Y153" t="inlineStr">
        <is>
          <t>1996-08-20</t>
        </is>
      </c>
      <c r="Z153" t="inlineStr">
        <is>
          <t>1996-08-20</t>
        </is>
      </c>
      <c r="AA153" t="n">
        <v>668</v>
      </c>
      <c r="AB153" t="n">
        <v>576</v>
      </c>
      <c r="AC153" t="n">
        <v>615</v>
      </c>
      <c r="AD153" t="n">
        <v>6</v>
      </c>
      <c r="AE153" t="n">
        <v>6</v>
      </c>
      <c r="AF153" t="n">
        <v>32</v>
      </c>
      <c r="AG153" t="n">
        <v>36</v>
      </c>
      <c r="AH153" t="n">
        <v>7</v>
      </c>
      <c r="AI153" t="n">
        <v>10</v>
      </c>
      <c r="AJ153" t="n">
        <v>6</v>
      </c>
      <c r="AK153" t="n">
        <v>6</v>
      </c>
      <c r="AL153" t="n">
        <v>20</v>
      </c>
      <c r="AM153" t="n">
        <v>21</v>
      </c>
      <c r="AN153" t="n">
        <v>5</v>
      </c>
      <c r="AO153" t="n">
        <v>5</v>
      </c>
      <c r="AP153" t="n">
        <v>1</v>
      </c>
      <c r="AQ153" t="n">
        <v>1</v>
      </c>
      <c r="AR153" t="inlineStr">
        <is>
          <t>No</t>
        </is>
      </c>
      <c r="AS153" t="inlineStr">
        <is>
          <t>Yes</t>
        </is>
      </c>
      <c r="AT153">
        <f>HYPERLINK("http://catalog.hathitrust.org/Record/001595779","HathiTrust Record")</f>
        <v/>
      </c>
      <c r="AU153">
        <f>HYPERLINK("https://creighton-primo.hosted.exlibrisgroup.com/primo-explore/search?tab=default_tab&amp;search_scope=EVERYTHING&amp;vid=01CRU&amp;lang=en_US&amp;offset=0&amp;query=any,contains,991003219429702656","Catalog Record")</f>
        <v/>
      </c>
      <c r="AV153">
        <f>HYPERLINK("http://www.worldcat.org/oclc/745566","WorldCat Record")</f>
        <v/>
      </c>
      <c r="AW153" t="inlineStr">
        <is>
          <t>4640079:eng</t>
        </is>
      </c>
      <c r="AX153" t="inlineStr">
        <is>
          <t>745566</t>
        </is>
      </c>
      <c r="AY153" t="inlineStr">
        <is>
          <t>991003219429702656</t>
        </is>
      </c>
      <c r="AZ153" t="inlineStr">
        <is>
          <t>991003219429702656</t>
        </is>
      </c>
      <c r="BA153" t="inlineStr">
        <is>
          <t>2268995390002656</t>
        </is>
      </c>
      <c r="BB153" t="inlineStr">
        <is>
          <t>BOOK</t>
        </is>
      </c>
      <c r="BE153" t="inlineStr">
        <is>
          <t>32285002276573</t>
        </is>
      </c>
      <c r="BF153" t="inlineStr">
        <is>
          <t>893410036</t>
        </is>
      </c>
    </row>
    <row r="154">
      <c r="B154" t="inlineStr">
        <is>
          <t>CURAL</t>
        </is>
      </c>
      <c r="C154" t="inlineStr">
        <is>
          <t>SHELVES</t>
        </is>
      </c>
      <c r="D154" t="inlineStr">
        <is>
          <t>CB428 .C52313 1992</t>
        </is>
      </c>
      <c r="E154" t="inlineStr">
        <is>
          <t>0                      CB 0428000C  52313       1992</t>
        </is>
      </c>
      <c r="F154" t="inlineStr">
        <is>
          <t>Brave modern world : the prospects for survival / Jean Chesneaux ; [translated from the French by Diana Johnstone, Karen Bowie and Francisca Garvie].</t>
        </is>
      </c>
      <c r="H154" t="inlineStr">
        <is>
          <t>No</t>
        </is>
      </c>
      <c r="I154" t="inlineStr">
        <is>
          <t>1</t>
        </is>
      </c>
      <c r="J154" t="inlineStr">
        <is>
          <t>No</t>
        </is>
      </c>
      <c r="K154" t="inlineStr">
        <is>
          <t>No</t>
        </is>
      </c>
      <c r="L154" t="inlineStr">
        <is>
          <t>0</t>
        </is>
      </c>
      <c r="M154" t="inlineStr">
        <is>
          <t>Chesneaux, Jean.</t>
        </is>
      </c>
      <c r="N154" t="inlineStr">
        <is>
          <t>New York, NY : Thames and Hudson, c1992.</t>
        </is>
      </c>
      <c r="O154" t="inlineStr">
        <is>
          <t>1992</t>
        </is>
      </c>
      <c r="Q154" t="inlineStr">
        <is>
          <t>eng</t>
        </is>
      </c>
      <c r="R154" t="inlineStr">
        <is>
          <t>nyu</t>
        </is>
      </c>
      <c r="T154" t="inlineStr">
        <is>
          <t xml:space="preserve">CB </t>
        </is>
      </c>
      <c r="U154" t="n">
        <v>2</v>
      </c>
      <c r="V154" t="n">
        <v>2</v>
      </c>
      <c r="W154" t="inlineStr">
        <is>
          <t>1994-05-13</t>
        </is>
      </c>
      <c r="X154" t="inlineStr">
        <is>
          <t>1994-05-13</t>
        </is>
      </c>
      <c r="Y154" t="inlineStr">
        <is>
          <t>1992-10-15</t>
        </is>
      </c>
      <c r="Z154" t="inlineStr">
        <is>
          <t>1992-10-15</t>
        </is>
      </c>
      <c r="AA154" t="n">
        <v>121</v>
      </c>
      <c r="AB154" t="n">
        <v>106</v>
      </c>
      <c r="AC154" t="n">
        <v>126</v>
      </c>
      <c r="AD154" t="n">
        <v>2</v>
      </c>
      <c r="AE154" t="n">
        <v>2</v>
      </c>
      <c r="AF154" t="n">
        <v>4</v>
      </c>
      <c r="AG154" t="n">
        <v>5</v>
      </c>
      <c r="AH154" t="n">
        <v>1</v>
      </c>
      <c r="AI154" t="n">
        <v>1</v>
      </c>
      <c r="AJ154" t="n">
        <v>0</v>
      </c>
      <c r="AK154" t="n">
        <v>1</v>
      </c>
      <c r="AL154" t="n">
        <v>3</v>
      </c>
      <c r="AM154" t="n">
        <v>4</v>
      </c>
      <c r="AN154" t="n">
        <v>1</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HYPERLINK("https://creighton-primo.hosted.exlibrisgroup.com/primo-explore/search?tab=default_tab&amp;search_scope=EVERYTHING&amp;vid=01CRU&amp;lang=en_US&amp;offset=0&amp;query=any,contains,991002051359702656","Catalog Record")</f>
        <v/>
      </c>
      <c r="AV154">
        <f>HYPERLINK("http://www.worldcat.org/oclc/26183643","WorldCat Record")</f>
        <v/>
      </c>
      <c r="AW154" t="inlineStr">
        <is>
          <t>1151506968:eng</t>
        </is>
      </c>
      <c r="AX154" t="inlineStr">
        <is>
          <t>26183643</t>
        </is>
      </c>
      <c r="AY154" t="inlineStr">
        <is>
          <t>991002051359702656</t>
        </is>
      </c>
      <c r="AZ154" t="inlineStr">
        <is>
          <t>991002051359702656</t>
        </is>
      </c>
      <c r="BA154" t="inlineStr">
        <is>
          <t>2263656560002656</t>
        </is>
      </c>
      <c r="BB154" t="inlineStr">
        <is>
          <t>BOOK</t>
        </is>
      </c>
      <c r="BD154" t="inlineStr">
        <is>
          <t>9780500015315</t>
        </is>
      </c>
      <c r="BE154" t="inlineStr">
        <is>
          <t>32285001318236</t>
        </is>
      </c>
      <c r="BF154" t="inlineStr">
        <is>
          <t>893347044</t>
        </is>
      </c>
    </row>
    <row r="155">
      <c r="B155" t="inlineStr">
        <is>
          <t>CURAL</t>
        </is>
      </c>
      <c r="C155" t="inlineStr">
        <is>
          <t>SHELVES</t>
        </is>
      </c>
      <c r="D155" t="inlineStr">
        <is>
          <t>CB428 .H375 2004</t>
        </is>
      </c>
      <c r="E155" t="inlineStr">
        <is>
          <t>0                      CB 0428000H  375         2004</t>
        </is>
      </c>
      <c r="F155" t="inlineStr">
        <is>
          <t>Civilization and its enemies : the next stage of history / Lee Harris.</t>
        </is>
      </c>
      <c r="H155" t="inlineStr">
        <is>
          <t>No</t>
        </is>
      </c>
      <c r="I155" t="inlineStr">
        <is>
          <t>1</t>
        </is>
      </c>
      <c r="J155" t="inlineStr">
        <is>
          <t>No</t>
        </is>
      </c>
      <c r="K155" t="inlineStr">
        <is>
          <t>No</t>
        </is>
      </c>
      <c r="L155" t="inlineStr">
        <is>
          <t>0</t>
        </is>
      </c>
      <c r="M155" t="inlineStr">
        <is>
          <t>Harris, Lee, 1948-</t>
        </is>
      </c>
      <c r="N155" t="inlineStr">
        <is>
          <t>New York : Free Press, c2004.</t>
        </is>
      </c>
      <c r="O155" t="inlineStr">
        <is>
          <t>2004</t>
        </is>
      </c>
      <c r="Q155" t="inlineStr">
        <is>
          <t>eng</t>
        </is>
      </c>
      <c r="R155" t="inlineStr">
        <is>
          <t>nyu</t>
        </is>
      </c>
      <c r="T155" t="inlineStr">
        <is>
          <t xml:space="preserve">CB </t>
        </is>
      </c>
      <c r="U155" t="n">
        <v>3</v>
      </c>
      <c r="V155" t="n">
        <v>3</v>
      </c>
      <c r="W155" t="inlineStr">
        <is>
          <t>2004-03-26</t>
        </is>
      </c>
      <c r="X155" t="inlineStr">
        <is>
          <t>2004-03-26</t>
        </is>
      </c>
      <c r="Y155" t="inlineStr">
        <is>
          <t>2004-02-24</t>
        </is>
      </c>
      <c r="Z155" t="inlineStr">
        <is>
          <t>2004-02-24</t>
        </is>
      </c>
      <c r="AA155" t="n">
        <v>763</v>
      </c>
      <c r="AB155" t="n">
        <v>681</v>
      </c>
      <c r="AC155" t="n">
        <v>688</v>
      </c>
      <c r="AD155" t="n">
        <v>6</v>
      </c>
      <c r="AE155" t="n">
        <v>6</v>
      </c>
      <c r="AF155" t="n">
        <v>28</v>
      </c>
      <c r="AG155" t="n">
        <v>28</v>
      </c>
      <c r="AH155" t="n">
        <v>10</v>
      </c>
      <c r="AI155" t="n">
        <v>10</v>
      </c>
      <c r="AJ155" t="n">
        <v>8</v>
      </c>
      <c r="AK155" t="n">
        <v>8</v>
      </c>
      <c r="AL155" t="n">
        <v>14</v>
      </c>
      <c r="AM155" t="n">
        <v>14</v>
      </c>
      <c r="AN155" t="n">
        <v>4</v>
      </c>
      <c r="AO155" t="n">
        <v>4</v>
      </c>
      <c r="AP155" t="n">
        <v>1</v>
      </c>
      <c r="AQ155" t="n">
        <v>1</v>
      </c>
      <c r="AR155" t="inlineStr">
        <is>
          <t>No</t>
        </is>
      </c>
      <c r="AS155" t="inlineStr">
        <is>
          <t>Yes</t>
        </is>
      </c>
      <c r="AT155">
        <f>HYPERLINK("http://catalog.hathitrust.org/Record/004361701","HathiTrust Record")</f>
        <v/>
      </c>
      <c r="AU155">
        <f>HYPERLINK("https://creighton-primo.hosted.exlibrisgroup.com/primo-explore/search?tab=default_tab&amp;search_scope=EVERYTHING&amp;vid=01CRU&amp;lang=en_US&amp;offset=0&amp;query=any,contains,991004225499702656","Catalog Record")</f>
        <v/>
      </c>
      <c r="AV155">
        <f>HYPERLINK("http://www.worldcat.org/oclc/53231297","WorldCat Record")</f>
        <v/>
      </c>
      <c r="AW155" t="inlineStr">
        <is>
          <t>742091:eng</t>
        </is>
      </c>
      <c r="AX155" t="inlineStr">
        <is>
          <t>53231297</t>
        </is>
      </c>
      <c r="AY155" t="inlineStr">
        <is>
          <t>991004225499702656</t>
        </is>
      </c>
      <c r="AZ155" t="inlineStr">
        <is>
          <t>991004225499702656</t>
        </is>
      </c>
      <c r="BA155" t="inlineStr">
        <is>
          <t>2263761360002656</t>
        </is>
      </c>
      <c r="BB155" t="inlineStr">
        <is>
          <t>BOOK</t>
        </is>
      </c>
      <c r="BD155" t="inlineStr">
        <is>
          <t>9780743257497</t>
        </is>
      </c>
      <c r="BE155" t="inlineStr">
        <is>
          <t>32285004890173</t>
        </is>
      </c>
      <c r="BF155" t="inlineStr">
        <is>
          <t>893253419</t>
        </is>
      </c>
    </row>
    <row r="156">
      <c r="B156" t="inlineStr">
        <is>
          <t>CURAL</t>
        </is>
      </c>
      <c r="C156" t="inlineStr">
        <is>
          <t>SHELVES</t>
        </is>
      </c>
      <c r="D156" t="inlineStr">
        <is>
          <t>CB428 .P43154 1988</t>
        </is>
      </c>
      <c r="E156" t="inlineStr">
        <is>
          <t>0                      CB 0428000P  43154       1988</t>
        </is>
      </c>
      <c r="F156" t="inlineStr">
        <is>
          <t>Sebelum segalanya terlambat : dialog lingkungan bidup / Aurelio Peccei, Daisaku Ikeda ; alih-bahasa, Iskandar ; penyunting, Soetopo Srisadono.</t>
        </is>
      </c>
      <c r="H156" t="inlineStr">
        <is>
          <t>No</t>
        </is>
      </c>
      <c r="I156" t="inlineStr">
        <is>
          <t>1</t>
        </is>
      </c>
      <c r="J156" t="inlineStr">
        <is>
          <t>No</t>
        </is>
      </c>
      <c r="K156" t="inlineStr">
        <is>
          <t>No</t>
        </is>
      </c>
      <c r="L156" t="inlineStr">
        <is>
          <t>0</t>
        </is>
      </c>
      <c r="M156" t="inlineStr">
        <is>
          <t>Peccei, Aurelio.</t>
        </is>
      </c>
      <c r="N156" t="inlineStr">
        <is>
          <t>Jakarta : Indira, c1988.</t>
        </is>
      </c>
      <c r="O156" t="inlineStr">
        <is>
          <t>1988</t>
        </is>
      </c>
      <c r="Q156" t="inlineStr">
        <is>
          <t>ind</t>
        </is>
      </c>
      <c r="R156" t="inlineStr">
        <is>
          <t xml:space="preserve">io </t>
        </is>
      </c>
      <c r="T156" t="inlineStr">
        <is>
          <t xml:space="preserve">CB </t>
        </is>
      </c>
      <c r="U156" t="n">
        <v>2</v>
      </c>
      <c r="V156" t="n">
        <v>2</v>
      </c>
      <c r="W156" t="inlineStr">
        <is>
          <t>1994-01-12</t>
        </is>
      </c>
      <c r="X156" t="inlineStr">
        <is>
          <t>1994-01-12</t>
        </is>
      </c>
      <c r="Y156" t="inlineStr">
        <is>
          <t>1990-03-15</t>
        </is>
      </c>
      <c r="Z156" t="inlineStr">
        <is>
          <t>1990-03-15</t>
        </is>
      </c>
      <c r="AA156" t="n">
        <v>37</v>
      </c>
      <c r="AB156" t="n">
        <v>35</v>
      </c>
      <c r="AC156" t="n">
        <v>35</v>
      </c>
      <c r="AD156" t="n">
        <v>2</v>
      </c>
      <c r="AE156" t="n">
        <v>2</v>
      </c>
      <c r="AF156" t="n">
        <v>1</v>
      </c>
      <c r="AG156" t="n">
        <v>1</v>
      </c>
      <c r="AH156" t="n">
        <v>0</v>
      </c>
      <c r="AI156" t="n">
        <v>0</v>
      </c>
      <c r="AJ156" t="n">
        <v>0</v>
      </c>
      <c r="AK156" t="n">
        <v>0</v>
      </c>
      <c r="AL156" t="n">
        <v>0</v>
      </c>
      <c r="AM156" t="n">
        <v>0</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HYPERLINK("https://creighton-primo.hosted.exlibrisgroup.com/primo-explore/search?tab=default_tab&amp;search_scope=EVERYTHING&amp;vid=01CRU&amp;lang=en_US&amp;offset=0&amp;query=any,contains,991001634789702656","Catalog Record")</f>
        <v/>
      </c>
      <c r="AV156">
        <f>HYPERLINK("http://www.worldcat.org/oclc/20939293","WorldCat Record")</f>
        <v/>
      </c>
      <c r="AW156" t="inlineStr">
        <is>
          <t>10252276499:ind</t>
        </is>
      </c>
      <c r="AX156" t="inlineStr">
        <is>
          <t>20939293</t>
        </is>
      </c>
      <c r="AY156" t="inlineStr">
        <is>
          <t>991001634789702656</t>
        </is>
      </c>
      <c r="AZ156" t="inlineStr">
        <is>
          <t>991001634789702656</t>
        </is>
      </c>
      <c r="BA156" t="inlineStr">
        <is>
          <t>2268683230002656</t>
        </is>
      </c>
      <c r="BB156" t="inlineStr">
        <is>
          <t>BOOK</t>
        </is>
      </c>
      <c r="BD156" t="inlineStr">
        <is>
          <t>9789798063053</t>
        </is>
      </c>
      <c r="BE156" t="inlineStr">
        <is>
          <t>32285000021385</t>
        </is>
      </c>
      <c r="BF156" t="inlineStr">
        <is>
          <t>893709412</t>
        </is>
      </c>
    </row>
    <row r="157">
      <c r="B157" t="inlineStr">
        <is>
          <t>CURAL</t>
        </is>
      </c>
      <c r="C157" t="inlineStr">
        <is>
          <t>SHELVES</t>
        </is>
      </c>
      <c r="D157" t="inlineStr">
        <is>
          <t>CB428 .P5</t>
        </is>
      </c>
      <c r="E157" t="inlineStr">
        <is>
          <t>0                      CB 0428000P  5</t>
        </is>
      </c>
      <c r="F157" t="inlineStr">
        <is>
          <t>The acceleration of history.</t>
        </is>
      </c>
      <c r="H157" t="inlineStr">
        <is>
          <t>No</t>
        </is>
      </c>
      <c r="I157" t="inlineStr">
        <is>
          <t>1</t>
        </is>
      </c>
      <c r="J157" t="inlineStr">
        <is>
          <t>No</t>
        </is>
      </c>
      <c r="K157" t="inlineStr">
        <is>
          <t>No</t>
        </is>
      </c>
      <c r="L157" t="inlineStr">
        <is>
          <t>0</t>
        </is>
      </c>
      <c r="M157" t="inlineStr">
        <is>
          <t>Piel, Gerard.</t>
        </is>
      </c>
      <c r="N157" t="inlineStr">
        <is>
          <t>New York, Knopf, 1972.</t>
        </is>
      </c>
      <c r="O157" t="inlineStr">
        <is>
          <t>1972</t>
        </is>
      </c>
      <c r="P157" t="inlineStr">
        <is>
          <t>[1st ed.]</t>
        </is>
      </c>
      <c r="Q157" t="inlineStr">
        <is>
          <t>eng</t>
        </is>
      </c>
      <c r="R157" t="inlineStr">
        <is>
          <t>nyu</t>
        </is>
      </c>
      <c r="T157" t="inlineStr">
        <is>
          <t xml:space="preserve">CB </t>
        </is>
      </c>
      <c r="U157" t="n">
        <v>2</v>
      </c>
      <c r="V157" t="n">
        <v>2</v>
      </c>
      <c r="W157" t="inlineStr">
        <is>
          <t>1998-06-30</t>
        </is>
      </c>
      <c r="X157" t="inlineStr">
        <is>
          <t>1998-06-30</t>
        </is>
      </c>
      <c r="Y157" t="inlineStr">
        <is>
          <t>1996-08-20</t>
        </is>
      </c>
      <c r="Z157" t="inlineStr">
        <is>
          <t>1996-08-20</t>
        </is>
      </c>
      <c r="AA157" t="n">
        <v>747</v>
      </c>
      <c r="AB157" t="n">
        <v>681</v>
      </c>
      <c r="AC157" t="n">
        <v>683</v>
      </c>
      <c r="AD157" t="n">
        <v>4</v>
      </c>
      <c r="AE157" t="n">
        <v>4</v>
      </c>
      <c r="AF157" t="n">
        <v>28</v>
      </c>
      <c r="AG157" t="n">
        <v>28</v>
      </c>
      <c r="AH157" t="n">
        <v>11</v>
      </c>
      <c r="AI157" t="n">
        <v>11</v>
      </c>
      <c r="AJ157" t="n">
        <v>5</v>
      </c>
      <c r="AK157" t="n">
        <v>5</v>
      </c>
      <c r="AL157" t="n">
        <v>13</v>
      </c>
      <c r="AM157" t="n">
        <v>13</v>
      </c>
      <c r="AN157" t="n">
        <v>3</v>
      </c>
      <c r="AO157" t="n">
        <v>3</v>
      </c>
      <c r="AP157" t="n">
        <v>1</v>
      </c>
      <c r="AQ157" t="n">
        <v>1</v>
      </c>
      <c r="AR157" t="inlineStr">
        <is>
          <t>No</t>
        </is>
      </c>
      <c r="AS157" t="inlineStr">
        <is>
          <t>Yes</t>
        </is>
      </c>
      <c r="AT157">
        <f>HYPERLINK("http://catalog.hathitrust.org/Record/001595801","HathiTrust Record")</f>
        <v/>
      </c>
      <c r="AU157">
        <f>HYPERLINK("https://creighton-primo.hosted.exlibrisgroup.com/primo-explore/search?tab=default_tab&amp;search_scope=EVERYTHING&amp;vid=01CRU&amp;lang=en_US&amp;offset=0&amp;query=any,contains,991002383339702656","Catalog Record")</f>
        <v/>
      </c>
      <c r="AV157">
        <f>HYPERLINK("http://www.worldcat.org/oclc/328890","WorldCat Record")</f>
        <v/>
      </c>
      <c r="AW157" t="inlineStr">
        <is>
          <t>1423024:eng</t>
        </is>
      </c>
      <c r="AX157" t="inlineStr">
        <is>
          <t>328890</t>
        </is>
      </c>
      <c r="AY157" t="inlineStr">
        <is>
          <t>991002383339702656</t>
        </is>
      </c>
      <c r="AZ157" t="inlineStr">
        <is>
          <t>991002383339702656</t>
        </is>
      </c>
      <c r="BA157" t="inlineStr">
        <is>
          <t>2271436250002656</t>
        </is>
      </c>
      <c r="BB157" t="inlineStr">
        <is>
          <t>BOOK</t>
        </is>
      </c>
      <c r="BD157" t="inlineStr">
        <is>
          <t>9780394473123</t>
        </is>
      </c>
      <c r="BE157" t="inlineStr">
        <is>
          <t>32285002276672</t>
        </is>
      </c>
      <c r="BF157" t="inlineStr">
        <is>
          <t>893322860</t>
        </is>
      </c>
    </row>
    <row r="158">
      <c r="B158" t="inlineStr">
        <is>
          <t>CURAL</t>
        </is>
      </c>
      <c r="C158" t="inlineStr">
        <is>
          <t>SHELVES</t>
        </is>
      </c>
      <c r="D158" t="inlineStr">
        <is>
          <t>CB428 .R67</t>
        </is>
      </c>
      <c r="E158" t="inlineStr">
        <is>
          <t>0                      CB 0428000R  67</t>
        </is>
      </c>
      <c r="F158" t="inlineStr">
        <is>
          <t>Where the wasteland ends; politics and transcendence in postindustrial society.</t>
        </is>
      </c>
      <c r="H158" t="inlineStr">
        <is>
          <t>No</t>
        </is>
      </c>
      <c r="I158" t="inlineStr">
        <is>
          <t>1</t>
        </is>
      </c>
      <c r="J158" t="inlineStr">
        <is>
          <t>No</t>
        </is>
      </c>
      <c r="K158" t="inlineStr">
        <is>
          <t>No</t>
        </is>
      </c>
      <c r="L158" t="inlineStr">
        <is>
          <t>0</t>
        </is>
      </c>
      <c r="M158" t="inlineStr">
        <is>
          <t>Roszak, Theodore, 1933-2011.</t>
        </is>
      </c>
      <c r="N158" t="inlineStr">
        <is>
          <t>Garden City, N.Y., Doubleday, 1972.</t>
        </is>
      </c>
      <c r="O158" t="inlineStr">
        <is>
          <t>1972</t>
        </is>
      </c>
      <c r="P158" t="inlineStr">
        <is>
          <t>[1st ed.]</t>
        </is>
      </c>
      <c r="Q158" t="inlineStr">
        <is>
          <t>eng</t>
        </is>
      </c>
      <c r="R158" t="inlineStr">
        <is>
          <t>nyu</t>
        </is>
      </c>
      <c r="T158" t="inlineStr">
        <is>
          <t xml:space="preserve">CB </t>
        </is>
      </c>
      <c r="U158" t="n">
        <v>1</v>
      </c>
      <c r="V158" t="n">
        <v>1</v>
      </c>
      <c r="W158" t="inlineStr">
        <is>
          <t>2003-07-01</t>
        </is>
      </c>
      <c r="X158" t="inlineStr">
        <is>
          <t>2003-07-01</t>
        </is>
      </c>
      <c r="Y158" t="inlineStr">
        <is>
          <t>1996-08-20</t>
        </is>
      </c>
      <c r="Z158" t="inlineStr">
        <is>
          <t>1996-08-20</t>
        </is>
      </c>
      <c r="AA158" t="n">
        <v>1156</v>
      </c>
      <c r="AB158" t="n">
        <v>1036</v>
      </c>
      <c r="AC158" t="n">
        <v>1225</v>
      </c>
      <c r="AD158" t="n">
        <v>5</v>
      </c>
      <c r="AE158" t="n">
        <v>6</v>
      </c>
      <c r="AF158" t="n">
        <v>39</v>
      </c>
      <c r="AG158" t="n">
        <v>44</v>
      </c>
      <c r="AH158" t="n">
        <v>15</v>
      </c>
      <c r="AI158" t="n">
        <v>18</v>
      </c>
      <c r="AJ158" t="n">
        <v>9</v>
      </c>
      <c r="AK158" t="n">
        <v>11</v>
      </c>
      <c r="AL158" t="n">
        <v>24</v>
      </c>
      <c r="AM158" t="n">
        <v>24</v>
      </c>
      <c r="AN158" t="n">
        <v>3</v>
      </c>
      <c r="AO158" t="n">
        <v>4</v>
      </c>
      <c r="AP158" t="n">
        <v>0</v>
      </c>
      <c r="AQ158" t="n">
        <v>0</v>
      </c>
      <c r="AR158" t="inlineStr">
        <is>
          <t>No</t>
        </is>
      </c>
      <c r="AS158" t="inlineStr">
        <is>
          <t>Yes</t>
        </is>
      </c>
      <c r="AT158">
        <f>HYPERLINK("http://catalog.hathitrust.org/Record/001595804","HathiTrust Record")</f>
        <v/>
      </c>
      <c r="AU158">
        <f>HYPERLINK("https://creighton-primo.hosted.exlibrisgroup.com/primo-explore/search?tab=default_tab&amp;search_scope=EVERYTHING&amp;vid=01CRU&amp;lang=en_US&amp;offset=0&amp;query=any,contains,991004239609702656","Catalog Record")</f>
        <v/>
      </c>
      <c r="AV158">
        <f>HYPERLINK("http://www.worldcat.org/oclc/2780410","WorldCat Record")</f>
        <v/>
      </c>
      <c r="AW158" t="inlineStr">
        <is>
          <t>6094859:eng</t>
        </is>
      </c>
      <c r="AX158" t="inlineStr">
        <is>
          <t>2780410</t>
        </is>
      </c>
      <c r="AY158" t="inlineStr">
        <is>
          <t>991004239609702656</t>
        </is>
      </c>
      <c r="AZ158" t="inlineStr">
        <is>
          <t>991004239609702656</t>
        </is>
      </c>
      <c r="BA158" t="inlineStr">
        <is>
          <t>2263045280002656</t>
        </is>
      </c>
      <c r="BB158" t="inlineStr">
        <is>
          <t>BOOK</t>
        </is>
      </c>
      <c r="BD158" t="inlineStr">
        <is>
          <t>9780385027281</t>
        </is>
      </c>
      <c r="BE158" t="inlineStr">
        <is>
          <t>32285002276680</t>
        </is>
      </c>
      <c r="BF158" t="inlineStr">
        <is>
          <t>893506609</t>
        </is>
      </c>
    </row>
    <row r="159">
      <c r="B159" t="inlineStr">
        <is>
          <t>CURAL</t>
        </is>
      </c>
      <c r="C159" t="inlineStr">
        <is>
          <t>SHELVES</t>
        </is>
      </c>
      <c r="D159" t="inlineStr">
        <is>
          <t>CB428 .S39 1990</t>
        </is>
      </c>
      <c r="E159" t="inlineStr">
        <is>
          <t>0                      CB 0428000S  39          1990</t>
        </is>
      </c>
      <c r="F159" t="inlineStr">
        <is>
          <t>Century's end : a cultural history of the fin de siècle--from the 990s through the 1990s / Hillel Schwartz.</t>
        </is>
      </c>
      <c r="H159" t="inlineStr">
        <is>
          <t>No</t>
        </is>
      </c>
      <c r="I159" t="inlineStr">
        <is>
          <t>1</t>
        </is>
      </c>
      <c r="J159" t="inlineStr">
        <is>
          <t>No</t>
        </is>
      </c>
      <c r="K159" t="inlineStr">
        <is>
          <t>No</t>
        </is>
      </c>
      <c r="L159" t="inlineStr">
        <is>
          <t>0</t>
        </is>
      </c>
      <c r="M159" t="inlineStr">
        <is>
          <t>Schwartz, Hillel, 1948-</t>
        </is>
      </c>
      <c r="N159" t="inlineStr">
        <is>
          <t>New York : Doubleday, c1990.</t>
        </is>
      </c>
      <c r="O159" t="inlineStr">
        <is>
          <t>1990</t>
        </is>
      </c>
      <c r="P159" t="inlineStr">
        <is>
          <t>1st ed.</t>
        </is>
      </c>
      <c r="Q159" t="inlineStr">
        <is>
          <t>eng</t>
        </is>
      </c>
      <c r="R159" t="inlineStr">
        <is>
          <t>nyu</t>
        </is>
      </c>
      <c r="T159" t="inlineStr">
        <is>
          <t xml:space="preserve">CB </t>
        </is>
      </c>
      <c r="U159" t="n">
        <v>2</v>
      </c>
      <c r="V159" t="n">
        <v>2</v>
      </c>
      <c r="W159" t="inlineStr">
        <is>
          <t>1995-04-03</t>
        </is>
      </c>
      <c r="X159" t="inlineStr">
        <is>
          <t>1995-04-03</t>
        </is>
      </c>
      <c r="Y159" t="inlineStr">
        <is>
          <t>1993-06-09</t>
        </is>
      </c>
      <c r="Z159" t="inlineStr">
        <is>
          <t>1993-06-09</t>
        </is>
      </c>
      <c r="AA159" t="n">
        <v>362</v>
      </c>
      <c r="AB159" t="n">
        <v>326</v>
      </c>
      <c r="AC159" t="n">
        <v>345</v>
      </c>
      <c r="AD159" t="n">
        <v>2</v>
      </c>
      <c r="AE159" t="n">
        <v>2</v>
      </c>
      <c r="AF159" t="n">
        <v>8</v>
      </c>
      <c r="AG159" t="n">
        <v>8</v>
      </c>
      <c r="AH159" t="n">
        <v>2</v>
      </c>
      <c r="AI159" t="n">
        <v>2</v>
      </c>
      <c r="AJ159" t="n">
        <v>1</v>
      </c>
      <c r="AK159" t="n">
        <v>1</v>
      </c>
      <c r="AL159" t="n">
        <v>7</v>
      </c>
      <c r="AM159" t="n">
        <v>7</v>
      </c>
      <c r="AN159" t="n">
        <v>1</v>
      </c>
      <c r="AO159" t="n">
        <v>1</v>
      </c>
      <c r="AP159" t="n">
        <v>0</v>
      </c>
      <c r="AQ159" t="n">
        <v>0</v>
      </c>
      <c r="AR159" t="inlineStr">
        <is>
          <t>No</t>
        </is>
      </c>
      <c r="AS159" t="inlineStr">
        <is>
          <t>Yes</t>
        </is>
      </c>
      <c r="AT159">
        <f>HYPERLINK("http://catalog.hathitrust.org/Record/001833799","HathiTrust Record")</f>
        <v/>
      </c>
      <c r="AU159">
        <f>HYPERLINK("https://creighton-primo.hosted.exlibrisgroup.com/primo-explore/search?tab=default_tab&amp;search_scope=EVERYTHING&amp;vid=01CRU&amp;lang=en_US&amp;offset=0&amp;query=any,contains,991001515769702656","Catalog Record")</f>
        <v/>
      </c>
      <c r="AV159">
        <f>HYPERLINK("http://www.worldcat.org/oclc/19922136","WorldCat Record")</f>
        <v/>
      </c>
      <c r="AW159" t="inlineStr">
        <is>
          <t>222225700:eng</t>
        </is>
      </c>
      <c r="AX159" t="inlineStr">
        <is>
          <t>19922136</t>
        </is>
      </c>
      <c r="AY159" t="inlineStr">
        <is>
          <t>991001515769702656</t>
        </is>
      </c>
      <c r="AZ159" t="inlineStr">
        <is>
          <t>991001515769702656</t>
        </is>
      </c>
      <c r="BA159" t="inlineStr">
        <is>
          <t>2267000100002656</t>
        </is>
      </c>
      <c r="BB159" t="inlineStr">
        <is>
          <t>BOOK</t>
        </is>
      </c>
      <c r="BD159" t="inlineStr">
        <is>
          <t>9780385243797</t>
        </is>
      </c>
      <c r="BE159" t="inlineStr">
        <is>
          <t>32285001584795</t>
        </is>
      </c>
      <c r="BF159" t="inlineStr">
        <is>
          <t>893420379</t>
        </is>
      </c>
    </row>
    <row r="160">
      <c r="B160" t="inlineStr">
        <is>
          <t>CURAL</t>
        </is>
      </c>
      <c r="C160" t="inlineStr">
        <is>
          <t>SHELVES</t>
        </is>
      </c>
      <c r="D160" t="inlineStr">
        <is>
          <t>CB428 .S88</t>
        </is>
      </c>
      <c r="E160" t="inlineStr">
        <is>
          <t>0                      CB 0428000S  88</t>
        </is>
      </c>
      <c r="F160" t="inlineStr">
        <is>
          <t>After everything : Western intellectual history since 1945 / Roland N. Stromberg.</t>
        </is>
      </c>
      <c r="H160" t="inlineStr">
        <is>
          <t>No</t>
        </is>
      </c>
      <c r="I160" t="inlineStr">
        <is>
          <t>1</t>
        </is>
      </c>
      <c r="J160" t="inlineStr">
        <is>
          <t>No</t>
        </is>
      </c>
      <c r="K160" t="inlineStr">
        <is>
          <t>No</t>
        </is>
      </c>
      <c r="L160" t="inlineStr">
        <is>
          <t>0</t>
        </is>
      </c>
      <c r="M160" t="inlineStr">
        <is>
          <t>Stromberg, Roland N., 1916-2004.</t>
        </is>
      </c>
      <c r="N160" t="inlineStr">
        <is>
          <t>New York : St. Martin's Press, [1975]</t>
        </is>
      </c>
      <c r="O160" t="inlineStr">
        <is>
          <t>1975</t>
        </is>
      </c>
      <c r="Q160" t="inlineStr">
        <is>
          <t>eng</t>
        </is>
      </c>
      <c r="R160" t="inlineStr">
        <is>
          <t>nyu</t>
        </is>
      </c>
      <c r="T160" t="inlineStr">
        <is>
          <t xml:space="preserve">CB </t>
        </is>
      </c>
      <c r="U160" t="n">
        <v>5</v>
      </c>
      <c r="V160" t="n">
        <v>5</v>
      </c>
      <c r="W160" t="inlineStr">
        <is>
          <t>2007-11-19</t>
        </is>
      </c>
      <c r="X160" t="inlineStr">
        <is>
          <t>2007-11-19</t>
        </is>
      </c>
      <c r="Y160" t="inlineStr">
        <is>
          <t>1996-08-20</t>
        </is>
      </c>
      <c r="Z160" t="inlineStr">
        <is>
          <t>1996-08-20</t>
        </is>
      </c>
      <c r="AA160" t="n">
        <v>495</v>
      </c>
      <c r="AB160" t="n">
        <v>420</v>
      </c>
      <c r="AC160" t="n">
        <v>425</v>
      </c>
      <c r="AD160" t="n">
        <v>7</v>
      </c>
      <c r="AE160" t="n">
        <v>7</v>
      </c>
      <c r="AF160" t="n">
        <v>22</v>
      </c>
      <c r="AG160" t="n">
        <v>22</v>
      </c>
      <c r="AH160" t="n">
        <v>6</v>
      </c>
      <c r="AI160" t="n">
        <v>6</v>
      </c>
      <c r="AJ160" t="n">
        <v>5</v>
      </c>
      <c r="AK160" t="n">
        <v>5</v>
      </c>
      <c r="AL160" t="n">
        <v>11</v>
      </c>
      <c r="AM160" t="n">
        <v>11</v>
      </c>
      <c r="AN160" t="n">
        <v>6</v>
      </c>
      <c r="AO160" t="n">
        <v>6</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HYPERLINK("https://creighton-primo.hosted.exlibrisgroup.com/primo-explore/search?tab=default_tab&amp;search_scope=EVERYTHING&amp;vid=01CRU&amp;lang=en_US&amp;offset=0&amp;query=any,contains,991003776389702656","Catalog Record")</f>
        <v/>
      </c>
      <c r="AV160">
        <f>HYPERLINK("http://www.worldcat.org/oclc/1484460","WorldCat Record")</f>
        <v/>
      </c>
      <c r="AW160" t="inlineStr">
        <is>
          <t>890617458:eng</t>
        </is>
      </c>
      <c r="AX160" t="inlineStr">
        <is>
          <t>1484460</t>
        </is>
      </c>
      <c r="AY160" t="inlineStr">
        <is>
          <t>991003776389702656</t>
        </is>
      </c>
      <c r="AZ160" t="inlineStr">
        <is>
          <t>991003776389702656</t>
        </is>
      </c>
      <c r="BA160" t="inlineStr">
        <is>
          <t>2272268800002656</t>
        </is>
      </c>
      <c r="BB160" t="inlineStr">
        <is>
          <t>BOOK</t>
        </is>
      </c>
      <c r="BE160" t="inlineStr">
        <is>
          <t>32285002276722</t>
        </is>
      </c>
      <c r="BF160" t="inlineStr">
        <is>
          <t>893435429</t>
        </is>
      </c>
    </row>
    <row r="161">
      <c r="B161" t="inlineStr">
        <is>
          <t>CURAL</t>
        </is>
      </c>
      <c r="C161" t="inlineStr">
        <is>
          <t>SHELVES</t>
        </is>
      </c>
      <c r="D161" t="inlineStr">
        <is>
          <t>CB428 .T69 1973</t>
        </is>
      </c>
      <c r="E161" t="inlineStr">
        <is>
          <t>0                      CB 0428000T  69          1973</t>
        </is>
      </c>
      <c r="F161" t="inlineStr">
        <is>
          <t>Surviving the future [by] Arnold Toynbee.</t>
        </is>
      </c>
      <c r="H161" t="inlineStr">
        <is>
          <t>No</t>
        </is>
      </c>
      <c r="I161" t="inlineStr">
        <is>
          <t>1</t>
        </is>
      </c>
      <c r="J161" t="inlineStr">
        <is>
          <t>No</t>
        </is>
      </c>
      <c r="K161" t="inlineStr">
        <is>
          <t>No</t>
        </is>
      </c>
      <c r="L161" t="inlineStr">
        <is>
          <t>0</t>
        </is>
      </c>
      <c r="M161" t="inlineStr">
        <is>
          <t>Toynbee, Arnold, 1889-1975.</t>
        </is>
      </c>
      <c r="N161" t="inlineStr">
        <is>
          <t>London, New York, Oxford University Press, c1971, 1973 printing.</t>
        </is>
      </c>
      <c r="O161" t="inlineStr">
        <is>
          <t>1971</t>
        </is>
      </c>
      <c r="Q161" t="inlineStr">
        <is>
          <t>eng</t>
        </is>
      </c>
      <c r="R161" t="inlineStr">
        <is>
          <t>enk</t>
        </is>
      </c>
      <c r="T161" t="inlineStr">
        <is>
          <t xml:space="preserve">CB </t>
        </is>
      </c>
      <c r="U161" t="n">
        <v>1</v>
      </c>
      <c r="V161" t="n">
        <v>1</v>
      </c>
      <c r="W161" t="inlineStr">
        <is>
          <t>2005-10-22</t>
        </is>
      </c>
      <c r="X161" t="inlineStr">
        <is>
          <t>2005-10-22</t>
        </is>
      </c>
      <c r="Y161" t="inlineStr">
        <is>
          <t>1996-04-30</t>
        </is>
      </c>
      <c r="Z161" t="inlineStr">
        <is>
          <t>1996-04-30</t>
        </is>
      </c>
      <c r="AA161" t="n">
        <v>1096</v>
      </c>
      <c r="AB161" t="n">
        <v>928</v>
      </c>
      <c r="AC161" t="n">
        <v>1199</v>
      </c>
      <c r="AD161" t="n">
        <v>8</v>
      </c>
      <c r="AE161" t="n">
        <v>13</v>
      </c>
      <c r="AF161" t="n">
        <v>31</v>
      </c>
      <c r="AG161" t="n">
        <v>39</v>
      </c>
      <c r="AH161" t="n">
        <v>6</v>
      </c>
      <c r="AI161" t="n">
        <v>9</v>
      </c>
      <c r="AJ161" t="n">
        <v>8</v>
      </c>
      <c r="AK161" t="n">
        <v>10</v>
      </c>
      <c r="AL161" t="n">
        <v>15</v>
      </c>
      <c r="AM161" t="n">
        <v>16</v>
      </c>
      <c r="AN161" t="n">
        <v>6</v>
      </c>
      <c r="AO161" t="n">
        <v>9</v>
      </c>
      <c r="AP161" t="n">
        <v>2</v>
      </c>
      <c r="AQ161" t="n">
        <v>3</v>
      </c>
      <c r="AR161" t="inlineStr">
        <is>
          <t>No</t>
        </is>
      </c>
      <c r="AS161" t="inlineStr">
        <is>
          <t>Yes</t>
        </is>
      </c>
      <c r="AT161">
        <f>HYPERLINK("http://catalog.hathitrust.org/Record/001595811","HathiTrust Record")</f>
        <v/>
      </c>
      <c r="AU161">
        <f>HYPERLINK("https://creighton-primo.hosted.exlibrisgroup.com/primo-explore/search?tab=default_tab&amp;search_scope=EVERYTHING&amp;vid=01CRU&amp;lang=en_US&amp;offset=0&amp;query=any,contains,991000936409702656","Catalog Record")</f>
        <v/>
      </c>
      <c r="AV161">
        <f>HYPERLINK("http://www.worldcat.org/oclc/165034","WorldCat Record")</f>
        <v/>
      </c>
      <c r="AW161" t="inlineStr">
        <is>
          <t>346804283:eng</t>
        </is>
      </c>
      <c r="AX161" t="inlineStr">
        <is>
          <t>165034</t>
        </is>
      </c>
      <c r="AY161" t="inlineStr">
        <is>
          <t>991000936409702656</t>
        </is>
      </c>
      <c r="AZ161" t="inlineStr">
        <is>
          <t>991000936409702656</t>
        </is>
      </c>
      <c r="BA161" t="inlineStr">
        <is>
          <t>2269835880002656</t>
        </is>
      </c>
      <c r="BB161" t="inlineStr">
        <is>
          <t>BOOK</t>
        </is>
      </c>
      <c r="BD161" t="inlineStr">
        <is>
          <t>9780192152527</t>
        </is>
      </c>
      <c r="BE161" t="inlineStr">
        <is>
          <t>32285002160959</t>
        </is>
      </c>
      <c r="BF161" t="inlineStr">
        <is>
          <t>893419902</t>
        </is>
      </c>
    </row>
    <row r="162">
      <c r="B162" t="inlineStr">
        <is>
          <t>CURAL</t>
        </is>
      </c>
      <c r="C162" t="inlineStr">
        <is>
          <t>JUVENILE</t>
        </is>
      </c>
      <c r="D162" t="inlineStr">
        <is>
          <t>CB429 .U56 1974</t>
        </is>
      </c>
      <c r="E162" t="inlineStr">
        <is>
          <t>0                      CB 0429000U  56          1974</t>
        </is>
      </c>
      <c r="F162" t="inlineStr">
        <is>
          <t>The thirties : an illustrated history in colour 1930-1939 / by R. J. Unstead.</t>
        </is>
      </c>
      <c r="H162" t="inlineStr">
        <is>
          <t>No</t>
        </is>
      </c>
      <c r="I162" t="inlineStr">
        <is>
          <t>1</t>
        </is>
      </c>
      <c r="J162" t="inlineStr">
        <is>
          <t>No</t>
        </is>
      </c>
      <c r="K162" t="inlineStr">
        <is>
          <t>No</t>
        </is>
      </c>
      <c r="L162" t="inlineStr">
        <is>
          <t>0</t>
        </is>
      </c>
      <c r="M162" t="inlineStr">
        <is>
          <t>Unstead, R. J.</t>
        </is>
      </c>
      <c r="N162" t="inlineStr">
        <is>
          <t>[London] : Macdonald Educational, [1974]</t>
        </is>
      </c>
      <c r="O162" t="inlineStr">
        <is>
          <t>1974</t>
        </is>
      </c>
      <c r="Q162" t="inlineStr">
        <is>
          <t>eng</t>
        </is>
      </c>
      <c r="R162" t="inlineStr">
        <is>
          <t>enk</t>
        </is>
      </c>
      <c r="S162" t="inlineStr">
        <is>
          <t>History of the modern world</t>
        </is>
      </c>
      <c r="T162" t="inlineStr">
        <is>
          <t xml:space="preserve">CB </t>
        </is>
      </c>
      <c r="U162" t="n">
        <v>2</v>
      </c>
      <c r="V162" t="n">
        <v>2</v>
      </c>
      <c r="W162" t="inlineStr">
        <is>
          <t>2010-11-29</t>
        </is>
      </c>
      <c r="X162" t="inlineStr">
        <is>
          <t>2010-11-29</t>
        </is>
      </c>
      <c r="Y162" t="inlineStr">
        <is>
          <t>2001-06-04</t>
        </is>
      </c>
      <c r="Z162" t="inlineStr">
        <is>
          <t>2001-06-04</t>
        </is>
      </c>
      <c r="AA162" t="n">
        <v>588</v>
      </c>
      <c r="AB162" t="n">
        <v>471</v>
      </c>
      <c r="AC162" t="n">
        <v>479</v>
      </c>
      <c r="AD162" t="n">
        <v>4</v>
      </c>
      <c r="AE162" t="n">
        <v>4</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HYPERLINK("https://creighton-primo.hosted.exlibrisgroup.com/primo-explore/search?tab=default_tab&amp;search_scope=EVERYTHING&amp;vid=01CRU&amp;lang=en_US&amp;offset=0&amp;query=any,contains,991003552649702656","Catalog Record")</f>
        <v/>
      </c>
      <c r="AV162">
        <f>HYPERLINK("http://www.worldcat.org/oclc/1174289","WorldCat Record")</f>
        <v/>
      </c>
      <c r="AW162" t="inlineStr">
        <is>
          <t>452695:eng</t>
        </is>
      </c>
      <c r="AX162" t="inlineStr">
        <is>
          <t>1174289</t>
        </is>
      </c>
      <c r="AY162" t="inlineStr">
        <is>
          <t>991003552649702656</t>
        </is>
      </c>
      <c r="AZ162" t="inlineStr">
        <is>
          <t>991003552649702656</t>
        </is>
      </c>
      <c r="BA162" t="inlineStr">
        <is>
          <t>2272414780002656</t>
        </is>
      </c>
      <c r="BB162" t="inlineStr">
        <is>
          <t>BOOK</t>
        </is>
      </c>
      <c r="BD162" t="inlineStr">
        <is>
          <t>9780356040936</t>
        </is>
      </c>
      <c r="BE162" t="inlineStr">
        <is>
          <t>32285004319942</t>
        </is>
      </c>
      <c r="BF162" t="inlineStr">
        <is>
          <t>893222674</t>
        </is>
      </c>
    </row>
    <row r="163">
      <c r="B163" t="inlineStr">
        <is>
          <t>CURAL</t>
        </is>
      </c>
      <c r="C163" t="inlineStr">
        <is>
          <t>JUVENILE</t>
        </is>
      </c>
      <c r="D163" t="inlineStr">
        <is>
          <t>CB429 .U57 1973</t>
        </is>
      </c>
      <c r="E163" t="inlineStr">
        <is>
          <t>0                      CB 0429000U  57          1973</t>
        </is>
      </c>
      <c r="F163" t="inlineStr">
        <is>
          <t>The twenties : an illustrated history in colour, 1919-1929 / by R. J. Unstead.</t>
        </is>
      </c>
      <c r="H163" t="inlineStr">
        <is>
          <t>No</t>
        </is>
      </c>
      <c r="I163" t="inlineStr">
        <is>
          <t>1</t>
        </is>
      </c>
      <c r="J163" t="inlineStr">
        <is>
          <t>No</t>
        </is>
      </c>
      <c r="K163" t="inlineStr">
        <is>
          <t>No</t>
        </is>
      </c>
      <c r="L163" t="inlineStr">
        <is>
          <t>0</t>
        </is>
      </c>
      <c r="M163" t="inlineStr">
        <is>
          <t>Unstead, R. J.</t>
        </is>
      </c>
      <c r="N163" t="inlineStr">
        <is>
          <t>[London] : Macdonald Educational, [1973]</t>
        </is>
      </c>
      <c r="O163" t="inlineStr">
        <is>
          <t>1973</t>
        </is>
      </c>
      <c r="Q163" t="inlineStr">
        <is>
          <t>eng</t>
        </is>
      </c>
      <c r="R163" t="inlineStr">
        <is>
          <t>enk</t>
        </is>
      </c>
      <c r="S163" t="inlineStr">
        <is>
          <t>History of the modern world</t>
        </is>
      </c>
      <c r="T163" t="inlineStr">
        <is>
          <t xml:space="preserve">CB </t>
        </is>
      </c>
      <c r="U163" t="n">
        <v>4</v>
      </c>
      <c r="V163" t="n">
        <v>4</v>
      </c>
      <c r="W163" t="inlineStr">
        <is>
          <t>2010-11-29</t>
        </is>
      </c>
      <c r="X163" t="inlineStr">
        <is>
          <t>2010-11-29</t>
        </is>
      </c>
      <c r="Y163" t="inlineStr">
        <is>
          <t>2001-06-04</t>
        </is>
      </c>
      <c r="Z163" t="inlineStr">
        <is>
          <t>2001-06-04</t>
        </is>
      </c>
      <c r="AA163" t="n">
        <v>549</v>
      </c>
      <c r="AB163" t="n">
        <v>428</v>
      </c>
      <c r="AC163" t="n">
        <v>446</v>
      </c>
      <c r="AD163" t="n">
        <v>5</v>
      </c>
      <c r="AE163" t="n">
        <v>5</v>
      </c>
      <c r="AF163" t="n">
        <v>0</v>
      </c>
      <c r="AG163" t="n">
        <v>0</v>
      </c>
      <c r="AH163" t="n">
        <v>0</v>
      </c>
      <c r="AI163" t="n">
        <v>0</v>
      </c>
      <c r="AJ163" t="n">
        <v>0</v>
      </c>
      <c r="AK163" t="n">
        <v>0</v>
      </c>
      <c r="AL163" t="n">
        <v>0</v>
      </c>
      <c r="AM163" t="n">
        <v>0</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HYPERLINK("https://creighton-primo.hosted.exlibrisgroup.com/primo-explore/search?tab=default_tab&amp;search_scope=EVERYTHING&amp;vid=01CRU&amp;lang=en_US&amp;offset=0&amp;query=any,contains,991003552609702656","Catalog Record")</f>
        <v/>
      </c>
      <c r="AV163">
        <f>HYPERLINK("http://www.worldcat.org/oclc/867373","WorldCat Record")</f>
        <v/>
      </c>
      <c r="AW163" t="inlineStr">
        <is>
          <t>572623:eng</t>
        </is>
      </c>
      <c r="AX163" t="inlineStr">
        <is>
          <t>867373</t>
        </is>
      </c>
      <c r="AY163" t="inlineStr">
        <is>
          <t>991003552609702656</t>
        </is>
      </c>
      <c r="AZ163" t="inlineStr">
        <is>
          <t>991003552609702656</t>
        </is>
      </c>
      <c r="BA163" t="inlineStr">
        <is>
          <t>2265759070002656</t>
        </is>
      </c>
      <c r="BB163" t="inlineStr">
        <is>
          <t>BOOK</t>
        </is>
      </c>
      <c r="BD163" t="inlineStr">
        <is>
          <t>9780356040929</t>
        </is>
      </c>
      <c r="BE163" t="inlineStr">
        <is>
          <t>32285004319959</t>
        </is>
      </c>
      <c r="BF163" t="inlineStr">
        <is>
          <t>893489701</t>
        </is>
      </c>
    </row>
    <row r="164">
      <c r="B164" t="inlineStr">
        <is>
          <t>CURAL</t>
        </is>
      </c>
      <c r="C164" t="inlineStr">
        <is>
          <t>SHELVES</t>
        </is>
      </c>
      <c r="D164" t="inlineStr">
        <is>
          <t>CB430 .A43 2006</t>
        </is>
      </c>
      <c r="E164" t="inlineStr">
        <is>
          <t>0                      CB 0430000A  43          2006</t>
        </is>
      </c>
      <c r="F164" t="inlineStr">
        <is>
          <t>Science, faith, and ethics : grid or gridlock? / Denis Alexander &amp; Robert S. White.</t>
        </is>
      </c>
      <c r="H164" t="inlineStr">
        <is>
          <t>No</t>
        </is>
      </c>
      <c r="I164" t="inlineStr">
        <is>
          <t>1</t>
        </is>
      </c>
      <c r="J164" t="inlineStr">
        <is>
          <t>No</t>
        </is>
      </c>
      <c r="K164" t="inlineStr">
        <is>
          <t>No</t>
        </is>
      </c>
      <c r="L164" t="inlineStr">
        <is>
          <t>0</t>
        </is>
      </c>
      <c r="M164" t="inlineStr">
        <is>
          <t>Alexander, Denis.</t>
        </is>
      </c>
      <c r="N164" t="inlineStr">
        <is>
          <t>Peabody, Mass. : Hendrickson Publishers, [2006]</t>
        </is>
      </c>
      <c r="O164" t="inlineStr">
        <is>
          <t>2006</t>
        </is>
      </c>
      <c r="Q164" t="inlineStr">
        <is>
          <t>eng</t>
        </is>
      </c>
      <c r="R164" t="inlineStr">
        <is>
          <t>mau</t>
        </is>
      </c>
      <c r="T164" t="inlineStr">
        <is>
          <t xml:space="preserve">CB </t>
        </is>
      </c>
      <c r="U164" t="n">
        <v>1</v>
      </c>
      <c r="V164" t="n">
        <v>1</v>
      </c>
      <c r="W164" t="inlineStr">
        <is>
          <t>2008-11-19</t>
        </is>
      </c>
      <c r="X164" t="inlineStr">
        <is>
          <t>2008-11-19</t>
        </is>
      </c>
      <c r="Y164" t="inlineStr">
        <is>
          <t>2008-11-19</t>
        </is>
      </c>
      <c r="Z164" t="inlineStr">
        <is>
          <t>2008-11-19</t>
        </is>
      </c>
      <c r="AA164" t="n">
        <v>216</v>
      </c>
      <c r="AB164" t="n">
        <v>196</v>
      </c>
      <c r="AC164" t="n">
        <v>199</v>
      </c>
      <c r="AD164" t="n">
        <v>1</v>
      </c>
      <c r="AE164" t="n">
        <v>1</v>
      </c>
      <c r="AF164" t="n">
        <v>5</v>
      </c>
      <c r="AG164" t="n">
        <v>5</v>
      </c>
      <c r="AH164" t="n">
        <v>4</v>
      </c>
      <c r="AI164" t="n">
        <v>4</v>
      </c>
      <c r="AJ164" t="n">
        <v>1</v>
      </c>
      <c r="AK164" t="n">
        <v>1</v>
      </c>
      <c r="AL164" t="n">
        <v>1</v>
      </c>
      <c r="AM164" t="n">
        <v>1</v>
      </c>
      <c r="AN164" t="n">
        <v>0</v>
      </c>
      <c r="AO164" t="n">
        <v>0</v>
      </c>
      <c r="AP164" t="n">
        <v>0</v>
      </c>
      <c r="AQ164" t="n">
        <v>0</v>
      </c>
      <c r="AR164" t="inlineStr">
        <is>
          <t>No</t>
        </is>
      </c>
      <c r="AS164" t="inlineStr">
        <is>
          <t>Yes</t>
        </is>
      </c>
      <c r="AT164">
        <f>HYPERLINK("http://catalog.hathitrust.org/Record/005542649","HathiTrust Record")</f>
        <v/>
      </c>
      <c r="AU164">
        <f>HYPERLINK("https://creighton-primo.hosted.exlibrisgroup.com/primo-explore/search?tab=default_tab&amp;search_scope=EVERYTHING&amp;vid=01CRU&amp;lang=en_US&amp;offset=0&amp;query=any,contains,991005275009702656","Catalog Record")</f>
        <v/>
      </c>
      <c r="AV164">
        <f>HYPERLINK("http://www.worldcat.org/oclc/62888147","WorldCat Record")</f>
        <v/>
      </c>
      <c r="AW164" t="inlineStr">
        <is>
          <t>47146320:eng</t>
        </is>
      </c>
      <c r="AX164" t="inlineStr">
        <is>
          <t>62888147</t>
        </is>
      </c>
      <c r="AY164" t="inlineStr">
        <is>
          <t>991005275009702656</t>
        </is>
      </c>
      <c r="AZ164" t="inlineStr">
        <is>
          <t>991005275009702656</t>
        </is>
      </c>
      <c r="BA164" t="inlineStr">
        <is>
          <t>2261107590002656</t>
        </is>
      </c>
      <c r="BB164" t="inlineStr">
        <is>
          <t>BOOK</t>
        </is>
      </c>
      <c r="BD164" t="inlineStr">
        <is>
          <t>9781598560183</t>
        </is>
      </c>
      <c r="BE164" t="inlineStr">
        <is>
          <t>32285005467229</t>
        </is>
      </c>
      <c r="BF164" t="inlineStr">
        <is>
          <t>893520757</t>
        </is>
      </c>
    </row>
    <row r="165">
      <c r="B165" t="inlineStr">
        <is>
          <t>CURAL</t>
        </is>
      </c>
      <c r="C165" t="inlineStr">
        <is>
          <t>SHELVES</t>
        </is>
      </c>
      <c r="D165" t="inlineStr">
        <is>
          <t>CB430 .A53 2001</t>
        </is>
      </c>
      <c r="E165" t="inlineStr">
        <is>
          <t>0                      CB 0430000A  53          2001</t>
        </is>
      </c>
      <c r="F165" t="inlineStr">
        <is>
          <t>All connected now : life in the first global civilization / Walter Truett Anderson.</t>
        </is>
      </c>
      <c r="H165" t="inlineStr">
        <is>
          <t>No</t>
        </is>
      </c>
      <c r="I165" t="inlineStr">
        <is>
          <t>1</t>
        </is>
      </c>
      <c r="J165" t="inlineStr">
        <is>
          <t>No</t>
        </is>
      </c>
      <c r="K165" t="inlineStr">
        <is>
          <t>No</t>
        </is>
      </c>
      <c r="L165" t="inlineStr">
        <is>
          <t>0</t>
        </is>
      </c>
      <c r="M165" t="inlineStr">
        <is>
          <t>Anderson, Walt, 1933-</t>
        </is>
      </c>
      <c r="N165" t="inlineStr">
        <is>
          <t>Boulder, Colo. : Westview Press, 2001.</t>
        </is>
      </c>
      <c r="O165" t="inlineStr">
        <is>
          <t>2001</t>
        </is>
      </c>
      <c r="Q165" t="inlineStr">
        <is>
          <t>eng</t>
        </is>
      </c>
      <c r="R165" t="inlineStr">
        <is>
          <t>cou</t>
        </is>
      </c>
      <c r="T165" t="inlineStr">
        <is>
          <t xml:space="preserve">CB </t>
        </is>
      </c>
      <c r="U165" t="n">
        <v>2</v>
      </c>
      <c r="V165" t="n">
        <v>2</v>
      </c>
      <c r="W165" t="inlineStr">
        <is>
          <t>2002-08-23</t>
        </is>
      </c>
      <c r="X165" t="inlineStr">
        <is>
          <t>2002-08-23</t>
        </is>
      </c>
      <c r="Y165" t="inlineStr">
        <is>
          <t>2002-07-30</t>
        </is>
      </c>
      <c r="Z165" t="inlineStr">
        <is>
          <t>2002-07-30</t>
        </is>
      </c>
      <c r="AA165" t="n">
        <v>437</v>
      </c>
      <c r="AB165" t="n">
        <v>370</v>
      </c>
      <c r="AC165" t="n">
        <v>415</v>
      </c>
      <c r="AD165" t="n">
        <v>3</v>
      </c>
      <c r="AE165" t="n">
        <v>3</v>
      </c>
      <c r="AF165" t="n">
        <v>17</v>
      </c>
      <c r="AG165" t="n">
        <v>18</v>
      </c>
      <c r="AH165" t="n">
        <v>6</v>
      </c>
      <c r="AI165" t="n">
        <v>7</v>
      </c>
      <c r="AJ165" t="n">
        <v>4</v>
      </c>
      <c r="AK165" t="n">
        <v>4</v>
      </c>
      <c r="AL165" t="n">
        <v>8</v>
      </c>
      <c r="AM165" t="n">
        <v>9</v>
      </c>
      <c r="AN165" t="n">
        <v>2</v>
      </c>
      <c r="AO165" t="n">
        <v>2</v>
      </c>
      <c r="AP165" t="n">
        <v>0</v>
      </c>
      <c r="AQ165" t="n">
        <v>0</v>
      </c>
      <c r="AR165" t="inlineStr">
        <is>
          <t>No</t>
        </is>
      </c>
      <c r="AS165" t="inlineStr">
        <is>
          <t>Yes</t>
        </is>
      </c>
      <c r="AT165">
        <f>HYPERLINK("http://catalog.hathitrust.org/Record/004203304","HathiTrust Record")</f>
        <v/>
      </c>
      <c r="AU165">
        <f>HYPERLINK("https://creighton-primo.hosted.exlibrisgroup.com/primo-explore/search?tab=default_tab&amp;search_scope=EVERYTHING&amp;vid=01CRU&amp;lang=en_US&amp;offset=0&amp;query=any,contains,991003819969702656","Catalog Record")</f>
        <v/>
      </c>
      <c r="AV165">
        <f>HYPERLINK("http://www.worldcat.org/oclc/47705832","WorldCat Record")</f>
        <v/>
      </c>
      <c r="AW165" t="inlineStr">
        <is>
          <t>707066:eng</t>
        </is>
      </c>
      <c r="AX165" t="inlineStr">
        <is>
          <t>47705832</t>
        </is>
      </c>
      <c r="AY165" t="inlineStr">
        <is>
          <t>991003819969702656</t>
        </is>
      </c>
      <c r="AZ165" t="inlineStr">
        <is>
          <t>991003819969702656</t>
        </is>
      </c>
      <c r="BA165" t="inlineStr">
        <is>
          <t>2255161020002656</t>
        </is>
      </c>
      <c r="BB165" t="inlineStr">
        <is>
          <t>BOOK</t>
        </is>
      </c>
      <c r="BD165" t="inlineStr">
        <is>
          <t>9780813339375</t>
        </is>
      </c>
      <c r="BE165" t="inlineStr">
        <is>
          <t>32285004640891</t>
        </is>
      </c>
      <c r="BF165" t="inlineStr">
        <is>
          <t>893693185</t>
        </is>
      </c>
    </row>
    <row r="166">
      <c r="B166" t="inlineStr">
        <is>
          <t>CURAL</t>
        </is>
      </c>
      <c r="C166" t="inlineStr">
        <is>
          <t>SHELVES</t>
        </is>
      </c>
      <c r="D166" t="inlineStr">
        <is>
          <t>CB430 .G37 1998</t>
        </is>
      </c>
      <c r="E166" t="inlineStr">
        <is>
          <t>0                      CB 0430000G  37          1998</t>
        </is>
      </c>
      <c r="F166" t="inlineStr">
        <is>
          <t>Symptoms of culture / Marjorie Garber.</t>
        </is>
      </c>
      <c r="H166" t="inlineStr">
        <is>
          <t>No</t>
        </is>
      </c>
      <c r="I166" t="inlineStr">
        <is>
          <t>1</t>
        </is>
      </c>
      <c r="J166" t="inlineStr">
        <is>
          <t>No</t>
        </is>
      </c>
      <c r="K166" t="inlineStr">
        <is>
          <t>No</t>
        </is>
      </c>
      <c r="L166" t="inlineStr">
        <is>
          <t>0</t>
        </is>
      </c>
      <c r="M166" t="inlineStr">
        <is>
          <t>Garber, Marjorie B.</t>
        </is>
      </c>
      <c r="N166" t="inlineStr">
        <is>
          <t>New York : Routledge, 1998.</t>
        </is>
      </c>
      <c r="O166" t="inlineStr">
        <is>
          <t>1998</t>
        </is>
      </c>
      <c r="Q166" t="inlineStr">
        <is>
          <t>eng</t>
        </is>
      </c>
      <c r="R166" t="inlineStr">
        <is>
          <t>nyu</t>
        </is>
      </c>
      <c r="T166" t="inlineStr">
        <is>
          <t xml:space="preserve">CB </t>
        </is>
      </c>
      <c r="U166" t="n">
        <v>3</v>
      </c>
      <c r="V166" t="n">
        <v>3</v>
      </c>
      <c r="W166" t="inlineStr">
        <is>
          <t>2007-11-19</t>
        </is>
      </c>
      <c r="X166" t="inlineStr">
        <is>
          <t>2007-11-19</t>
        </is>
      </c>
      <c r="Y166" t="inlineStr">
        <is>
          <t>1998-07-27</t>
        </is>
      </c>
      <c r="Z166" t="inlineStr">
        <is>
          <t>1998-07-27</t>
        </is>
      </c>
      <c r="AA166" t="n">
        <v>431</v>
      </c>
      <c r="AB166" t="n">
        <v>368</v>
      </c>
      <c r="AC166" t="n">
        <v>378</v>
      </c>
      <c r="AD166" t="n">
        <v>3</v>
      </c>
      <c r="AE166" t="n">
        <v>3</v>
      </c>
      <c r="AF166" t="n">
        <v>18</v>
      </c>
      <c r="AG166" t="n">
        <v>19</v>
      </c>
      <c r="AH166" t="n">
        <v>5</v>
      </c>
      <c r="AI166" t="n">
        <v>6</v>
      </c>
      <c r="AJ166" t="n">
        <v>5</v>
      </c>
      <c r="AK166" t="n">
        <v>5</v>
      </c>
      <c r="AL166" t="n">
        <v>13</v>
      </c>
      <c r="AM166" t="n">
        <v>13</v>
      </c>
      <c r="AN166" t="n">
        <v>1</v>
      </c>
      <c r="AO166" t="n">
        <v>1</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HYPERLINK("https://creighton-primo.hosted.exlibrisgroup.com/primo-explore/search?tab=default_tab&amp;search_scope=EVERYTHING&amp;vid=01CRU&amp;lang=en_US&amp;offset=0&amp;query=any,contains,991002866309702656","Catalog Record")</f>
        <v/>
      </c>
      <c r="AV166">
        <f>HYPERLINK("http://www.worldcat.org/oclc/37782964","WorldCat Record")</f>
        <v/>
      </c>
      <c r="AW166" t="inlineStr">
        <is>
          <t>543355:eng</t>
        </is>
      </c>
      <c r="AX166" t="inlineStr">
        <is>
          <t>37782964</t>
        </is>
      </c>
      <c r="AY166" t="inlineStr">
        <is>
          <t>991002866309702656</t>
        </is>
      </c>
      <c r="AZ166" t="inlineStr">
        <is>
          <t>991002866309702656</t>
        </is>
      </c>
      <c r="BA166" t="inlineStr">
        <is>
          <t>2264471530002656</t>
        </is>
      </c>
      <c r="BB166" t="inlineStr">
        <is>
          <t>BOOK</t>
        </is>
      </c>
      <c r="BD166" t="inlineStr">
        <is>
          <t>9780415918596</t>
        </is>
      </c>
      <c r="BE166" t="inlineStr">
        <is>
          <t>32285003446258</t>
        </is>
      </c>
      <c r="BF166" t="inlineStr">
        <is>
          <t>893793032</t>
        </is>
      </c>
    </row>
    <row r="167">
      <c r="B167" t="inlineStr">
        <is>
          <t>CURAL</t>
        </is>
      </c>
      <c r="C167" t="inlineStr">
        <is>
          <t>SHELVES</t>
        </is>
      </c>
      <c r="D167" t="inlineStr">
        <is>
          <t>CB430 .G7 1993</t>
        </is>
      </c>
      <c r="E167" t="inlineStr">
        <is>
          <t>0                      CB 0430000G  7           1993</t>
        </is>
      </c>
      <c r="F167" t="inlineStr">
        <is>
          <t>Studying culture : an introductory reader / [edited by] Ann Gray and Jim McGuigan.</t>
        </is>
      </c>
      <c r="H167" t="inlineStr">
        <is>
          <t>No</t>
        </is>
      </c>
      <c r="I167" t="inlineStr">
        <is>
          <t>1</t>
        </is>
      </c>
      <c r="J167" t="inlineStr">
        <is>
          <t>No</t>
        </is>
      </c>
      <c r="K167" t="inlineStr">
        <is>
          <t>No</t>
        </is>
      </c>
      <c r="L167" t="inlineStr">
        <is>
          <t>0</t>
        </is>
      </c>
      <c r="M167" t="inlineStr">
        <is>
          <t>Gray, Ann, 1946-</t>
        </is>
      </c>
      <c r="N167" t="inlineStr">
        <is>
          <t>London ; New York : E. Arnold ; New York, NY : Distributed in the USA by Routledge, Chapman and Hall, Inc., 1993.</t>
        </is>
      </c>
      <c r="O167" t="inlineStr">
        <is>
          <t>1993</t>
        </is>
      </c>
      <c r="Q167" t="inlineStr">
        <is>
          <t>eng</t>
        </is>
      </c>
      <c r="R167" t="inlineStr">
        <is>
          <t>enk</t>
        </is>
      </c>
      <c r="T167" t="inlineStr">
        <is>
          <t xml:space="preserve">CB </t>
        </is>
      </c>
      <c r="U167" t="n">
        <v>2</v>
      </c>
      <c r="V167" t="n">
        <v>2</v>
      </c>
      <c r="W167" t="inlineStr">
        <is>
          <t>1994-08-29</t>
        </is>
      </c>
      <c r="X167" t="inlineStr">
        <is>
          <t>1994-08-29</t>
        </is>
      </c>
      <c r="Y167" t="inlineStr">
        <is>
          <t>1994-08-08</t>
        </is>
      </c>
      <c r="Z167" t="inlineStr">
        <is>
          <t>1994-08-08</t>
        </is>
      </c>
      <c r="AA167" t="n">
        <v>317</v>
      </c>
      <c r="AB167" t="n">
        <v>141</v>
      </c>
      <c r="AC167" t="n">
        <v>241</v>
      </c>
      <c r="AD167" t="n">
        <v>2</v>
      </c>
      <c r="AE167" t="n">
        <v>2</v>
      </c>
      <c r="AF167" t="n">
        <v>7</v>
      </c>
      <c r="AG167" t="n">
        <v>13</v>
      </c>
      <c r="AH167" t="n">
        <v>2</v>
      </c>
      <c r="AI167" t="n">
        <v>4</v>
      </c>
      <c r="AJ167" t="n">
        <v>1</v>
      </c>
      <c r="AK167" t="n">
        <v>5</v>
      </c>
      <c r="AL167" t="n">
        <v>4</v>
      </c>
      <c r="AM167" t="n">
        <v>6</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HYPERLINK("https://creighton-primo.hosted.exlibrisgroup.com/primo-explore/search?tab=default_tab&amp;search_scope=EVERYTHING&amp;vid=01CRU&amp;lang=en_US&amp;offset=0&amp;query=any,contains,991002155549702656","Catalog Record")</f>
        <v/>
      </c>
      <c r="AV167">
        <f>HYPERLINK("http://www.worldcat.org/oclc/27770589","WorldCat Record")</f>
        <v/>
      </c>
      <c r="AW167" t="inlineStr">
        <is>
          <t>837079606:eng</t>
        </is>
      </c>
      <c r="AX167" t="inlineStr">
        <is>
          <t>27770589</t>
        </is>
      </c>
      <c r="AY167" t="inlineStr">
        <is>
          <t>991002155549702656</t>
        </is>
      </c>
      <c r="AZ167" t="inlineStr">
        <is>
          <t>991002155549702656</t>
        </is>
      </c>
      <c r="BA167" t="inlineStr">
        <is>
          <t>2260544050002656</t>
        </is>
      </c>
      <c r="BB167" t="inlineStr">
        <is>
          <t>BOOK</t>
        </is>
      </c>
      <c r="BD167" t="inlineStr">
        <is>
          <t>9780340556283</t>
        </is>
      </c>
      <c r="BE167" t="inlineStr">
        <is>
          <t>32285001941748</t>
        </is>
      </c>
      <c r="BF167" t="inlineStr">
        <is>
          <t>893523256</t>
        </is>
      </c>
    </row>
    <row r="168">
      <c r="B168" t="inlineStr">
        <is>
          <t>CURAL</t>
        </is>
      </c>
      <c r="C168" t="inlineStr">
        <is>
          <t>SHELVES</t>
        </is>
      </c>
      <c r="D168" t="inlineStr">
        <is>
          <t>CB430 .L54 1987</t>
        </is>
      </c>
      <c r="E168" t="inlineStr">
        <is>
          <t>0                      CB 0430000L  54          1987</t>
        </is>
      </c>
      <c r="F168" t="inlineStr">
        <is>
          <t>The future of immortality and other essays for a nuclear age / Robert Jay Lifton.</t>
        </is>
      </c>
      <c r="H168" t="inlineStr">
        <is>
          <t>No</t>
        </is>
      </c>
      <c r="I168" t="inlineStr">
        <is>
          <t>1</t>
        </is>
      </c>
      <c r="J168" t="inlineStr">
        <is>
          <t>No</t>
        </is>
      </c>
      <c r="K168" t="inlineStr">
        <is>
          <t>No</t>
        </is>
      </c>
      <c r="L168" t="inlineStr">
        <is>
          <t>0</t>
        </is>
      </c>
      <c r="M168" t="inlineStr">
        <is>
          <t>Lifton, Robert Jay, 1926-</t>
        </is>
      </c>
      <c r="N168" t="inlineStr">
        <is>
          <t>New York : Basic Books, c1987.</t>
        </is>
      </c>
      <c r="O168" t="inlineStr">
        <is>
          <t>1987</t>
        </is>
      </c>
      <c r="Q168" t="inlineStr">
        <is>
          <t>eng</t>
        </is>
      </c>
      <c r="R168" t="inlineStr">
        <is>
          <t>nyu</t>
        </is>
      </c>
      <c r="T168" t="inlineStr">
        <is>
          <t xml:space="preserve">CB </t>
        </is>
      </c>
      <c r="U168" t="n">
        <v>2</v>
      </c>
      <c r="V168" t="n">
        <v>2</v>
      </c>
      <c r="W168" t="inlineStr">
        <is>
          <t>2003-08-04</t>
        </is>
      </c>
      <c r="X168" t="inlineStr">
        <is>
          <t>2003-08-04</t>
        </is>
      </c>
      <c r="Y168" t="inlineStr">
        <is>
          <t>1990-03-27</t>
        </is>
      </c>
      <c r="Z168" t="inlineStr">
        <is>
          <t>1990-03-27</t>
        </is>
      </c>
      <c r="AA168" t="n">
        <v>631</v>
      </c>
      <c r="AB168" t="n">
        <v>571</v>
      </c>
      <c r="AC168" t="n">
        <v>577</v>
      </c>
      <c r="AD168" t="n">
        <v>4</v>
      </c>
      <c r="AE168" t="n">
        <v>4</v>
      </c>
      <c r="AF168" t="n">
        <v>22</v>
      </c>
      <c r="AG168" t="n">
        <v>22</v>
      </c>
      <c r="AH168" t="n">
        <v>6</v>
      </c>
      <c r="AI168" t="n">
        <v>6</v>
      </c>
      <c r="AJ168" t="n">
        <v>8</v>
      </c>
      <c r="AK168" t="n">
        <v>8</v>
      </c>
      <c r="AL168" t="n">
        <v>12</v>
      </c>
      <c r="AM168" t="n">
        <v>12</v>
      </c>
      <c r="AN168" t="n">
        <v>3</v>
      </c>
      <c r="AO168" t="n">
        <v>3</v>
      </c>
      <c r="AP168" t="n">
        <v>0</v>
      </c>
      <c r="AQ168" t="n">
        <v>0</v>
      </c>
      <c r="AR168" t="inlineStr">
        <is>
          <t>No</t>
        </is>
      </c>
      <c r="AS168" t="inlineStr">
        <is>
          <t>Yes</t>
        </is>
      </c>
      <c r="AT168">
        <f>HYPERLINK("http://catalog.hathitrust.org/Record/000806374","HathiTrust Record")</f>
        <v/>
      </c>
      <c r="AU168">
        <f>HYPERLINK("https://creighton-primo.hosted.exlibrisgroup.com/primo-explore/search?tab=default_tab&amp;search_scope=EVERYTHING&amp;vid=01CRU&amp;lang=en_US&amp;offset=0&amp;query=any,contains,991000942679702656","Catalog Record")</f>
        <v/>
      </c>
      <c r="AV168">
        <f>HYPERLINK("http://www.worldcat.org/oclc/14414112","WorldCat Record")</f>
        <v/>
      </c>
      <c r="AW168" t="inlineStr">
        <is>
          <t>8389691:eng</t>
        </is>
      </c>
      <c r="AX168" t="inlineStr">
        <is>
          <t>14414112</t>
        </is>
      </c>
      <c r="AY168" t="inlineStr">
        <is>
          <t>991000942679702656</t>
        </is>
      </c>
      <c r="AZ168" t="inlineStr">
        <is>
          <t>991000942679702656</t>
        </is>
      </c>
      <c r="BA168" t="inlineStr">
        <is>
          <t>2264704920002656</t>
        </is>
      </c>
      <c r="BB168" t="inlineStr">
        <is>
          <t>BOOK</t>
        </is>
      </c>
      <c r="BD168" t="inlineStr">
        <is>
          <t>9780465025978</t>
        </is>
      </c>
      <c r="BE168" t="inlineStr">
        <is>
          <t>32285000098607</t>
        </is>
      </c>
      <c r="BF168" t="inlineStr">
        <is>
          <t>893708853</t>
        </is>
      </c>
    </row>
    <row r="169">
      <c r="B169" t="inlineStr">
        <is>
          <t>CURAL</t>
        </is>
      </c>
      <c r="C169" t="inlineStr">
        <is>
          <t>SHELVES</t>
        </is>
      </c>
      <c r="D169" t="inlineStr">
        <is>
          <t>CB430 .L85 2002</t>
        </is>
      </c>
      <c r="E169" t="inlineStr">
        <is>
          <t>0                      CB 0430000L  85          2002</t>
        </is>
      </c>
      <c r="F169" t="inlineStr">
        <is>
          <t>At the end of an age / John Lukacs.</t>
        </is>
      </c>
      <c r="H169" t="inlineStr">
        <is>
          <t>No</t>
        </is>
      </c>
      <c r="I169" t="inlineStr">
        <is>
          <t>1</t>
        </is>
      </c>
      <c r="J169" t="inlineStr">
        <is>
          <t>No</t>
        </is>
      </c>
      <c r="K169" t="inlineStr">
        <is>
          <t>No</t>
        </is>
      </c>
      <c r="L169" t="inlineStr">
        <is>
          <t>0</t>
        </is>
      </c>
      <c r="M169" t="inlineStr">
        <is>
          <t>Lukacs, John, 1924-2019.</t>
        </is>
      </c>
      <c r="N169" t="inlineStr">
        <is>
          <t>New Haven : Yale University Press, c2002.</t>
        </is>
      </c>
      <c r="O169" t="inlineStr">
        <is>
          <t>2002</t>
        </is>
      </c>
      <c r="Q169" t="inlineStr">
        <is>
          <t>eng</t>
        </is>
      </c>
      <c r="R169" t="inlineStr">
        <is>
          <t>ctu</t>
        </is>
      </c>
      <c r="T169" t="inlineStr">
        <is>
          <t xml:space="preserve">CB </t>
        </is>
      </c>
      <c r="U169" t="n">
        <v>5</v>
      </c>
      <c r="V169" t="n">
        <v>5</v>
      </c>
      <c r="W169" t="inlineStr">
        <is>
          <t>2007-09-07</t>
        </is>
      </c>
      <c r="X169" t="inlineStr">
        <is>
          <t>2007-09-07</t>
        </is>
      </c>
      <c r="Y169" t="inlineStr">
        <is>
          <t>2002-07-30</t>
        </is>
      </c>
      <c r="Z169" t="inlineStr">
        <is>
          <t>2002-07-30</t>
        </is>
      </c>
      <c r="AA169" t="n">
        <v>1030</v>
      </c>
      <c r="AB169" t="n">
        <v>900</v>
      </c>
      <c r="AC169" t="n">
        <v>1227</v>
      </c>
      <c r="AD169" t="n">
        <v>8</v>
      </c>
      <c r="AE169" t="n">
        <v>9</v>
      </c>
      <c r="AF169" t="n">
        <v>41</v>
      </c>
      <c r="AG169" t="n">
        <v>54</v>
      </c>
      <c r="AH169" t="n">
        <v>17</v>
      </c>
      <c r="AI169" t="n">
        <v>23</v>
      </c>
      <c r="AJ169" t="n">
        <v>9</v>
      </c>
      <c r="AK169" t="n">
        <v>11</v>
      </c>
      <c r="AL169" t="n">
        <v>17</v>
      </c>
      <c r="AM169" t="n">
        <v>24</v>
      </c>
      <c r="AN169" t="n">
        <v>7</v>
      </c>
      <c r="AO169" t="n">
        <v>8</v>
      </c>
      <c r="AP169" t="n">
        <v>0</v>
      </c>
      <c r="AQ169" t="n">
        <v>1</v>
      </c>
      <c r="AR169" t="inlineStr">
        <is>
          <t>No</t>
        </is>
      </c>
      <c r="AS169" t="inlineStr">
        <is>
          <t>No</t>
        </is>
      </c>
      <c r="AU169">
        <f>HYPERLINK("https://creighton-primo.hosted.exlibrisgroup.com/primo-explore/search?tab=default_tab&amp;search_scope=EVERYTHING&amp;vid=01CRU&amp;lang=en_US&amp;offset=0&amp;query=any,contains,991003824039702656","Catalog Record")</f>
        <v/>
      </c>
      <c r="AV169">
        <f>HYPERLINK("http://www.worldcat.org/oclc/47844781","WorldCat Record")</f>
        <v/>
      </c>
      <c r="AW169" t="inlineStr">
        <is>
          <t>9571197:eng</t>
        </is>
      </c>
      <c r="AX169" t="inlineStr">
        <is>
          <t>47844781</t>
        </is>
      </c>
      <c r="AY169" t="inlineStr">
        <is>
          <t>991003824039702656</t>
        </is>
      </c>
      <c r="AZ169" t="inlineStr">
        <is>
          <t>991003824039702656</t>
        </is>
      </c>
      <c r="BA169" t="inlineStr">
        <is>
          <t>2260708440002656</t>
        </is>
      </c>
      <c r="BB169" t="inlineStr">
        <is>
          <t>BOOK</t>
        </is>
      </c>
      <c r="BE169" t="inlineStr">
        <is>
          <t>32285004640990</t>
        </is>
      </c>
      <c r="BF169" t="inlineStr">
        <is>
          <t>893875240</t>
        </is>
      </c>
    </row>
    <row r="170">
      <c r="B170" t="inlineStr">
        <is>
          <t>CURAL</t>
        </is>
      </c>
      <c r="C170" t="inlineStr">
        <is>
          <t>SHELVES</t>
        </is>
      </c>
      <c r="D170" t="inlineStr">
        <is>
          <t>CB430 .P637 1999</t>
        </is>
      </c>
      <c r="E170" t="inlineStr">
        <is>
          <t>0                      CB 0430000P  637         1999</t>
        </is>
      </c>
      <c r="F170" t="inlineStr">
        <is>
          <t>Building a bridge to the 18th century : how the past can improve our future / by Neil Postman.</t>
        </is>
      </c>
      <c r="H170" t="inlineStr">
        <is>
          <t>No</t>
        </is>
      </c>
      <c r="I170" t="inlineStr">
        <is>
          <t>1</t>
        </is>
      </c>
      <c r="J170" t="inlineStr">
        <is>
          <t>No</t>
        </is>
      </c>
      <c r="K170" t="inlineStr">
        <is>
          <t>No</t>
        </is>
      </c>
      <c r="L170" t="inlineStr">
        <is>
          <t>0</t>
        </is>
      </c>
      <c r="M170" t="inlineStr">
        <is>
          <t>Postman, Neil.</t>
        </is>
      </c>
      <c r="N170" t="inlineStr">
        <is>
          <t>New York : Alfred A. Knopf : Distributed by Random House, 1999.</t>
        </is>
      </c>
      <c r="O170" t="inlineStr">
        <is>
          <t>1999</t>
        </is>
      </c>
      <c r="Q170" t="inlineStr">
        <is>
          <t>eng</t>
        </is>
      </c>
      <c r="R170" t="inlineStr">
        <is>
          <t>nyu</t>
        </is>
      </c>
      <c r="T170" t="inlineStr">
        <is>
          <t xml:space="preserve">CB </t>
        </is>
      </c>
      <c r="U170" t="n">
        <v>2</v>
      </c>
      <c r="V170" t="n">
        <v>2</v>
      </c>
      <c r="W170" t="inlineStr">
        <is>
          <t>2004-10-13</t>
        </is>
      </c>
      <c r="X170" t="inlineStr">
        <is>
          <t>2004-10-13</t>
        </is>
      </c>
      <c r="Y170" t="inlineStr">
        <is>
          <t>2004-09-16</t>
        </is>
      </c>
      <c r="Z170" t="inlineStr">
        <is>
          <t>2004-09-16</t>
        </is>
      </c>
      <c r="AA170" t="n">
        <v>895</v>
      </c>
      <c r="AB170" t="n">
        <v>767</v>
      </c>
      <c r="AC170" t="n">
        <v>926</v>
      </c>
      <c r="AD170" t="n">
        <v>9</v>
      </c>
      <c r="AE170" t="n">
        <v>10</v>
      </c>
      <c r="AF170" t="n">
        <v>28</v>
      </c>
      <c r="AG170" t="n">
        <v>33</v>
      </c>
      <c r="AH170" t="n">
        <v>11</v>
      </c>
      <c r="AI170" t="n">
        <v>14</v>
      </c>
      <c r="AJ170" t="n">
        <v>5</v>
      </c>
      <c r="AK170" t="n">
        <v>6</v>
      </c>
      <c r="AL170" t="n">
        <v>12</v>
      </c>
      <c r="AM170" t="n">
        <v>13</v>
      </c>
      <c r="AN170" t="n">
        <v>7</v>
      </c>
      <c r="AO170" t="n">
        <v>8</v>
      </c>
      <c r="AP170" t="n">
        <v>0</v>
      </c>
      <c r="AQ170" t="n">
        <v>0</v>
      </c>
      <c r="AR170" t="inlineStr">
        <is>
          <t>No</t>
        </is>
      </c>
      <c r="AS170" t="inlineStr">
        <is>
          <t>Yes</t>
        </is>
      </c>
      <c r="AT170">
        <f>HYPERLINK("http://catalog.hathitrust.org/Record/004051936","HathiTrust Record")</f>
        <v/>
      </c>
      <c r="AU170">
        <f>HYPERLINK("https://creighton-primo.hosted.exlibrisgroup.com/primo-explore/search?tab=default_tab&amp;search_scope=EVERYTHING&amp;vid=01CRU&amp;lang=en_US&amp;offset=0&amp;query=any,contains,991004375699702656","Catalog Record")</f>
        <v/>
      </c>
      <c r="AV170">
        <f>HYPERLINK("http://www.worldcat.org/oclc/40862083","WorldCat Record")</f>
        <v/>
      </c>
      <c r="AW170" t="inlineStr">
        <is>
          <t>793833522:eng</t>
        </is>
      </c>
      <c r="AX170" t="inlineStr">
        <is>
          <t>40862083</t>
        </is>
      </c>
      <c r="AY170" t="inlineStr">
        <is>
          <t>991004375699702656</t>
        </is>
      </c>
      <c r="AZ170" t="inlineStr">
        <is>
          <t>991004375699702656</t>
        </is>
      </c>
      <c r="BA170" t="inlineStr">
        <is>
          <t>2272124540002656</t>
        </is>
      </c>
      <c r="BB170" t="inlineStr">
        <is>
          <t>BOOK</t>
        </is>
      </c>
      <c r="BD170" t="inlineStr">
        <is>
          <t>9780375401299</t>
        </is>
      </c>
      <c r="BE170" t="inlineStr">
        <is>
          <t>32285004988092</t>
        </is>
      </c>
      <c r="BF170" t="inlineStr">
        <is>
          <t>893599771</t>
        </is>
      </c>
    </row>
    <row r="171">
      <c r="B171" t="inlineStr">
        <is>
          <t>CURAL</t>
        </is>
      </c>
      <c r="C171" t="inlineStr">
        <is>
          <t>SHELVES</t>
        </is>
      </c>
      <c r="D171" t="inlineStr">
        <is>
          <t>CB430 .S438 2000</t>
        </is>
      </c>
      <c r="E171" t="inlineStr">
        <is>
          <t>0                      CB 0430000S  438         2000</t>
        </is>
      </c>
      <c r="F171" t="inlineStr">
        <is>
          <t>Dialogue of civilizations : an introduction to civilizational analysis / Victor Segesvary.</t>
        </is>
      </c>
      <c r="H171" t="inlineStr">
        <is>
          <t>No</t>
        </is>
      </c>
      <c r="I171" t="inlineStr">
        <is>
          <t>1</t>
        </is>
      </c>
      <c r="J171" t="inlineStr">
        <is>
          <t>No</t>
        </is>
      </c>
      <c r="K171" t="inlineStr">
        <is>
          <t>No</t>
        </is>
      </c>
      <c r="L171" t="inlineStr">
        <is>
          <t>0</t>
        </is>
      </c>
      <c r="M171" t="inlineStr">
        <is>
          <t>Segesvary, Victor.</t>
        </is>
      </c>
      <c r="N171" t="inlineStr">
        <is>
          <t>Lanham, Md. : University Press of America, c2000.</t>
        </is>
      </c>
      <c r="O171" t="inlineStr">
        <is>
          <t>2000</t>
        </is>
      </c>
      <c r="Q171" t="inlineStr">
        <is>
          <t>eng</t>
        </is>
      </c>
      <c r="R171" t="inlineStr">
        <is>
          <t>mdu</t>
        </is>
      </c>
      <c r="T171" t="inlineStr">
        <is>
          <t xml:space="preserve">CB </t>
        </is>
      </c>
      <c r="U171" t="n">
        <v>4</v>
      </c>
      <c r="V171" t="n">
        <v>4</v>
      </c>
      <c r="W171" t="inlineStr">
        <is>
          <t>2006-11-02</t>
        </is>
      </c>
      <c r="X171" t="inlineStr">
        <is>
          <t>2006-11-02</t>
        </is>
      </c>
      <c r="Y171" t="inlineStr">
        <is>
          <t>2002-09-25</t>
        </is>
      </c>
      <c r="Z171" t="inlineStr">
        <is>
          <t>2002-09-25</t>
        </is>
      </c>
      <c r="AA171" t="n">
        <v>111</v>
      </c>
      <c r="AB171" t="n">
        <v>92</v>
      </c>
      <c r="AC171" t="n">
        <v>94</v>
      </c>
      <c r="AD171" t="n">
        <v>2</v>
      </c>
      <c r="AE171" t="n">
        <v>2</v>
      </c>
      <c r="AF171" t="n">
        <v>7</v>
      </c>
      <c r="AG171" t="n">
        <v>7</v>
      </c>
      <c r="AH171" t="n">
        <v>2</v>
      </c>
      <c r="AI171" t="n">
        <v>2</v>
      </c>
      <c r="AJ171" t="n">
        <v>1</v>
      </c>
      <c r="AK171" t="n">
        <v>1</v>
      </c>
      <c r="AL171" t="n">
        <v>3</v>
      </c>
      <c r="AM171" t="n">
        <v>3</v>
      </c>
      <c r="AN171" t="n">
        <v>1</v>
      </c>
      <c r="AO171" t="n">
        <v>1</v>
      </c>
      <c r="AP171" t="n">
        <v>0</v>
      </c>
      <c r="AQ171" t="n">
        <v>0</v>
      </c>
      <c r="AR171" t="inlineStr">
        <is>
          <t>No</t>
        </is>
      </c>
      <c r="AS171" t="inlineStr">
        <is>
          <t>Yes</t>
        </is>
      </c>
      <c r="AT171">
        <f>HYPERLINK("http://catalog.hathitrust.org/Record/004098771","HathiTrust Record")</f>
        <v/>
      </c>
      <c r="AU171">
        <f>HYPERLINK("https://creighton-primo.hosted.exlibrisgroup.com/primo-explore/search?tab=default_tab&amp;search_scope=EVERYTHING&amp;vid=01CRU&amp;lang=en_US&amp;offset=0&amp;query=any,contains,991003894909702656","Catalog Record")</f>
        <v/>
      </c>
      <c r="AV171">
        <f>HYPERLINK("http://www.worldcat.org/oclc/43286642","WorldCat Record")</f>
        <v/>
      </c>
      <c r="AW171" t="inlineStr">
        <is>
          <t>315543532:eng</t>
        </is>
      </c>
      <c r="AX171" t="inlineStr">
        <is>
          <t>43286642</t>
        </is>
      </c>
      <c r="AY171" t="inlineStr">
        <is>
          <t>991003894909702656</t>
        </is>
      </c>
      <c r="AZ171" t="inlineStr">
        <is>
          <t>991003894909702656</t>
        </is>
      </c>
      <c r="BA171" t="inlineStr">
        <is>
          <t>2258467070002656</t>
        </is>
      </c>
      <c r="BB171" t="inlineStr">
        <is>
          <t>BOOK</t>
        </is>
      </c>
      <c r="BD171" t="inlineStr">
        <is>
          <t>9780761816317</t>
        </is>
      </c>
      <c r="BE171" t="inlineStr">
        <is>
          <t>32285004650148</t>
        </is>
      </c>
      <c r="BF171" t="inlineStr">
        <is>
          <t>893806410</t>
        </is>
      </c>
    </row>
    <row r="172">
      <c r="B172" t="inlineStr">
        <is>
          <t>CURAL</t>
        </is>
      </c>
      <c r="C172" t="inlineStr">
        <is>
          <t>SHELVES</t>
        </is>
      </c>
      <c r="D172" t="inlineStr">
        <is>
          <t>CB430 .S475 2001</t>
        </is>
      </c>
      <c r="E172" t="inlineStr">
        <is>
          <t>0                      CB 0430000S  475         2001</t>
        </is>
      </c>
      <c r="F172" t="inlineStr">
        <is>
          <t>Mona Lisa's moustache : making sense of a dissolving world / Mary Settegast.</t>
        </is>
      </c>
      <c r="H172" t="inlineStr">
        <is>
          <t>No</t>
        </is>
      </c>
      <c r="I172" t="inlineStr">
        <is>
          <t>1</t>
        </is>
      </c>
      <c r="J172" t="inlineStr">
        <is>
          <t>No</t>
        </is>
      </c>
      <c r="K172" t="inlineStr">
        <is>
          <t>No</t>
        </is>
      </c>
      <c r="L172" t="inlineStr">
        <is>
          <t>0</t>
        </is>
      </c>
      <c r="M172" t="inlineStr">
        <is>
          <t>Settegast, Mary.</t>
        </is>
      </c>
      <c r="N172" t="inlineStr">
        <is>
          <t>Grand Rapids, MI : Phanes Press, c2001.</t>
        </is>
      </c>
      <c r="O172" t="inlineStr">
        <is>
          <t>2001</t>
        </is>
      </c>
      <c r="Q172" t="inlineStr">
        <is>
          <t>eng</t>
        </is>
      </c>
      <c r="R172" t="inlineStr">
        <is>
          <t>miu</t>
        </is>
      </c>
      <c r="T172" t="inlineStr">
        <is>
          <t xml:space="preserve">CB </t>
        </is>
      </c>
      <c r="U172" t="n">
        <v>1</v>
      </c>
      <c r="V172" t="n">
        <v>1</v>
      </c>
      <c r="W172" t="inlineStr">
        <is>
          <t>2003-09-09</t>
        </is>
      </c>
      <c r="X172" t="inlineStr">
        <is>
          <t>2003-09-09</t>
        </is>
      </c>
      <c r="Y172" t="inlineStr">
        <is>
          <t>2003-09-09</t>
        </is>
      </c>
      <c r="Z172" t="inlineStr">
        <is>
          <t>2003-09-09</t>
        </is>
      </c>
      <c r="AA172" t="n">
        <v>744</v>
      </c>
      <c r="AB172" t="n">
        <v>736</v>
      </c>
      <c r="AC172" t="n">
        <v>812</v>
      </c>
      <c r="AD172" t="n">
        <v>12</v>
      </c>
      <c r="AE172" t="n">
        <v>14</v>
      </c>
      <c r="AF172" t="n">
        <v>31</v>
      </c>
      <c r="AG172" t="n">
        <v>35</v>
      </c>
      <c r="AH172" t="n">
        <v>10</v>
      </c>
      <c r="AI172" t="n">
        <v>11</v>
      </c>
      <c r="AJ172" t="n">
        <v>3</v>
      </c>
      <c r="AK172" t="n">
        <v>4</v>
      </c>
      <c r="AL172" t="n">
        <v>12</v>
      </c>
      <c r="AM172" t="n">
        <v>13</v>
      </c>
      <c r="AN172" t="n">
        <v>10</v>
      </c>
      <c r="AO172" t="n">
        <v>12</v>
      </c>
      <c r="AP172" t="n">
        <v>0</v>
      </c>
      <c r="AQ172" t="n">
        <v>0</v>
      </c>
      <c r="AR172" t="inlineStr">
        <is>
          <t>No</t>
        </is>
      </c>
      <c r="AS172" t="inlineStr">
        <is>
          <t>Yes</t>
        </is>
      </c>
      <c r="AT172">
        <f>HYPERLINK("http://catalog.hathitrust.org/Record/004956928","HathiTrust Record")</f>
        <v/>
      </c>
      <c r="AU172">
        <f>HYPERLINK("https://creighton-primo.hosted.exlibrisgroup.com/primo-explore/search?tab=default_tab&amp;search_scope=EVERYTHING&amp;vid=01CRU&amp;lang=en_US&amp;offset=0&amp;query=any,contains,991004117579702656","Catalog Record")</f>
        <v/>
      </c>
      <c r="AV172">
        <f>HYPERLINK("http://www.worldcat.org/oclc/44763997","WorldCat Record")</f>
        <v/>
      </c>
      <c r="AW172" t="inlineStr">
        <is>
          <t>17530050:eng</t>
        </is>
      </c>
      <c r="AX172" t="inlineStr">
        <is>
          <t>44763997</t>
        </is>
      </c>
      <c r="AY172" t="inlineStr">
        <is>
          <t>991004117579702656</t>
        </is>
      </c>
      <c r="AZ172" t="inlineStr">
        <is>
          <t>991004117579702656</t>
        </is>
      </c>
      <c r="BA172" t="inlineStr">
        <is>
          <t>2262338950002656</t>
        </is>
      </c>
      <c r="BB172" t="inlineStr">
        <is>
          <t>BOOK</t>
        </is>
      </c>
      <c r="BD172" t="inlineStr">
        <is>
          <t>9781890482909</t>
        </is>
      </c>
      <c r="BE172" t="inlineStr">
        <is>
          <t>32285004781562</t>
        </is>
      </c>
      <c r="BF172" t="inlineStr">
        <is>
          <t>893435907</t>
        </is>
      </c>
    </row>
    <row r="173">
      <c r="B173" t="inlineStr">
        <is>
          <t>CURAL</t>
        </is>
      </c>
      <c r="C173" t="inlineStr">
        <is>
          <t>SHELVES</t>
        </is>
      </c>
      <c r="D173" t="inlineStr">
        <is>
          <t>CB475 .D55 1986</t>
        </is>
      </c>
      <c r="E173" t="inlineStr">
        <is>
          <t>0                      CB 0475000D  55          1986</t>
        </is>
      </c>
      <c r="F173" t="inlineStr">
        <is>
          <t>The power of symbols in religion and culture / F.W. Dillistone.</t>
        </is>
      </c>
      <c r="H173" t="inlineStr">
        <is>
          <t>No</t>
        </is>
      </c>
      <c r="I173" t="inlineStr">
        <is>
          <t>1</t>
        </is>
      </c>
      <c r="J173" t="inlineStr">
        <is>
          <t>No</t>
        </is>
      </c>
      <c r="K173" t="inlineStr">
        <is>
          <t>No</t>
        </is>
      </c>
      <c r="L173" t="inlineStr">
        <is>
          <t>0</t>
        </is>
      </c>
      <c r="M173" t="inlineStr">
        <is>
          <t>Dillistone, F. W. (Frederick William), 1903-1993.</t>
        </is>
      </c>
      <c r="N173" t="inlineStr">
        <is>
          <t>New York : Crossroad, 1986.</t>
        </is>
      </c>
      <c r="O173" t="inlineStr">
        <is>
          <t>1986</t>
        </is>
      </c>
      <c r="Q173" t="inlineStr">
        <is>
          <t>eng</t>
        </is>
      </c>
      <c r="R173" t="inlineStr">
        <is>
          <t>nyu</t>
        </is>
      </c>
      <c r="T173" t="inlineStr">
        <is>
          <t xml:space="preserve">CB </t>
        </is>
      </c>
      <c r="U173" t="n">
        <v>14</v>
      </c>
      <c r="V173" t="n">
        <v>14</v>
      </c>
      <c r="W173" t="inlineStr">
        <is>
          <t>2007-03-09</t>
        </is>
      </c>
      <c r="X173" t="inlineStr">
        <is>
          <t>2007-03-09</t>
        </is>
      </c>
      <c r="Y173" t="inlineStr">
        <is>
          <t>1992-02-19</t>
        </is>
      </c>
      <c r="Z173" t="inlineStr">
        <is>
          <t>1992-02-19</t>
        </is>
      </c>
      <c r="AA173" t="n">
        <v>437</v>
      </c>
      <c r="AB173" t="n">
        <v>383</v>
      </c>
      <c r="AC173" t="n">
        <v>389</v>
      </c>
      <c r="AD173" t="n">
        <v>5</v>
      </c>
      <c r="AE173" t="n">
        <v>5</v>
      </c>
      <c r="AF173" t="n">
        <v>26</v>
      </c>
      <c r="AG173" t="n">
        <v>26</v>
      </c>
      <c r="AH173" t="n">
        <v>9</v>
      </c>
      <c r="AI173" t="n">
        <v>9</v>
      </c>
      <c r="AJ173" t="n">
        <v>6</v>
      </c>
      <c r="AK173" t="n">
        <v>6</v>
      </c>
      <c r="AL173" t="n">
        <v>15</v>
      </c>
      <c r="AM173" t="n">
        <v>15</v>
      </c>
      <c r="AN173" t="n">
        <v>4</v>
      </c>
      <c r="AO173" t="n">
        <v>4</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HYPERLINK("https://creighton-primo.hosted.exlibrisgroup.com/primo-explore/search?tab=default_tab&amp;search_scope=EVERYTHING&amp;vid=01CRU&amp;lang=en_US&amp;offset=0&amp;query=any,contains,991000850889702656","Catalog Record")</f>
        <v/>
      </c>
      <c r="AV173">
        <f>HYPERLINK("http://www.worldcat.org/oclc/13582344","WorldCat Record")</f>
        <v/>
      </c>
      <c r="AW173" t="inlineStr">
        <is>
          <t>7540669:eng</t>
        </is>
      </c>
      <c r="AX173" t="inlineStr">
        <is>
          <t>13582344</t>
        </is>
      </c>
      <c r="AY173" t="inlineStr">
        <is>
          <t>991000850889702656</t>
        </is>
      </c>
      <c r="AZ173" t="inlineStr">
        <is>
          <t>991000850889702656</t>
        </is>
      </c>
      <c r="BA173" t="inlineStr">
        <is>
          <t>2259109160002656</t>
        </is>
      </c>
      <c r="BB173" t="inlineStr">
        <is>
          <t>BOOK</t>
        </is>
      </c>
      <c r="BD173" t="inlineStr">
        <is>
          <t>9780824507848</t>
        </is>
      </c>
      <c r="BE173" t="inlineStr">
        <is>
          <t>32285000971720</t>
        </is>
      </c>
      <c r="BF173" t="inlineStr">
        <is>
          <t>893496612</t>
        </is>
      </c>
    </row>
    <row r="174">
      <c r="B174" t="inlineStr">
        <is>
          <t>CURAL</t>
        </is>
      </c>
      <c r="C174" t="inlineStr">
        <is>
          <t>SHELVES</t>
        </is>
      </c>
      <c r="D174" t="inlineStr">
        <is>
          <t>CB475 .M43 1993</t>
        </is>
      </c>
      <c r="E174" t="inlineStr">
        <is>
          <t>0                      CB 0475000M  43          1993</t>
        </is>
      </c>
      <c r="F174" t="inlineStr">
        <is>
          <t>Medieval numerology : a book of essays / edited by Robert L. Surles.</t>
        </is>
      </c>
      <c r="H174" t="inlineStr">
        <is>
          <t>No</t>
        </is>
      </c>
      <c r="I174" t="inlineStr">
        <is>
          <t>1</t>
        </is>
      </c>
      <c r="J174" t="inlineStr">
        <is>
          <t>No</t>
        </is>
      </c>
      <c r="K174" t="inlineStr">
        <is>
          <t>No</t>
        </is>
      </c>
      <c r="L174" t="inlineStr">
        <is>
          <t>0</t>
        </is>
      </c>
      <c r="N174" t="inlineStr">
        <is>
          <t>New York : Garland Pub., 1993.</t>
        </is>
      </c>
      <c r="O174" t="inlineStr">
        <is>
          <t>1993</t>
        </is>
      </c>
      <c r="Q174" t="inlineStr">
        <is>
          <t>eng</t>
        </is>
      </c>
      <c r="R174" t="inlineStr">
        <is>
          <t>nyu</t>
        </is>
      </c>
      <c r="S174" t="inlineStr">
        <is>
          <t>Garland medieval casebooks ; v. 7</t>
        </is>
      </c>
      <c r="T174" t="inlineStr">
        <is>
          <t xml:space="preserve">CB </t>
        </is>
      </c>
      <c r="U174" t="n">
        <v>3</v>
      </c>
      <c r="V174" t="n">
        <v>3</v>
      </c>
      <c r="W174" t="inlineStr">
        <is>
          <t>2008-09-10</t>
        </is>
      </c>
      <c r="X174" t="inlineStr">
        <is>
          <t>2008-09-10</t>
        </is>
      </c>
      <c r="Y174" t="inlineStr">
        <is>
          <t>1995-06-01</t>
        </is>
      </c>
      <c r="Z174" t="inlineStr">
        <is>
          <t>1995-06-01</t>
        </is>
      </c>
      <c r="AA174" t="n">
        <v>200</v>
      </c>
      <c r="AB174" t="n">
        <v>153</v>
      </c>
      <c r="AC174" t="n">
        <v>158</v>
      </c>
      <c r="AD174" t="n">
        <v>1</v>
      </c>
      <c r="AE174" t="n">
        <v>1</v>
      </c>
      <c r="AF174" t="n">
        <v>7</v>
      </c>
      <c r="AG174" t="n">
        <v>7</v>
      </c>
      <c r="AH174" t="n">
        <v>1</v>
      </c>
      <c r="AI174" t="n">
        <v>1</v>
      </c>
      <c r="AJ174" t="n">
        <v>4</v>
      </c>
      <c r="AK174" t="n">
        <v>4</v>
      </c>
      <c r="AL174" t="n">
        <v>5</v>
      </c>
      <c r="AM174" t="n">
        <v>5</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HYPERLINK("https://creighton-primo.hosted.exlibrisgroup.com/primo-explore/search?tab=default_tab&amp;search_scope=EVERYTHING&amp;vid=01CRU&amp;lang=en_US&amp;offset=0&amp;query=any,contains,991002152029702656","Catalog Record")</f>
        <v/>
      </c>
      <c r="AV174">
        <f>HYPERLINK("http://www.worldcat.org/oclc/27727474","WorldCat Record")</f>
        <v/>
      </c>
      <c r="AW174" t="inlineStr">
        <is>
          <t>354544:eng</t>
        </is>
      </c>
      <c r="AX174" t="inlineStr">
        <is>
          <t>27727474</t>
        </is>
      </c>
      <c r="AY174" t="inlineStr">
        <is>
          <t>991002152029702656</t>
        </is>
      </c>
      <c r="AZ174" t="inlineStr">
        <is>
          <t>991002152029702656</t>
        </is>
      </c>
      <c r="BA174" t="inlineStr">
        <is>
          <t>2264270070002656</t>
        </is>
      </c>
      <c r="BB174" t="inlineStr">
        <is>
          <t>BOOK</t>
        </is>
      </c>
      <c r="BD174" t="inlineStr">
        <is>
          <t>9780815309406</t>
        </is>
      </c>
      <c r="BE174" t="inlineStr">
        <is>
          <t>32285002049608</t>
        </is>
      </c>
      <c r="BF174" t="inlineStr">
        <is>
          <t>893804275</t>
        </is>
      </c>
    </row>
    <row r="175">
      <c r="B175" t="inlineStr">
        <is>
          <t>CURAL</t>
        </is>
      </c>
      <c r="C175" t="inlineStr">
        <is>
          <t>SHELVES</t>
        </is>
      </c>
      <c r="D175" t="inlineStr">
        <is>
          <t>CB478 .R6513 1970</t>
        </is>
      </c>
      <c r="E175" t="inlineStr">
        <is>
          <t>0                      CB 0478000R  6513        1970</t>
        </is>
      </c>
      <c r="F175" t="inlineStr">
        <is>
          <t>Philosophy, technology, and the arts in the early modern era / translated by Salvator Attanasio ; edited by Benjamin Nelson.</t>
        </is>
      </c>
      <c r="H175" t="inlineStr">
        <is>
          <t>No</t>
        </is>
      </c>
      <c r="I175" t="inlineStr">
        <is>
          <t>1</t>
        </is>
      </c>
      <c r="J175" t="inlineStr">
        <is>
          <t>No</t>
        </is>
      </c>
      <c r="K175" t="inlineStr">
        <is>
          <t>No</t>
        </is>
      </c>
      <c r="L175" t="inlineStr">
        <is>
          <t>0</t>
        </is>
      </c>
      <c r="M175" t="inlineStr">
        <is>
          <t>Rossi, Paolo, 1923-2012.</t>
        </is>
      </c>
      <c r="N175" t="inlineStr">
        <is>
          <t>New York : Harper &amp; Row, [1970]</t>
        </is>
      </c>
      <c r="O175" t="inlineStr">
        <is>
          <t>1970</t>
        </is>
      </c>
      <c r="P175" t="inlineStr">
        <is>
          <t>[1st ed.]</t>
        </is>
      </c>
      <c r="Q175" t="inlineStr">
        <is>
          <t>eng</t>
        </is>
      </c>
      <c r="R175" t="inlineStr">
        <is>
          <t>nyu</t>
        </is>
      </c>
      <c r="S175" t="inlineStr">
        <is>
          <t>Harper torchbooks ; TB1458</t>
        </is>
      </c>
      <c r="T175" t="inlineStr">
        <is>
          <t xml:space="preserve">CB </t>
        </is>
      </c>
      <c r="U175" t="n">
        <v>5</v>
      </c>
      <c r="V175" t="n">
        <v>5</v>
      </c>
      <c r="W175" t="inlineStr">
        <is>
          <t>2007-10-11</t>
        </is>
      </c>
      <c r="X175" t="inlineStr">
        <is>
          <t>2007-10-11</t>
        </is>
      </c>
      <c r="Y175" t="inlineStr">
        <is>
          <t>1996-08-20</t>
        </is>
      </c>
      <c r="Z175" t="inlineStr">
        <is>
          <t>1996-08-20</t>
        </is>
      </c>
      <c r="AA175" t="n">
        <v>518</v>
      </c>
      <c r="AB175" t="n">
        <v>415</v>
      </c>
      <c r="AC175" t="n">
        <v>417</v>
      </c>
      <c r="AD175" t="n">
        <v>5</v>
      </c>
      <c r="AE175" t="n">
        <v>5</v>
      </c>
      <c r="AF175" t="n">
        <v>26</v>
      </c>
      <c r="AG175" t="n">
        <v>26</v>
      </c>
      <c r="AH175" t="n">
        <v>6</v>
      </c>
      <c r="AI175" t="n">
        <v>6</v>
      </c>
      <c r="AJ175" t="n">
        <v>8</v>
      </c>
      <c r="AK175" t="n">
        <v>8</v>
      </c>
      <c r="AL175" t="n">
        <v>13</v>
      </c>
      <c r="AM175" t="n">
        <v>13</v>
      </c>
      <c r="AN175" t="n">
        <v>4</v>
      </c>
      <c r="AO175" t="n">
        <v>4</v>
      </c>
      <c r="AP175" t="n">
        <v>0</v>
      </c>
      <c r="AQ175" t="n">
        <v>0</v>
      </c>
      <c r="AR175" t="inlineStr">
        <is>
          <t>No</t>
        </is>
      </c>
      <c r="AS175" t="inlineStr">
        <is>
          <t>Yes</t>
        </is>
      </c>
      <c r="AT175">
        <f>HYPERLINK("http://catalog.hathitrust.org/Record/001379442","HathiTrust Record")</f>
        <v/>
      </c>
      <c r="AU175">
        <f>HYPERLINK("https://creighton-primo.hosted.exlibrisgroup.com/primo-explore/search?tab=default_tab&amp;search_scope=EVERYTHING&amp;vid=01CRU&amp;lang=en_US&amp;offset=0&amp;query=any,contains,991000382889702656","Catalog Record")</f>
        <v/>
      </c>
      <c r="AV175">
        <f>HYPERLINK("http://www.worldcat.org/oclc/72464","WorldCat Record")</f>
        <v/>
      </c>
      <c r="AW175" t="inlineStr">
        <is>
          <t>32366722:eng</t>
        </is>
      </c>
      <c r="AX175" t="inlineStr">
        <is>
          <t>72464</t>
        </is>
      </c>
      <c r="AY175" t="inlineStr">
        <is>
          <t>991000382889702656</t>
        </is>
      </c>
      <c r="AZ175" t="inlineStr">
        <is>
          <t>991000382889702656</t>
        </is>
      </c>
      <c r="BA175" t="inlineStr">
        <is>
          <t>2271432770002656</t>
        </is>
      </c>
      <c r="BB175" t="inlineStr">
        <is>
          <t>BOOK</t>
        </is>
      </c>
      <c r="BE175" t="inlineStr">
        <is>
          <t>32285002276904</t>
        </is>
      </c>
      <c r="BF175" t="inlineStr">
        <is>
          <t>893333413</t>
        </is>
      </c>
    </row>
    <row r="176">
      <c r="B176" t="inlineStr">
        <is>
          <t>CURAL</t>
        </is>
      </c>
      <c r="C176" t="inlineStr">
        <is>
          <t>SHELVES</t>
        </is>
      </c>
      <c r="D176" t="inlineStr">
        <is>
          <t>CB481 .S58 1998</t>
        </is>
      </c>
      <c r="E176" t="inlineStr">
        <is>
          <t>0                      CB 0481000S  58          1998</t>
        </is>
      </c>
      <c r="F176" t="inlineStr">
        <is>
          <t>Conquests and cultures : an international history / Thomas Sowell.</t>
        </is>
      </c>
      <c r="H176" t="inlineStr">
        <is>
          <t>No</t>
        </is>
      </c>
      <c r="I176" t="inlineStr">
        <is>
          <t>1</t>
        </is>
      </c>
      <c r="J176" t="inlineStr">
        <is>
          <t>No</t>
        </is>
      </c>
      <c r="K176" t="inlineStr">
        <is>
          <t>No</t>
        </is>
      </c>
      <c r="L176" t="inlineStr">
        <is>
          <t>0</t>
        </is>
      </c>
      <c r="M176" t="inlineStr">
        <is>
          <t>Sowell, Thomas, 1930-</t>
        </is>
      </c>
      <c r="N176" t="inlineStr">
        <is>
          <t>New York : Basic Books, c1998.</t>
        </is>
      </c>
      <c r="O176" t="inlineStr">
        <is>
          <t>1998</t>
        </is>
      </c>
      <c r="P176" t="inlineStr">
        <is>
          <t>1st ed.</t>
        </is>
      </c>
      <c r="Q176" t="inlineStr">
        <is>
          <t>eng</t>
        </is>
      </c>
      <c r="R176" t="inlineStr">
        <is>
          <t>nyu</t>
        </is>
      </c>
      <c r="T176" t="inlineStr">
        <is>
          <t xml:space="preserve">CB </t>
        </is>
      </c>
      <c r="U176" t="n">
        <v>6</v>
      </c>
      <c r="V176" t="n">
        <v>6</v>
      </c>
      <c r="W176" t="inlineStr">
        <is>
          <t>2007-04-16</t>
        </is>
      </c>
      <c r="X176" t="inlineStr">
        <is>
          <t>2007-04-16</t>
        </is>
      </c>
      <c r="Y176" t="inlineStr">
        <is>
          <t>1998-07-16</t>
        </is>
      </c>
      <c r="Z176" t="inlineStr">
        <is>
          <t>1998-07-16</t>
        </is>
      </c>
      <c r="AA176" t="n">
        <v>1297</v>
      </c>
      <c r="AB176" t="n">
        <v>1185</v>
      </c>
      <c r="AC176" t="n">
        <v>1230</v>
      </c>
      <c r="AD176" t="n">
        <v>10</v>
      </c>
      <c r="AE176" t="n">
        <v>10</v>
      </c>
      <c r="AF176" t="n">
        <v>42</v>
      </c>
      <c r="AG176" t="n">
        <v>42</v>
      </c>
      <c r="AH176" t="n">
        <v>17</v>
      </c>
      <c r="AI176" t="n">
        <v>17</v>
      </c>
      <c r="AJ176" t="n">
        <v>10</v>
      </c>
      <c r="AK176" t="n">
        <v>10</v>
      </c>
      <c r="AL176" t="n">
        <v>20</v>
      </c>
      <c r="AM176" t="n">
        <v>20</v>
      </c>
      <c r="AN176" t="n">
        <v>6</v>
      </c>
      <c r="AO176" t="n">
        <v>6</v>
      </c>
      <c r="AP176" t="n">
        <v>0</v>
      </c>
      <c r="AQ176" t="n">
        <v>0</v>
      </c>
      <c r="AR176" t="inlineStr">
        <is>
          <t>No</t>
        </is>
      </c>
      <c r="AS176" t="inlineStr">
        <is>
          <t>Yes</t>
        </is>
      </c>
      <c r="AT176">
        <f>HYPERLINK("http://catalog.hathitrust.org/Record/003976188","HathiTrust Record")</f>
        <v/>
      </c>
      <c r="AU176">
        <f>HYPERLINK("https://creighton-primo.hosted.exlibrisgroup.com/primo-explore/search?tab=default_tab&amp;search_scope=EVERYTHING&amp;vid=01CRU&amp;lang=en_US&amp;offset=0&amp;query=any,contains,991002894239702656","Catalog Record")</f>
        <v/>
      </c>
      <c r="AV176">
        <f>HYPERLINK("http://www.worldcat.org/oclc/38130578","WorldCat Record")</f>
        <v/>
      </c>
      <c r="AW176" t="inlineStr">
        <is>
          <t>547963:eng</t>
        </is>
      </c>
      <c r="AX176" t="inlineStr">
        <is>
          <t>38130578</t>
        </is>
      </c>
      <c r="AY176" t="inlineStr">
        <is>
          <t>991002894239702656</t>
        </is>
      </c>
      <c r="AZ176" t="inlineStr">
        <is>
          <t>991002894239702656</t>
        </is>
      </c>
      <c r="BA176" t="inlineStr">
        <is>
          <t>2262252840002656</t>
        </is>
      </c>
      <c r="BB176" t="inlineStr">
        <is>
          <t>BOOK</t>
        </is>
      </c>
      <c r="BD176" t="inlineStr">
        <is>
          <t>9780465013999</t>
        </is>
      </c>
      <c r="BE176" t="inlineStr">
        <is>
          <t>32285003432456</t>
        </is>
      </c>
      <c r="BF176" t="inlineStr">
        <is>
          <t>893440662</t>
        </is>
      </c>
    </row>
    <row r="177">
      <c r="B177" t="inlineStr">
        <is>
          <t>CURAL</t>
        </is>
      </c>
      <c r="C177" t="inlineStr">
        <is>
          <t>SHELVES</t>
        </is>
      </c>
      <c r="D177" t="inlineStr">
        <is>
          <t>CB5 .G7</t>
        </is>
      </c>
      <c r="E177" t="inlineStr">
        <is>
          <t>0                      CB 0005000G  7</t>
        </is>
      </c>
      <c r="F177" t="inlineStr">
        <is>
          <t>Great documents of the world : milestones of human thought / [compiled] by Friedrich Heer.</t>
        </is>
      </c>
      <c r="H177" t="inlineStr">
        <is>
          <t>No</t>
        </is>
      </c>
      <c r="I177" t="inlineStr">
        <is>
          <t>1</t>
        </is>
      </c>
      <c r="J177" t="inlineStr">
        <is>
          <t>No</t>
        </is>
      </c>
      <c r="K177" t="inlineStr">
        <is>
          <t>No</t>
        </is>
      </c>
      <c r="L177" t="inlineStr">
        <is>
          <t>0</t>
        </is>
      </c>
      <c r="N177" t="inlineStr">
        <is>
          <t>New York : McGraw-Hill, c1977.</t>
        </is>
      </c>
      <c r="O177" t="inlineStr">
        <is>
          <t>1977</t>
        </is>
      </c>
      <c r="Q177" t="inlineStr">
        <is>
          <t>eng</t>
        </is>
      </c>
      <c r="R177" t="inlineStr">
        <is>
          <t>nyu</t>
        </is>
      </c>
      <c r="T177" t="inlineStr">
        <is>
          <t xml:space="preserve">CB </t>
        </is>
      </c>
      <c r="U177" t="n">
        <v>1</v>
      </c>
      <c r="V177" t="n">
        <v>1</v>
      </c>
      <c r="W177" t="inlineStr">
        <is>
          <t>2009-09-16</t>
        </is>
      </c>
      <c r="X177" t="inlineStr">
        <is>
          <t>2009-09-16</t>
        </is>
      </c>
      <c r="Y177" t="inlineStr">
        <is>
          <t>1996-08-14</t>
        </is>
      </c>
      <c r="Z177" t="inlineStr">
        <is>
          <t>1996-08-14</t>
        </is>
      </c>
      <c r="AA177" t="n">
        <v>661</v>
      </c>
      <c r="AB177" t="n">
        <v>609</v>
      </c>
      <c r="AC177" t="n">
        <v>617</v>
      </c>
      <c r="AD177" t="n">
        <v>11</v>
      </c>
      <c r="AE177" t="n">
        <v>11</v>
      </c>
      <c r="AF177" t="n">
        <v>9</v>
      </c>
      <c r="AG177" t="n">
        <v>9</v>
      </c>
      <c r="AH177" t="n">
        <v>1</v>
      </c>
      <c r="AI177" t="n">
        <v>1</v>
      </c>
      <c r="AJ177" t="n">
        <v>1</v>
      </c>
      <c r="AK177" t="n">
        <v>1</v>
      </c>
      <c r="AL177" t="n">
        <v>3</v>
      </c>
      <c r="AM177" t="n">
        <v>3</v>
      </c>
      <c r="AN177" t="n">
        <v>4</v>
      </c>
      <c r="AO177" t="n">
        <v>4</v>
      </c>
      <c r="AP177" t="n">
        <v>0</v>
      </c>
      <c r="AQ177" t="n">
        <v>0</v>
      </c>
      <c r="AR177" t="inlineStr">
        <is>
          <t>No</t>
        </is>
      </c>
      <c r="AS177" t="inlineStr">
        <is>
          <t>Yes</t>
        </is>
      </c>
      <c r="AT177">
        <f>HYPERLINK("http://catalog.hathitrust.org/Record/000213901","HathiTrust Record")</f>
        <v/>
      </c>
      <c r="AU177">
        <f>HYPERLINK("https://creighton-primo.hosted.exlibrisgroup.com/primo-explore/search?tab=default_tab&amp;search_scope=EVERYTHING&amp;vid=01CRU&amp;lang=en_US&amp;offset=0&amp;query=any,contains,991004298129702656","Catalog Record")</f>
        <v/>
      </c>
      <c r="AV177">
        <f>HYPERLINK("http://www.worldcat.org/oclc/2966555","WorldCat Record")</f>
        <v/>
      </c>
      <c r="AW177" t="inlineStr">
        <is>
          <t>6615039:eng</t>
        </is>
      </c>
      <c r="AX177" t="inlineStr">
        <is>
          <t>2966555</t>
        </is>
      </c>
      <c r="AY177" t="inlineStr">
        <is>
          <t>991004298129702656</t>
        </is>
      </c>
      <c r="AZ177" t="inlineStr">
        <is>
          <t>991004298129702656</t>
        </is>
      </c>
      <c r="BA177" t="inlineStr">
        <is>
          <t>2267158230002656</t>
        </is>
      </c>
      <c r="BB177" t="inlineStr">
        <is>
          <t>BOOK</t>
        </is>
      </c>
      <c r="BD177" t="inlineStr">
        <is>
          <t>9780070277809</t>
        </is>
      </c>
      <c r="BE177" t="inlineStr">
        <is>
          <t>32285002262888</t>
        </is>
      </c>
      <c r="BF177" t="inlineStr">
        <is>
          <t>893775872</t>
        </is>
      </c>
    </row>
    <row r="178">
      <c r="B178" t="inlineStr">
        <is>
          <t>CURAL</t>
        </is>
      </c>
      <c r="C178" t="inlineStr">
        <is>
          <t>SHELVES</t>
        </is>
      </c>
      <c r="D178" t="inlineStr">
        <is>
          <t>CB5 .T4 1949</t>
        </is>
      </c>
      <c r="E178" t="inlineStr">
        <is>
          <t>0                      CB 0005000T  4           1949</t>
        </is>
      </c>
      <c r="F178" t="inlineStr">
        <is>
          <t>The idea of progress, a collection of readings. Rev. ed., with an introd. by George H. Hildebrand.</t>
        </is>
      </c>
      <c r="H178" t="inlineStr">
        <is>
          <t>No</t>
        </is>
      </c>
      <c r="I178" t="inlineStr">
        <is>
          <t>1</t>
        </is>
      </c>
      <c r="J178" t="inlineStr">
        <is>
          <t>No</t>
        </is>
      </c>
      <c r="K178" t="inlineStr">
        <is>
          <t>No</t>
        </is>
      </c>
      <c r="L178" t="inlineStr">
        <is>
          <t>0</t>
        </is>
      </c>
      <c r="M178" t="inlineStr">
        <is>
          <t>Teggart, Frederick John, 1870-1946 editor.</t>
        </is>
      </c>
      <c r="N178" t="inlineStr">
        <is>
          <t>Berkeley, University of California Press [c1949]</t>
        </is>
      </c>
      <c r="O178" t="inlineStr">
        <is>
          <t>1949</t>
        </is>
      </c>
      <c r="Q178" t="inlineStr">
        <is>
          <t>eng</t>
        </is>
      </c>
      <c r="R178" t="inlineStr">
        <is>
          <t>cau</t>
        </is>
      </c>
      <c r="T178" t="inlineStr">
        <is>
          <t xml:space="preserve">CB </t>
        </is>
      </c>
      <c r="U178" t="n">
        <v>1</v>
      </c>
      <c r="V178" t="n">
        <v>1</v>
      </c>
      <c r="W178" t="inlineStr">
        <is>
          <t>2003-11-05</t>
        </is>
      </c>
      <c r="X178" t="inlineStr">
        <is>
          <t>2003-11-05</t>
        </is>
      </c>
      <c r="Y178" t="inlineStr">
        <is>
          <t>1996-08-14</t>
        </is>
      </c>
      <c r="Z178" t="inlineStr">
        <is>
          <t>1996-08-14</t>
        </is>
      </c>
      <c r="AA178" t="n">
        <v>247</v>
      </c>
      <c r="AB178" t="n">
        <v>237</v>
      </c>
      <c r="AC178" t="n">
        <v>257</v>
      </c>
      <c r="AD178" t="n">
        <v>2</v>
      </c>
      <c r="AE178" t="n">
        <v>2</v>
      </c>
      <c r="AF178" t="n">
        <v>11</v>
      </c>
      <c r="AG178" t="n">
        <v>12</v>
      </c>
      <c r="AH178" t="n">
        <v>4</v>
      </c>
      <c r="AI178" t="n">
        <v>5</v>
      </c>
      <c r="AJ178" t="n">
        <v>2</v>
      </c>
      <c r="AK178" t="n">
        <v>2</v>
      </c>
      <c r="AL178" t="n">
        <v>7</v>
      </c>
      <c r="AM178" t="n">
        <v>8</v>
      </c>
      <c r="AN178" t="n">
        <v>1</v>
      </c>
      <c r="AO178" t="n">
        <v>1</v>
      </c>
      <c r="AP178" t="n">
        <v>0</v>
      </c>
      <c r="AQ178" t="n">
        <v>0</v>
      </c>
      <c r="AR178" t="inlineStr">
        <is>
          <t>No</t>
        </is>
      </c>
      <c r="AS178" t="inlineStr">
        <is>
          <t>No</t>
        </is>
      </c>
      <c r="AT178">
        <f>HYPERLINK("http://catalog.hathitrust.org/Record/001594850","HathiTrust Record")</f>
        <v/>
      </c>
      <c r="AU178">
        <f>HYPERLINK("https://creighton-primo.hosted.exlibrisgroup.com/primo-explore/search?tab=default_tab&amp;search_scope=EVERYTHING&amp;vid=01CRU&amp;lang=en_US&amp;offset=0&amp;query=any,contains,991003933449702656","Catalog Record")</f>
        <v/>
      </c>
      <c r="AV178">
        <f>HYPERLINK("http://www.worldcat.org/oclc/1905605","WorldCat Record")</f>
        <v/>
      </c>
      <c r="AW178" t="inlineStr">
        <is>
          <t>54436989:eng</t>
        </is>
      </c>
      <c r="AX178" t="inlineStr">
        <is>
          <t>1905605</t>
        </is>
      </c>
      <c r="AY178" t="inlineStr">
        <is>
          <t>991003933449702656</t>
        </is>
      </c>
      <c r="AZ178" t="inlineStr">
        <is>
          <t>991003933449702656</t>
        </is>
      </c>
      <c r="BA178" t="inlineStr">
        <is>
          <t>2257907530002656</t>
        </is>
      </c>
      <c r="BB178" t="inlineStr">
        <is>
          <t>BOOK</t>
        </is>
      </c>
      <c r="BE178" t="inlineStr">
        <is>
          <t>32285002262912</t>
        </is>
      </c>
      <c r="BF178" t="inlineStr">
        <is>
          <t>893810268</t>
        </is>
      </c>
    </row>
    <row r="179">
      <c r="B179" t="inlineStr">
        <is>
          <t>CURAL</t>
        </is>
      </c>
      <c r="C179" t="inlineStr">
        <is>
          <t>SHELVES</t>
        </is>
      </c>
      <c r="D179" t="inlineStr">
        <is>
          <t>CB53 .B36 1965</t>
        </is>
      </c>
      <c r="E179" t="inlineStr">
        <is>
          <t>0                      CB 0053000B  36          1965</t>
        </is>
      </c>
      <c r="F179" t="inlineStr">
        <is>
          <t>An intellectual and cultural history of the Western World, by Harry Elmer Barnes [and others]</t>
        </is>
      </c>
      <c r="G179" t="inlineStr">
        <is>
          <t>V.3</t>
        </is>
      </c>
      <c r="H179" t="inlineStr">
        <is>
          <t>Yes</t>
        </is>
      </c>
      <c r="I179" t="inlineStr">
        <is>
          <t>1</t>
        </is>
      </c>
      <c r="J179" t="inlineStr">
        <is>
          <t>No</t>
        </is>
      </c>
      <c r="K179" t="inlineStr">
        <is>
          <t>No</t>
        </is>
      </c>
      <c r="L179" t="inlineStr">
        <is>
          <t>0</t>
        </is>
      </c>
      <c r="M179" t="inlineStr">
        <is>
          <t>Barnes, Harry Elmer, 1889-1968.</t>
        </is>
      </c>
      <c r="N179" t="inlineStr">
        <is>
          <t>New York, Dover Publications [1965]</t>
        </is>
      </c>
      <c r="O179" t="inlineStr">
        <is>
          <t>1965</t>
        </is>
      </c>
      <c r="P179" t="inlineStr">
        <is>
          <t>3d rev. ed.</t>
        </is>
      </c>
      <c r="Q179" t="inlineStr">
        <is>
          <t>eng</t>
        </is>
      </c>
      <c r="R179" t="inlineStr">
        <is>
          <t>nyu</t>
        </is>
      </c>
      <c r="T179" t="inlineStr">
        <is>
          <t xml:space="preserve">CB </t>
        </is>
      </c>
      <c r="U179" t="n">
        <v>1</v>
      </c>
      <c r="V179" t="n">
        <v>2</v>
      </c>
      <c r="X179" t="inlineStr">
        <is>
          <t>2005-09-10</t>
        </is>
      </c>
      <c r="Y179" t="inlineStr">
        <is>
          <t>1996-08-14</t>
        </is>
      </c>
      <c r="Z179" t="inlineStr">
        <is>
          <t>1996-08-14</t>
        </is>
      </c>
      <c r="AA179" t="n">
        <v>1040</v>
      </c>
      <c r="AB179" t="n">
        <v>930</v>
      </c>
      <c r="AC179" t="n">
        <v>986</v>
      </c>
      <c r="AD179" t="n">
        <v>7</v>
      </c>
      <c r="AE179" t="n">
        <v>7</v>
      </c>
      <c r="AF179" t="n">
        <v>40</v>
      </c>
      <c r="AG179" t="n">
        <v>40</v>
      </c>
      <c r="AH179" t="n">
        <v>16</v>
      </c>
      <c r="AI179" t="n">
        <v>16</v>
      </c>
      <c r="AJ179" t="n">
        <v>10</v>
      </c>
      <c r="AK179" t="n">
        <v>10</v>
      </c>
      <c r="AL179" t="n">
        <v>15</v>
      </c>
      <c r="AM179" t="n">
        <v>15</v>
      </c>
      <c r="AN179" t="n">
        <v>6</v>
      </c>
      <c r="AO179" t="n">
        <v>6</v>
      </c>
      <c r="AP179" t="n">
        <v>1</v>
      </c>
      <c r="AQ179" t="n">
        <v>1</v>
      </c>
      <c r="AR179" t="inlineStr">
        <is>
          <t>No</t>
        </is>
      </c>
      <c r="AS179" t="inlineStr">
        <is>
          <t>Yes</t>
        </is>
      </c>
      <c r="AT179">
        <f>HYPERLINK("http://catalog.hathitrust.org/Record/001594928","HathiTrust Record")</f>
        <v/>
      </c>
      <c r="AU179">
        <f>HYPERLINK("https://creighton-primo.hosted.exlibrisgroup.com/primo-explore/search?tab=default_tab&amp;search_scope=EVERYTHING&amp;vid=01CRU&amp;lang=en_US&amp;offset=0&amp;query=any,contains,991002658369702656","Catalog Record")</f>
        <v/>
      </c>
      <c r="AV179">
        <f>HYPERLINK("http://www.worldcat.org/oclc/390382","WorldCat Record")</f>
        <v/>
      </c>
      <c r="AW179" t="inlineStr">
        <is>
          <t>4095470259:eng</t>
        </is>
      </c>
      <c r="AX179" t="inlineStr">
        <is>
          <t>390382</t>
        </is>
      </c>
      <c r="AY179" t="inlineStr">
        <is>
          <t>991002658369702656</t>
        </is>
      </c>
      <c r="AZ179" t="inlineStr">
        <is>
          <t>991002658369702656</t>
        </is>
      </c>
      <c r="BA179" t="inlineStr">
        <is>
          <t>2262050450002656</t>
        </is>
      </c>
      <c r="BB179" t="inlineStr">
        <is>
          <t>BOOK</t>
        </is>
      </c>
      <c r="BE179" t="inlineStr">
        <is>
          <t>32285002263258</t>
        </is>
      </c>
      <c r="BF179" t="inlineStr">
        <is>
          <t>893535119</t>
        </is>
      </c>
    </row>
    <row r="180">
      <c r="B180" t="inlineStr">
        <is>
          <t>CURAL</t>
        </is>
      </c>
      <c r="C180" t="inlineStr">
        <is>
          <t>SHELVES</t>
        </is>
      </c>
      <c r="D180" t="inlineStr">
        <is>
          <t>CB53 .B36 1965</t>
        </is>
      </c>
      <c r="E180" t="inlineStr">
        <is>
          <t>0                      CB 0053000B  36          1965</t>
        </is>
      </c>
      <c r="F180" t="inlineStr">
        <is>
          <t>An intellectual and cultural history of the Western World, by Harry Elmer Barnes [and others]</t>
        </is>
      </c>
      <c r="G180" t="inlineStr">
        <is>
          <t>V.1</t>
        </is>
      </c>
      <c r="H180" t="inlineStr">
        <is>
          <t>Yes</t>
        </is>
      </c>
      <c r="I180" t="inlineStr">
        <is>
          <t>1</t>
        </is>
      </c>
      <c r="J180" t="inlineStr">
        <is>
          <t>No</t>
        </is>
      </c>
      <c r="K180" t="inlineStr">
        <is>
          <t>No</t>
        </is>
      </c>
      <c r="L180" t="inlineStr">
        <is>
          <t>0</t>
        </is>
      </c>
      <c r="M180" t="inlineStr">
        <is>
          <t>Barnes, Harry Elmer, 1889-1968.</t>
        </is>
      </c>
      <c r="N180" t="inlineStr">
        <is>
          <t>New York, Dover Publications [1965]</t>
        </is>
      </c>
      <c r="O180" t="inlineStr">
        <is>
          <t>1965</t>
        </is>
      </c>
      <c r="P180" t="inlineStr">
        <is>
          <t>3d rev. ed.</t>
        </is>
      </c>
      <c r="Q180" t="inlineStr">
        <is>
          <t>eng</t>
        </is>
      </c>
      <c r="R180" t="inlineStr">
        <is>
          <t>nyu</t>
        </is>
      </c>
      <c r="T180" t="inlineStr">
        <is>
          <t xml:space="preserve">CB </t>
        </is>
      </c>
      <c r="U180" t="n">
        <v>1</v>
      </c>
      <c r="V180" t="n">
        <v>2</v>
      </c>
      <c r="W180" t="inlineStr">
        <is>
          <t>2005-09-10</t>
        </is>
      </c>
      <c r="X180" t="inlineStr">
        <is>
          <t>2005-09-10</t>
        </is>
      </c>
      <c r="Y180" t="inlineStr">
        <is>
          <t>1996-08-14</t>
        </is>
      </c>
      <c r="Z180" t="inlineStr">
        <is>
          <t>1996-08-14</t>
        </is>
      </c>
      <c r="AA180" t="n">
        <v>1040</v>
      </c>
      <c r="AB180" t="n">
        <v>930</v>
      </c>
      <c r="AC180" t="n">
        <v>986</v>
      </c>
      <c r="AD180" t="n">
        <v>7</v>
      </c>
      <c r="AE180" t="n">
        <v>7</v>
      </c>
      <c r="AF180" t="n">
        <v>40</v>
      </c>
      <c r="AG180" t="n">
        <v>40</v>
      </c>
      <c r="AH180" t="n">
        <v>16</v>
      </c>
      <c r="AI180" t="n">
        <v>16</v>
      </c>
      <c r="AJ180" t="n">
        <v>10</v>
      </c>
      <c r="AK180" t="n">
        <v>10</v>
      </c>
      <c r="AL180" t="n">
        <v>15</v>
      </c>
      <c r="AM180" t="n">
        <v>15</v>
      </c>
      <c r="AN180" t="n">
        <v>6</v>
      </c>
      <c r="AO180" t="n">
        <v>6</v>
      </c>
      <c r="AP180" t="n">
        <v>1</v>
      </c>
      <c r="AQ180" t="n">
        <v>1</v>
      </c>
      <c r="AR180" t="inlineStr">
        <is>
          <t>No</t>
        </is>
      </c>
      <c r="AS180" t="inlineStr">
        <is>
          <t>Yes</t>
        </is>
      </c>
      <c r="AT180">
        <f>HYPERLINK("http://catalog.hathitrust.org/Record/001594928","HathiTrust Record")</f>
        <v/>
      </c>
      <c r="AU180">
        <f>HYPERLINK("https://creighton-primo.hosted.exlibrisgroup.com/primo-explore/search?tab=default_tab&amp;search_scope=EVERYTHING&amp;vid=01CRU&amp;lang=en_US&amp;offset=0&amp;query=any,contains,991002658369702656","Catalog Record")</f>
        <v/>
      </c>
      <c r="AV180">
        <f>HYPERLINK("http://www.worldcat.org/oclc/390382","WorldCat Record")</f>
        <v/>
      </c>
      <c r="AW180" t="inlineStr">
        <is>
          <t>4095470259:eng</t>
        </is>
      </c>
      <c r="AX180" t="inlineStr">
        <is>
          <t>390382</t>
        </is>
      </c>
      <c r="AY180" t="inlineStr">
        <is>
          <t>991002658369702656</t>
        </is>
      </c>
      <c r="AZ180" t="inlineStr">
        <is>
          <t>991002658369702656</t>
        </is>
      </c>
      <c r="BA180" t="inlineStr">
        <is>
          <t>2262050450002656</t>
        </is>
      </c>
      <c r="BB180" t="inlineStr">
        <is>
          <t>BOOK</t>
        </is>
      </c>
      <c r="BE180" t="inlineStr">
        <is>
          <t>32285002263233</t>
        </is>
      </c>
      <c r="BF180" t="inlineStr">
        <is>
          <t>893498381</t>
        </is>
      </c>
    </row>
    <row r="181">
      <c r="B181" t="inlineStr">
        <is>
          <t>CURAL</t>
        </is>
      </c>
      <c r="C181" t="inlineStr">
        <is>
          <t>SHELVES</t>
        </is>
      </c>
      <c r="D181" t="inlineStr">
        <is>
          <t>CB53 .B36 1965</t>
        </is>
      </c>
      <c r="E181" t="inlineStr">
        <is>
          <t>0                      CB 0053000B  36          1965</t>
        </is>
      </c>
      <c r="F181" t="inlineStr">
        <is>
          <t>An intellectual and cultural history of the Western World, by Harry Elmer Barnes [and others]</t>
        </is>
      </c>
      <c r="G181" t="inlineStr">
        <is>
          <t>V.2</t>
        </is>
      </c>
      <c r="H181" t="inlineStr">
        <is>
          <t>Yes</t>
        </is>
      </c>
      <c r="I181" t="inlineStr">
        <is>
          <t>1</t>
        </is>
      </c>
      <c r="J181" t="inlineStr">
        <is>
          <t>No</t>
        </is>
      </c>
      <c r="K181" t="inlineStr">
        <is>
          <t>No</t>
        </is>
      </c>
      <c r="L181" t="inlineStr">
        <is>
          <t>0</t>
        </is>
      </c>
      <c r="M181" t="inlineStr">
        <is>
          <t>Barnes, Harry Elmer, 1889-1968.</t>
        </is>
      </c>
      <c r="N181" t="inlineStr">
        <is>
          <t>New York, Dover Publications [1965]</t>
        </is>
      </c>
      <c r="O181" t="inlineStr">
        <is>
          <t>1965</t>
        </is>
      </c>
      <c r="P181" t="inlineStr">
        <is>
          <t>3d rev. ed.</t>
        </is>
      </c>
      <c r="Q181" t="inlineStr">
        <is>
          <t>eng</t>
        </is>
      </c>
      <c r="R181" t="inlineStr">
        <is>
          <t>nyu</t>
        </is>
      </c>
      <c r="T181" t="inlineStr">
        <is>
          <t xml:space="preserve">CB </t>
        </is>
      </c>
      <c r="U181" t="n">
        <v>0</v>
      </c>
      <c r="V181" t="n">
        <v>2</v>
      </c>
      <c r="X181" t="inlineStr">
        <is>
          <t>2005-09-10</t>
        </is>
      </c>
      <c r="Y181" t="inlineStr">
        <is>
          <t>1996-08-14</t>
        </is>
      </c>
      <c r="Z181" t="inlineStr">
        <is>
          <t>1996-08-14</t>
        </is>
      </c>
      <c r="AA181" t="n">
        <v>1040</v>
      </c>
      <c r="AB181" t="n">
        <v>930</v>
      </c>
      <c r="AC181" t="n">
        <v>986</v>
      </c>
      <c r="AD181" t="n">
        <v>7</v>
      </c>
      <c r="AE181" t="n">
        <v>7</v>
      </c>
      <c r="AF181" t="n">
        <v>40</v>
      </c>
      <c r="AG181" t="n">
        <v>40</v>
      </c>
      <c r="AH181" t="n">
        <v>16</v>
      </c>
      <c r="AI181" t="n">
        <v>16</v>
      </c>
      <c r="AJ181" t="n">
        <v>10</v>
      </c>
      <c r="AK181" t="n">
        <v>10</v>
      </c>
      <c r="AL181" t="n">
        <v>15</v>
      </c>
      <c r="AM181" t="n">
        <v>15</v>
      </c>
      <c r="AN181" t="n">
        <v>6</v>
      </c>
      <c r="AO181" t="n">
        <v>6</v>
      </c>
      <c r="AP181" t="n">
        <v>1</v>
      </c>
      <c r="AQ181" t="n">
        <v>1</v>
      </c>
      <c r="AR181" t="inlineStr">
        <is>
          <t>No</t>
        </is>
      </c>
      <c r="AS181" t="inlineStr">
        <is>
          <t>Yes</t>
        </is>
      </c>
      <c r="AT181">
        <f>HYPERLINK("http://catalog.hathitrust.org/Record/001594928","HathiTrust Record")</f>
        <v/>
      </c>
      <c r="AU181">
        <f>HYPERLINK("https://creighton-primo.hosted.exlibrisgroup.com/primo-explore/search?tab=default_tab&amp;search_scope=EVERYTHING&amp;vid=01CRU&amp;lang=en_US&amp;offset=0&amp;query=any,contains,991002658369702656","Catalog Record")</f>
        <v/>
      </c>
      <c r="AV181">
        <f>HYPERLINK("http://www.worldcat.org/oclc/390382","WorldCat Record")</f>
        <v/>
      </c>
      <c r="AW181" t="inlineStr">
        <is>
          <t>4095470259:eng</t>
        </is>
      </c>
      <c r="AX181" t="inlineStr">
        <is>
          <t>390382</t>
        </is>
      </c>
      <c r="AY181" t="inlineStr">
        <is>
          <t>991002658369702656</t>
        </is>
      </c>
      <c r="AZ181" t="inlineStr">
        <is>
          <t>991002658369702656</t>
        </is>
      </c>
      <c r="BA181" t="inlineStr">
        <is>
          <t>2262050450002656</t>
        </is>
      </c>
      <c r="BB181" t="inlineStr">
        <is>
          <t>BOOK</t>
        </is>
      </c>
      <c r="BE181" t="inlineStr">
        <is>
          <t>32285002263241</t>
        </is>
      </c>
      <c r="BF181" t="inlineStr">
        <is>
          <t>893530295</t>
        </is>
      </c>
    </row>
    <row r="182">
      <c r="B182" t="inlineStr">
        <is>
          <t>CURAL</t>
        </is>
      </c>
      <c r="C182" t="inlineStr">
        <is>
          <t>SHELVES</t>
        </is>
      </c>
      <c r="D182" t="inlineStr">
        <is>
          <t>CB53 .V6 v.1</t>
        </is>
      </c>
      <c r="E182" t="inlineStr">
        <is>
          <t>0                      CB 0053000V  6                                                       v.1</t>
        </is>
      </c>
      <c r="F182" t="inlineStr">
        <is>
          <t>Israel and revelation / Eric Voegelin.</t>
        </is>
      </c>
      <c r="G182" t="inlineStr">
        <is>
          <t>V. 1</t>
        </is>
      </c>
      <c r="H182" t="inlineStr">
        <is>
          <t>No</t>
        </is>
      </c>
      <c r="I182" t="inlineStr">
        <is>
          <t>1</t>
        </is>
      </c>
      <c r="J182" t="inlineStr">
        <is>
          <t>No</t>
        </is>
      </c>
      <c r="K182" t="inlineStr">
        <is>
          <t>No</t>
        </is>
      </c>
      <c r="L182" t="inlineStr">
        <is>
          <t>0</t>
        </is>
      </c>
      <c r="M182" t="inlineStr">
        <is>
          <t>Voegelin, Eric, 1901-1985.</t>
        </is>
      </c>
      <c r="N182" t="inlineStr">
        <is>
          <t>[Baton Rouge] : Louisiana State University Press, 1956.</t>
        </is>
      </c>
      <c r="O182" t="inlineStr">
        <is>
          <t>1956</t>
        </is>
      </c>
      <c r="Q182" t="inlineStr">
        <is>
          <t>eng</t>
        </is>
      </c>
      <c r="R182" t="inlineStr">
        <is>
          <t>lau</t>
        </is>
      </c>
      <c r="S182" t="inlineStr">
        <is>
          <t>His Order and history ; v. 1</t>
        </is>
      </c>
      <c r="T182" t="inlineStr">
        <is>
          <t xml:space="preserve">CB </t>
        </is>
      </c>
      <c r="U182" t="n">
        <v>4</v>
      </c>
      <c r="V182" t="n">
        <v>4</v>
      </c>
      <c r="W182" t="inlineStr">
        <is>
          <t>1995-06-17</t>
        </is>
      </c>
      <c r="X182" t="inlineStr">
        <is>
          <t>1995-06-17</t>
        </is>
      </c>
      <c r="Y182" t="inlineStr">
        <is>
          <t>1992-05-29</t>
        </is>
      </c>
      <c r="Z182" t="inlineStr">
        <is>
          <t>1992-05-29</t>
        </is>
      </c>
      <c r="AA182" t="n">
        <v>104</v>
      </c>
      <c r="AB182" t="n">
        <v>85</v>
      </c>
      <c r="AC182" t="n">
        <v>149</v>
      </c>
      <c r="AD182" t="n">
        <v>1</v>
      </c>
      <c r="AE182" t="n">
        <v>2</v>
      </c>
      <c r="AF182" t="n">
        <v>4</v>
      </c>
      <c r="AG182" t="n">
        <v>7</v>
      </c>
      <c r="AH182" t="n">
        <v>3</v>
      </c>
      <c r="AI182" t="n">
        <v>4</v>
      </c>
      <c r="AJ182" t="n">
        <v>2</v>
      </c>
      <c r="AK182" t="n">
        <v>2</v>
      </c>
      <c r="AL182" t="n">
        <v>0</v>
      </c>
      <c r="AM182" t="n">
        <v>1</v>
      </c>
      <c r="AN182" t="n">
        <v>0</v>
      </c>
      <c r="AO182" t="n">
        <v>1</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HYPERLINK("https://creighton-primo.hosted.exlibrisgroup.com/primo-explore/search?tab=default_tab&amp;search_scope=EVERYTHING&amp;vid=01CRU&amp;lang=en_US&amp;offset=0&amp;query=any,contains,991004958869702656","Catalog Record")</f>
        <v/>
      </c>
      <c r="AV182">
        <f>HYPERLINK("http://www.worldcat.org/oclc/6297501","WorldCat Record")</f>
        <v/>
      </c>
      <c r="AW182" t="inlineStr">
        <is>
          <t>3856834459:eng</t>
        </is>
      </c>
      <c r="AX182" t="inlineStr">
        <is>
          <t>6297501</t>
        </is>
      </c>
      <c r="AY182" t="inlineStr">
        <is>
          <t>991004958869702656</t>
        </is>
      </c>
      <c r="AZ182" t="inlineStr">
        <is>
          <t>991004958869702656</t>
        </is>
      </c>
      <c r="BA182" t="inlineStr">
        <is>
          <t>2265393850002656</t>
        </is>
      </c>
      <c r="BB182" t="inlineStr">
        <is>
          <t>BOOK</t>
        </is>
      </c>
      <c r="BD182" t="inlineStr">
        <is>
          <t>9780807108185</t>
        </is>
      </c>
      <c r="BE182" t="inlineStr">
        <is>
          <t>32285001142529</t>
        </is>
      </c>
      <c r="BF182" t="inlineStr">
        <is>
          <t>893700866</t>
        </is>
      </c>
    </row>
    <row r="183">
      <c r="B183" t="inlineStr">
        <is>
          <t>CURAL</t>
        </is>
      </c>
      <c r="C183" t="inlineStr">
        <is>
          <t>SHELVES</t>
        </is>
      </c>
      <c r="D183" t="inlineStr">
        <is>
          <t>CB57 .B8 1968</t>
        </is>
      </c>
      <c r="E183" t="inlineStr">
        <is>
          <t>0                      CB 0057000B  8           1968</t>
        </is>
      </c>
      <c r="F183" t="inlineStr">
        <is>
          <t>Western civilizations, their history and their culture.</t>
        </is>
      </c>
      <c r="G183" t="inlineStr">
        <is>
          <t>V. 2</t>
        </is>
      </c>
      <c r="H183" t="inlineStr">
        <is>
          <t>Yes</t>
        </is>
      </c>
      <c r="I183" t="inlineStr">
        <is>
          <t>1</t>
        </is>
      </c>
      <c r="J183" t="inlineStr">
        <is>
          <t>No</t>
        </is>
      </c>
      <c r="K183" t="inlineStr">
        <is>
          <t>No</t>
        </is>
      </c>
      <c r="L183" t="inlineStr">
        <is>
          <t>0</t>
        </is>
      </c>
      <c r="M183" t="inlineStr">
        <is>
          <t>Burns, Edward McNall, 1897-1972.</t>
        </is>
      </c>
      <c r="N183" t="inlineStr">
        <is>
          <t>New York, Norton [1968]</t>
        </is>
      </c>
      <c r="O183" t="inlineStr">
        <is>
          <t>1968</t>
        </is>
      </c>
      <c r="P183" t="inlineStr">
        <is>
          <t>7th ed.</t>
        </is>
      </c>
      <c r="Q183" t="inlineStr">
        <is>
          <t>eng</t>
        </is>
      </c>
      <c r="R183" t="inlineStr">
        <is>
          <t>nyu</t>
        </is>
      </c>
      <c r="T183" t="inlineStr">
        <is>
          <t xml:space="preserve">CB </t>
        </is>
      </c>
      <c r="U183" t="n">
        <v>0</v>
      </c>
      <c r="V183" t="n">
        <v>2</v>
      </c>
      <c r="X183" t="inlineStr">
        <is>
          <t>1992-09-22</t>
        </is>
      </c>
      <c r="Y183" t="inlineStr">
        <is>
          <t>1992-05-29</t>
        </is>
      </c>
      <c r="Z183" t="inlineStr">
        <is>
          <t>1992-05-29</t>
        </is>
      </c>
      <c r="AA183" t="n">
        <v>314</v>
      </c>
      <c r="AB183" t="n">
        <v>283</v>
      </c>
      <c r="AC183" t="n">
        <v>1307</v>
      </c>
      <c r="AD183" t="n">
        <v>2</v>
      </c>
      <c r="AE183" t="n">
        <v>6</v>
      </c>
      <c r="AF183" t="n">
        <v>8</v>
      </c>
      <c r="AG183" t="n">
        <v>34</v>
      </c>
      <c r="AH183" t="n">
        <v>2</v>
      </c>
      <c r="AI183" t="n">
        <v>15</v>
      </c>
      <c r="AJ183" t="n">
        <v>2</v>
      </c>
      <c r="AK183" t="n">
        <v>7</v>
      </c>
      <c r="AL183" t="n">
        <v>4</v>
      </c>
      <c r="AM183" t="n">
        <v>16</v>
      </c>
      <c r="AN183" t="n">
        <v>1</v>
      </c>
      <c r="AO183" t="n">
        <v>5</v>
      </c>
      <c r="AP183" t="n">
        <v>0</v>
      </c>
      <c r="AQ183" t="n">
        <v>0</v>
      </c>
      <c r="AR183" t="inlineStr">
        <is>
          <t>No</t>
        </is>
      </c>
      <c r="AS183" t="inlineStr">
        <is>
          <t>Yes</t>
        </is>
      </c>
      <c r="AT183">
        <f>HYPERLINK("http://catalog.hathitrust.org/Record/009048961","HathiTrust Record")</f>
        <v/>
      </c>
      <c r="AU183">
        <f>HYPERLINK("https://creighton-primo.hosted.exlibrisgroup.com/primo-explore/search?tab=default_tab&amp;search_scope=EVERYTHING&amp;vid=01CRU&amp;lang=en_US&amp;offset=0&amp;query=any,contains,991003389719702656","Catalog Record")</f>
        <v/>
      </c>
      <c r="AV183">
        <f>HYPERLINK("http://www.worldcat.org/oclc/927264","WorldCat Record")</f>
        <v/>
      </c>
      <c r="AW183" t="inlineStr">
        <is>
          <t>53521686:eng</t>
        </is>
      </c>
      <c r="AX183" t="inlineStr">
        <is>
          <t>927264</t>
        </is>
      </c>
      <c r="AY183" t="inlineStr">
        <is>
          <t>991003389719702656</t>
        </is>
      </c>
      <c r="AZ183" t="inlineStr">
        <is>
          <t>991003389719702656</t>
        </is>
      </c>
      <c r="BA183" t="inlineStr">
        <is>
          <t>2266597560002656</t>
        </is>
      </c>
      <c r="BB183" t="inlineStr">
        <is>
          <t>BOOK</t>
        </is>
      </c>
      <c r="BE183" t="inlineStr">
        <is>
          <t>32285001142578</t>
        </is>
      </c>
      <c r="BF183" t="inlineStr">
        <is>
          <t>893410234</t>
        </is>
      </c>
    </row>
    <row r="184">
      <c r="B184" t="inlineStr">
        <is>
          <t>CURAL</t>
        </is>
      </c>
      <c r="C184" t="inlineStr">
        <is>
          <t>SHELVES</t>
        </is>
      </c>
      <c r="D184" t="inlineStr">
        <is>
          <t>CB57 .B8 1968</t>
        </is>
      </c>
      <c r="E184" t="inlineStr">
        <is>
          <t>0                      CB 0057000B  8           1968</t>
        </is>
      </c>
      <c r="F184" t="inlineStr">
        <is>
          <t>Western civilizations, their history and their culture.</t>
        </is>
      </c>
      <c r="G184" t="inlineStr">
        <is>
          <t>V. 1</t>
        </is>
      </c>
      <c r="H184" t="inlineStr">
        <is>
          <t>Yes</t>
        </is>
      </c>
      <c r="I184" t="inlineStr">
        <is>
          <t>1</t>
        </is>
      </c>
      <c r="J184" t="inlineStr">
        <is>
          <t>No</t>
        </is>
      </c>
      <c r="K184" t="inlineStr">
        <is>
          <t>No</t>
        </is>
      </c>
      <c r="L184" t="inlineStr">
        <is>
          <t>0</t>
        </is>
      </c>
      <c r="M184" t="inlineStr">
        <is>
          <t>Burns, Edward McNall, 1897-1972.</t>
        </is>
      </c>
      <c r="N184" t="inlineStr">
        <is>
          <t>New York, Norton [1968]</t>
        </is>
      </c>
      <c r="O184" t="inlineStr">
        <is>
          <t>1968</t>
        </is>
      </c>
      <c r="P184" t="inlineStr">
        <is>
          <t>7th ed.</t>
        </is>
      </c>
      <c r="Q184" t="inlineStr">
        <is>
          <t>eng</t>
        </is>
      </c>
      <c r="R184" t="inlineStr">
        <is>
          <t>nyu</t>
        </is>
      </c>
      <c r="T184" t="inlineStr">
        <is>
          <t xml:space="preserve">CB </t>
        </is>
      </c>
      <c r="U184" t="n">
        <v>2</v>
      </c>
      <c r="V184" t="n">
        <v>2</v>
      </c>
      <c r="W184" t="inlineStr">
        <is>
          <t>1992-09-22</t>
        </is>
      </c>
      <c r="X184" t="inlineStr">
        <is>
          <t>1992-09-22</t>
        </is>
      </c>
      <c r="Y184" t="inlineStr">
        <is>
          <t>1991-12-18</t>
        </is>
      </c>
      <c r="Z184" t="inlineStr">
        <is>
          <t>1992-05-29</t>
        </is>
      </c>
      <c r="AA184" t="n">
        <v>314</v>
      </c>
      <c r="AB184" t="n">
        <v>283</v>
      </c>
      <c r="AC184" t="n">
        <v>1307</v>
      </c>
      <c r="AD184" t="n">
        <v>2</v>
      </c>
      <c r="AE184" t="n">
        <v>6</v>
      </c>
      <c r="AF184" t="n">
        <v>8</v>
      </c>
      <c r="AG184" t="n">
        <v>34</v>
      </c>
      <c r="AH184" t="n">
        <v>2</v>
      </c>
      <c r="AI184" t="n">
        <v>15</v>
      </c>
      <c r="AJ184" t="n">
        <v>2</v>
      </c>
      <c r="AK184" t="n">
        <v>7</v>
      </c>
      <c r="AL184" t="n">
        <v>4</v>
      </c>
      <c r="AM184" t="n">
        <v>16</v>
      </c>
      <c r="AN184" t="n">
        <v>1</v>
      </c>
      <c r="AO184" t="n">
        <v>5</v>
      </c>
      <c r="AP184" t="n">
        <v>0</v>
      </c>
      <c r="AQ184" t="n">
        <v>0</v>
      </c>
      <c r="AR184" t="inlineStr">
        <is>
          <t>No</t>
        </is>
      </c>
      <c r="AS184" t="inlineStr">
        <is>
          <t>Yes</t>
        </is>
      </c>
      <c r="AT184">
        <f>HYPERLINK("http://catalog.hathitrust.org/Record/009048961","HathiTrust Record")</f>
        <v/>
      </c>
      <c r="AU184">
        <f>HYPERLINK("https://creighton-primo.hosted.exlibrisgroup.com/primo-explore/search?tab=default_tab&amp;search_scope=EVERYTHING&amp;vid=01CRU&amp;lang=en_US&amp;offset=0&amp;query=any,contains,991003389719702656","Catalog Record")</f>
        <v/>
      </c>
      <c r="AV184">
        <f>HYPERLINK("http://www.worldcat.org/oclc/927264","WorldCat Record")</f>
        <v/>
      </c>
      <c r="AW184" t="inlineStr">
        <is>
          <t>53521686:eng</t>
        </is>
      </c>
      <c r="AX184" t="inlineStr">
        <is>
          <t>927264</t>
        </is>
      </c>
      <c r="AY184" t="inlineStr">
        <is>
          <t>991003389719702656</t>
        </is>
      </c>
      <c r="AZ184" t="inlineStr">
        <is>
          <t>991003389719702656</t>
        </is>
      </c>
      <c r="BA184" t="inlineStr">
        <is>
          <t>2266597560002656</t>
        </is>
      </c>
      <c r="BB184" t="inlineStr">
        <is>
          <t>BOOK</t>
        </is>
      </c>
      <c r="BE184" t="inlineStr">
        <is>
          <t>32285000907435</t>
        </is>
      </c>
      <c r="BF184" t="inlineStr">
        <is>
          <t>893422531</t>
        </is>
      </c>
    </row>
    <row r="185">
      <c r="B185" t="inlineStr">
        <is>
          <t>CURAL</t>
        </is>
      </c>
      <c r="C185" t="inlineStr">
        <is>
          <t>SHELVES</t>
        </is>
      </c>
      <c r="D185" t="inlineStr">
        <is>
          <t>CB59 .H363</t>
        </is>
      </c>
      <c r="E185" t="inlineStr">
        <is>
          <t>0                      CB 0059000H  363</t>
        </is>
      </c>
      <c r="F185" t="inlineStr">
        <is>
          <t>A Handbook of civilization : earliest times to the present / [by] George Merrill [and others]</t>
        </is>
      </c>
      <c r="H185" t="inlineStr">
        <is>
          <t>No</t>
        </is>
      </c>
      <c r="I185" t="inlineStr">
        <is>
          <t>1</t>
        </is>
      </c>
      <c r="J185" t="inlineStr">
        <is>
          <t>Yes</t>
        </is>
      </c>
      <c r="K185" t="inlineStr">
        <is>
          <t>No</t>
        </is>
      </c>
      <c r="L185" t="inlineStr">
        <is>
          <t>0</t>
        </is>
      </c>
      <c r="N185" t="inlineStr">
        <is>
          <t>Englewood Cliffs, N.J. : Prentice-Hall, [1974]</t>
        </is>
      </c>
      <c r="O185" t="inlineStr">
        <is>
          <t>1974</t>
        </is>
      </c>
      <c r="Q185" t="inlineStr">
        <is>
          <t>eng</t>
        </is>
      </c>
      <c r="R185" t="inlineStr">
        <is>
          <t>nju</t>
        </is>
      </c>
      <c r="T185" t="inlineStr">
        <is>
          <t xml:space="preserve">CB </t>
        </is>
      </c>
      <c r="U185" t="n">
        <v>1</v>
      </c>
      <c r="V185" t="n">
        <v>1</v>
      </c>
      <c r="W185" t="inlineStr">
        <is>
          <t>1992-09-15</t>
        </is>
      </c>
      <c r="X185" t="inlineStr">
        <is>
          <t>1992-09-15</t>
        </is>
      </c>
      <c r="Y185" t="inlineStr">
        <is>
          <t>1992-09-14</t>
        </is>
      </c>
      <c r="Z185" t="inlineStr">
        <is>
          <t>2004-08-17</t>
        </is>
      </c>
      <c r="AA185" t="n">
        <v>66</v>
      </c>
      <c r="AB185" t="n">
        <v>56</v>
      </c>
      <c r="AC185" t="n">
        <v>57</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No</t>
        </is>
      </c>
      <c r="AU185">
        <f>HYPERLINK("https://creighton-primo.hosted.exlibrisgroup.com/primo-explore/search?tab=default_tab&amp;search_scope=EVERYTHING&amp;vid=01CRU&amp;lang=en_US&amp;offset=0&amp;query=any,contains,991003289149702656","Catalog Record")</f>
        <v/>
      </c>
      <c r="AV185">
        <f>HYPERLINK("http://www.worldcat.org/oclc/810953","WorldCat Record")</f>
        <v/>
      </c>
      <c r="AW185" t="inlineStr">
        <is>
          <t>1651838:eng</t>
        </is>
      </c>
      <c r="AX185" t="inlineStr">
        <is>
          <t>810953</t>
        </is>
      </c>
      <c r="AY185" t="inlineStr">
        <is>
          <t>991003289149702656</t>
        </is>
      </c>
      <c r="AZ185" t="inlineStr">
        <is>
          <t>991003289149702656</t>
        </is>
      </c>
      <c r="BA185" t="inlineStr">
        <is>
          <t>2269045170002656</t>
        </is>
      </c>
      <c r="BB185" t="inlineStr">
        <is>
          <t>BOOK</t>
        </is>
      </c>
      <c r="BD185" t="inlineStr">
        <is>
          <t>9780133771503</t>
        </is>
      </c>
      <c r="BE185" t="inlineStr">
        <is>
          <t>32285001297281</t>
        </is>
      </c>
      <c r="BF185" t="inlineStr">
        <is>
          <t>893592379</t>
        </is>
      </c>
    </row>
    <row r="186">
      <c r="B186" t="inlineStr">
        <is>
          <t>CURAL</t>
        </is>
      </c>
      <c r="C186" t="inlineStr">
        <is>
          <t>SHELVES</t>
        </is>
      </c>
      <c r="D186" t="inlineStr">
        <is>
          <t>CB59 .H363</t>
        </is>
      </c>
      <c r="E186" t="inlineStr">
        <is>
          <t>0                      CB 0059000H  363</t>
        </is>
      </c>
      <c r="F186" t="inlineStr">
        <is>
          <t>A Handbook of civilization : earliest times to the present / [by] George Merrill [and others]</t>
        </is>
      </c>
      <c r="H186" t="inlineStr">
        <is>
          <t>No</t>
        </is>
      </c>
      <c r="I186" t="inlineStr">
        <is>
          <t>1</t>
        </is>
      </c>
      <c r="J186" t="inlineStr">
        <is>
          <t>Yes</t>
        </is>
      </c>
      <c r="K186" t="inlineStr">
        <is>
          <t>No</t>
        </is>
      </c>
      <c r="L186" t="inlineStr">
        <is>
          <t>0</t>
        </is>
      </c>
      <c r="N186" t="inlineStr">
        <is>
          <t>Englewood Cliffs, N.J. : Prentice-Hall, [1974]</t>
        </is>
      </c>
      <c r="O186" t="inlineStr">
        <is>
          <t>1974</t>
        </is>
      </c>
      <c r="Q186" t="inlineStr">
        <is>
          <t>eng</t>
        </is>
      </c>
      <c r="R186" t="inlineStr">
        <is>
          <t>nju</t>
        </is>
      </c>
      <c r="T186" t="inlineStr">
        <is>
          <t xml:space="preserve">CB </t>
        </is>
      </c>
      <c r="U186" t="n">
        <v>0</v>
      </c>
      <c r="V186" t="n">
        <v>1</v>
      </c>
      <c r="X186" t="inlineStr">
        <is>
          <t>1992-09-15</t>
        </is>
      </c>
      <c r="Y186" t="inlineStr">
        <is>
          <t>2004-08-17</t>
        </is>
      </c>
      <c r="Z186" t="inlineStr">
        <is>
          <t>2004-08-17</t>
        </is>
      </c>
      <c r="AA186" t="n">
        <v>66</v>
      </c>
      <c r="AB186" t="n">
        <v>56</v>
      </c>
      <c r="AC186" t="n">
        <v>57</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No</t>
        </is>
      </c>
      <c r="AU186">
        <f>HYPERLINK("https://creighton-primo.hosted.exlibrisgroup.com/primo-explore/search?tab=default_tab&amp;search_scope=EVERYTHING&amp;vid=01CRU&amp;lang=en_US&amp;offset=0&amp;query=any,contains,991003289149702656","Catalog Record")</f>
        <v/>
      </c>
      <c r="AV186">
        <f>HYPERLINK("http://www.worldcat.org/oclc/810953","WorldCat Record")</f>
        <v/>
      </c>
      <c r="AW186" t="inlineStr">
        <is>
          <t>1651838:eng</t>
        </is>
      </c>
      <c r="AX186" t="inlineStr">
        <is>
          <t>810953</t>
        </is>
      </c>
      <c r="AY186" t="inlineStr">
        <is>
          <t>991003289149702656</t>
        </is>
      </c>
      <c r="AZ186" t="inlineStr">
        <is>
          <t>991003289149702656</t>
        </is>
      </c>
      <c r="BA186" t="inlineStr">
        <is>
          <t>2269045170002656</t>
        </is>
      </c>
      <c r="BB186" t="inlineStr">
        <is>
          <t>BOOK</t>
        </is>
      </c>
      <c r="BD186" t="inlineStr">
        <is>
          <t>9780133771503</t>
        </is>
      </c>
      <c r="BE186" t="inlineStr">
        <is>
          <t>32285004982335</t>
        </is>
      </c>
      <c r="BF186" t="inlineStr">
        <is>
          <t>893617189</t>
        </is>
      </c>
    </row>
    <row r="187">
      <c r="B187" t="inlineStr">
        <is>
          <t>CURAL</t>
        </is>
      </c>
      <c r="C187" t="inlineStr">
        <is>
          <t>SHELVES</t>
        </is>
      </c>
      <c r="D187" t="inlineStr">
        <is>
          <t>CB69 .B65 1992</t>
        </is>
      </c>
      <c r="E187" t="inlineStr">
        <is>
          <t>0                      CB 0069000B  65          1992</t>
        </is>
      </c>
      <c r="F187" t="inlineStr">
        <is>
          <t>The creators / Daniel J. Boorstin.</t>
        </is>
      </c>
      <c r="H187" t="inlineStr">
        <is>
          <t>No</t>
        </is>
      </c>
      <c r="I187" t="inlineStr">
        <is>
          <t>1</t>
        </is>
      </c>
      <c r="J187" t="inlineStr">
        <is>
          <t>No</t>
        </is>
      </c>
      <c r="K187" t="inlineStr">
        <is>
          <t>No</t>
        </is>
      </c>
      <c r="L187" t="inlineStr">
        <is>
          <t>0</t>
        </is>
      </c>
      <c r="M187" t="inlineStr">
        <is>
          <t>Boorstin, Daniel J. (Daniel Joseph), 1914-2004.</t>
        </is>
      </c>
      <c r="N187" t="inlineStr">
        <is>
          <t>New York : Random House, c1992.</t>
        </is>
      </c>
      <c r="O187" t="inlineStr">
        <is>
          <t>1992</t>
        </is>
      </c>
      <c r="P187" t="inlineStr">
        <is>
          <t>1st ed.</t>
        </is>
      </c>
      <c r="Q187" t="inlineStr">
        <is>
          <t>eng</t>
        </is>
      </c>
      <c r="R187" t="inlineStr">
        <is>
          <t>nyu</t>
        </is>
      </c>
      <c r="T187" t="inlineStr">
        <is>
          <t xml:space="preserve">CB </t>
        </is>
      </c>
      <c r="U187" t="n">
        <v>4</v>
      </c>
      <c r="V187" t="n">
        <v>4</v>
      </c>
      <c r="W187" t="inlineStr">
        <is>
          <t>2000-11-07</t>
        </is>
      </c>
      <c r="X187" t="inlineStr">
        <is>
          <t>2000-11-07</t>
        </is>
      </c>
      <c r="Y187" t="inlineStr">
        <is>
          <t>1992-11-09</t>
        </is>
      </c>
      <c r="Z187" t="inlineStr">
        <is>
          <t>1992-11-09</t>
        </is>
      </c>
      <c r="AA187" t="n">
        <v>2662</v>
      </c>
      <c r="AB187" t="n">
        <v>2513</v>
      </c>
      <c r="AC187" t="n">
        <v>2834</v>
      </c>
      <c r="AD187" t="n">
        <v>23</v>
      </c>
      <c r="AE187" t="n">
        <v>25</v>
      </c>
      <c r="AF187" t="n">
        <v>49</v>
      </c>
      <c r="AG187" t="n">
        <v>56</v>
      </c>
      <c r="AH187" t="n">
        <v>19</v>
      </c>
      <c r="AI187" t="n">
        <v>23</v>
      </c>
      <c r="AJ187" t="n">
        <v>10</v>
      </c>
      <c r="AK187" t="n">
        <v>11</v>
      </c>
      <c r="AL187" t="n">
        <v>18</v>
      </c>
      <c r="AM187" t="n">
        <v>20</v>
      </c>
      <c r="AN187" t="n">
        <v>8</v>
      </c>
      <c r="AO187" t="n">
        <v>9</v>
      </c>
      <c r="AP187" t="n">
        <v>3</v>
      </c>
      <c r="AQ187" t="n">
        <v>3</v>
      </c>
      <c r="AR187" t="inlineStr">
        <is>
          <t>No</t>
        </is>
      </c>
      <c r="AS187" t="inlineStr">
        <is>
          <t>Yes</t>
        </is>
      </c>
      <c r="AT187">
        <f>HYPERLINK("http://catalog.hathitrust.org/Record/002579605","HathiTrust Record")</f>
        <v/>
      </c>
      <c r="AU187">
        <f>HYPERLINK("https://creighton-primo.hosted.exlibrisgroup.com/primo-explore/search?tab=default_tab&amp;search_scope=EVERYTHING&amp;vid=01CRU&amp;lang=en_US&amp;offset=0&amp;query=any,contains,991001960469702656","Catalog Record")</f>
        <v/>
      </c>
      <c r="AV187">
        <f>HYPERLINK("http://www.worldcat.org/oclc/24846950","WorldCat Record")</f>
        <v/>
      </c>
      <c r="AW187" t="inlineStr">
        <is>
          <t>1146556564:eng</t>
        </is>
      </c>
      <c r="AX187" t="inlineStr">
        <is>
          <t>24846950</t>
        </is>
      </c>
      <c r="AY187" t="inlineStr">
        <is>
          <t>991001960469702656</t>
        </is>
      </c>
      <c r="AZ187" t="inlineStr">
        <is>
          <t>991001960469702656</t>
        </is>
      </c>
      <c r="BA187" t="inlineStr">
        <is>
          <t>2269155760002656</t>
        </is>
      </c>
      <c r="BB187" t="inlineStr">
        <is>
          <t>BOOK</t>
        </is>
      </c>
      <c r="BD187" t="inlineStr">
        <is>
          <t>9780394543956</t>
        </is>
      </c>
      <c r="BE187" t="inlineStr">
        <is>
          <t>32285001361335</t>
        </is>
      </c>
      <c r="BF187" t="inlineStr">
        <is>
          <t>893510112</t>
        </is>
      </c>
    </row>
    <row r="188">
      <c r="B188" t="inlineStr">
        <is>
          <t>CURAL</t>
        </is>
      </c>
      <c r="C188" t="inlineStr">
        <is>
          <t>SHELVES</t>
        </is>
      </c>
      <c r="D188" t="inlineStr">
        <is>
          <t>CB83 .S63</t>
        </is>
      </c>
      <c r="E188" t="inlineStr">
        <is>
          <t>0                      CB 0083000S  63</t>
        </is>
      </c>
      <c r="F188" t="inlineStr">
        <is>
          <t>Today and destiny; vital excerpts from The decline of the West of Oswald Spengler, arranged with an introduction and commentary by Edwin Franden Dakin, based on the text of the authorized translation of Charles Francis Atkinson.</t>
        </is>
      </c>
      <c r="H188" t="inlineStr">
        <is>
          <t>No</t>
        </is>
      </c>
      <c r="I188" t="inlineStr">
        <is>
          <t>1</t>
        </is>
      </c>
      <c r="J188" t="inlineStr">
        <is>
          <t>No</t>
        </is>
      </c>
      <c r="K188" t="inlineStr">
        <is>
          <t>No</t>
        </is>
      </c>
      <c r="L188" t="inlineStr">
        <is>
          <t>0</t>
        </is>
      </c>
      <c r="M188" t="inlineStr">
        <is>
          <t>Spengler, Oswald, 1880-1936.</t>
        </is>
      </c>
      <c r="N188" t="inlineStr">
        <is>
          <t>New York, A. A. Knopf, 1940.</t>
        </is>
      </c>
      <c r="O188" t="inlineStr">
        <is>
          <t>1940</t>
        </is>
      </c>
      <c r="Q188" t="inlineStr">
        <is>
          <t>eng</t>
        </is>
      </c>
      <c r="R188" t="inlineStr">
        <is>
          <t>nyu</t>
        </is>
      </c>
      <c r="T188" t="inlineStr">
        <is>
          <t xml:space="preserve">CB </t>
        </is>
      </c>
      <c r="U188" t="n">
        <v>3</v>
      </c>
      <c r="V188" t="n">
        <v>3</v>
      </c>
      <c r="W188" t="inlineStr">
        <is>
          <t>2005-09-27</t>
        </is>
      </c>
      <c r="X188" t="inlineStr">
        <is>
          <t>2005-09-27</t>
        </is>
      </c>
      <c r="Y188" t="inlineStr">
        <is>
          <t>1996-08-14</t>
        </is>
      </c>
      <c r="Z188" t="inlineStr">
        <is>
          <t>1996-08-14</t>
        </is>
      </c>
      <c r="AA188" t="n">
        <v>257</v>
      </c>
      <c r="AB188" t="n">
        <v>239</v>
      </c>
      <c r="AC188" t="n">
        <v>240</v>
      </c>
      <c r="AD188" t="n">
        <v>2</v>
      </c>
      <c r="AE188" t="n">
        <v>2</v>
      </c>
      <c r="AF188" t="n">
        <v>7</v>
      </c>
      <c r="AG188" t="n">
        <v>7</v>
      </c>
      <c r="AH188" t="n">
        <v>2</v>
      </c>
      <c r="AI188" t="n">
        <v>2</v>
      </c>
      <c r="AJ188" t="n">
        <v>1</v>
      </c>
      <c r="AK188" t="n">
        <v>1</v>
      </c>
      <c r="AL188" t="n">
        <v>4</v>
      </c>
      <c r="AM188" t="n">
        <v>4</v>
      </c>
      <c r="AN188" t="n">
        <v>1</v>
      </c>
      <c r="AO188" t="n">
        <v>1</v>
      </c>
      <c r="AP188" t="n">
        <v>0</v>
      </c>
      <c r="AQ188" t="n">
        <v>0</v>
      </c>
      <c r="AR188" t="inlineStr">
        <is>
          <t>No</t>
        </is>
      </c>
      <c r="AS188" t="inlineStr">
        <is>
          <t>Yes</t>
        </is>
      </c>
      <c r="AT188">
        <f>HYPERLINK("http://catalog.hathitrust.org/Record/006062209","HathiTrust Record")</f>
        <v/>
      </c>
      <c r="AU188">
        <f>HYPERLINK("https://creighton-primo.hosted.exlibrisgroup.com/primo-explore/search?tab=default_tab&amp;search_scope=EVERYTHING&amp;vid=01CRU&amp;lang=en_US&amp;offset=0&amp;query=any,contains,991002748969702656","Catalog Record")</f>
        <v/>
      </c>
      <c r="AV188">
        <f>HYPERLINK("http://www.worldcat.org/oclc/423839","WorldCat Record")</f>
        <v/>
      </c>
      <c r="AW188" t="inlineStr">
        <is>
          <t>1809727742:eng</t>
        </is>
      </c>
      <c r="AX188" t="inlineStr">
        <is>
          <t>423839</t>
        </is>
      </c>
      <c r="AY188" t="inlineStr">
        <is>
          <t>991002748969702656</t>
        </is>
      </c>
      <c r="AZ188" t="inlineStr">
        <is>
          <t>991002748969702656</t>
        </is>
      </c>
      <c r="BA188" t="inlineStr">
        <is>
          <t>2266788950002656</t>
        </is>
      </c>
      <c r="BB188" t="inlineStr">
        <is>
          <t>BOOK</t>
        </is>
      </c>
      <c r="BE188" t="inlineStr">
        <is>
          <t>32285002263951</t>
        </is>
      </c>
      <c r="BF188" t="inlineStr">
        <is>
          <t>893329491</t>
        </is>
      </c>
    </row>
    <row r="189">
      <c r="B189" t="inlineStr">
        <is>
          <t>CURAL</t>
        </is>
      </c>
      <c r="C189" t="inlineStr">
        <is>
          <t>SHELVES</t>
        </is>
      </c>
      <c r="D189" t="inlineStr">
        <is>
          <t>CC100 .S75 1994</t>
        </is>
      </c>
      <c r="E189" t="inlineStr">
        <is>
          <t>0                      CC 0100000S  75          1994</t>
        </is>
      </c>
      <c r="F189" t="inlineStr">
        <is>
          <t>Uncovering the past : a history of archaeology / William H. Stiebing, Jr.</t>
        </is>
      </c>
      <c r="H189" t="inlineStr">
        <is>
          <t>No</t>
        </is>
      </c>
      <c r="I189" t="inlineStr">
        <is>
          <t>1</t>
        </is>
      </c>
      <c r="J189" t="inlineStr">
        <is>
          <t>No</t>
        </is>
      </c>
      <c r="K189" t="inlineStr">
        <is>
          <t>No</t>
        </is>
      </c>
      <c r="L189" t="inlineStr">
        <is>
          <t>0</t>
        </is>
      </c>
      <c r="M189" t="inlineStr">
        <is>
          <t>Stiebing, William H.</t>
        </is>
      </c>
      <c r="N189" t="inlineStr">
        <is>
          <t>New York : Oxford University Press, 1994.</t>
        </is>
      </c>
      <c r="O189" t="inlineStr">
        <is>
          <t>1994</t>
        </is>
      </c>
      <c r="Q189" t="inlineStr">
        <is>
          <t>eng</t>
        </is>
      </c>
      <c r="R189" t="inlineStr">
        <is>
          <t>nyu</t>
        </is>
      </c>
      <c r="T189" t="inlineStr">
        <is>
          <t xml:space="preserve">CC </t>
        </is>
      </c>
      <c r="U189" t="n">
        <v>4</v>
      </c>
      <c r="V189" t="n">
        <v>4</v>
      </c>
      <c r="W189" t="inlineStr">
        <is>
          <t>1999-11-22</t>
        </is>
      </c>
      <c r="X189" t="inlineStr">
        <is>
          <t>1999-11-22</t>
        </is>
      </c>
      <c r="Y189" t="inlineStr">
        <is>
          <t>1995-08-01</t>
        </is>
      </c>
      <c r="Z189" t="inlineStr">
        <is>
          <t>1995-08-01</t>
        </is>
      </c>
      <c r="AA189" t="n">
        <v>252</v>
      </c>
      <c r="AB189" t="n">
        <v>184</v>
      </c>
      <c r="AC189" t="n">
        <v>827</v>
      </c>
      <c r="AD189" t="n">
        <v>2</v>
      </c>
      <c r="AE189" t="n">
        <v>5</v>
      </c>
      <c r="AF189" t="n">
        <v>7</v>
      </c>
      <c r="AG189" t="n">
        <v>24</v>
      </c>
      <c r="AH189" t="n">
        <v>2</v>
      </c>
      <c r="AI189" t="n">
        <v>7</v>
      </c>
      <c r="AJ189" t="n">
        <v>3</v>
      </c>
      <c r="AK189" t="n">
        <v>6</v>
      </c>
      <c r="AL189" t="n">
        <v>3</v>
      </c>
      <c r="AM189" t="n">
        <v>13</v>
      </c>
      <c r="AN189" t="n">
        <v>1</v>
      </c>
      <c r="AO189" t="n">
        <v>4</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HYPERLINK("https://creighton-primo.hosted.exlibrisgroup.com/primo-explore/search?tab=default_tab&amp;search_scope=EVERYTHING&amp;vid=01CRU&amp;lang=en_US&amp;offset=0&amp;query=any,contains,991002359529702656","Catalog Record")</f>
        <v/>
      </c>
      <c r="AV189">
        <f>HYPERLINK("http://www.worldcat.org/oclc/30700329","WorldCat Record")</f>
        <v/>
      </c>
      <c r="AW189" t="inlineStr">
        <is>
          <t>930399:eng</t>
        </is>
      </c>
      <c r="AX189" t="inlineStr">
        <is>
          <t>30700329</t>
        </is>
      </c>
      <c r="AY189" t="inlineStr">
        <is>
          <t>991002359529702656</t>
        </is>
      </c>
      <c r="AZ189" t="inlineStr">
        <is>
          <t>991002359529702656</t>
        </is>
      </c>
      <c r="BA189" t="inlineStr">
        <is>
          <t>2263454020002656</t>
        </is>
      </c>
      <c r="BB189" t="inlineStr">
        <is>
          <t>BOOK</t>
        </is>
      </c>
      <c r="BD189" t="inlineStr">
        <is>
          <t>9780195089219</t>
        </is>
      </c>
      <c r="BE189" t="inlineStr">
        <is>
          <t>32285002076478</t>
        </is>
      </c>
      <c r="BF189" t="inlineStr">
        <is>
          <t>893510636</t>
        </is>
      </c>
    </row>
    <row r="190">
      <c r="B190" t="inlineStr">
        <is>
          <t>CURAL</t>
        </is>
      </c>
      <c r="C190" t="inlineStr">
        <is>
          <t>SHELVES</t>
        </is>
      </c>
      <c r="D190" t="inlineStr">
        <is>
          <t>CC100 .W56 1986</t>
        </is>
      </c>
      <c r="E190" t="inlineStr">
        <is>
          <t>0                      CC 0100000W  56          1986</t>
        </is>
      </c>
      <c r="F190" t="inlineStr">
        <is>
          <t>Uncovering the ancient world / H.V.F. Winstone.</t>
        </is>
      </c>
      <c r="H190" t="inlineStr">
        <is>
          <t>No</t>
        </is>
      </c>
      <c r="I190" t="inlineStr">
        <is>
          <t>1</t>
        </is>
      </c>
      <c r="J190" t="inlineStr">
        <is>
          <t>No</t>
        </is>
      </c>
      <c r="K190" t="inlineStr">
        <is>
          <t>No</t>
        </is>
      </c>
      <c r="L190" t="inlineStr">
        <is>
          <t>0</t>
        </is>
      </c>
      <c r="M190" t="inlineStr">
        <is>
          <t>Winstone, H. V. F. (Harry Victor Frederick)</t>
        </is>
      </c>
      <c r="N190" t="inlineStr">
        <is>
          <t>New York, N.Y. : Facts on File Publications, 1986, c1985.</t>
        </is>
      </c>
      <c r="O190" t="inlineStr">
        <is>
          <t>1986</t>
        </is>
      </c>
      <c r="Q190" t="inlineStr">
        <is>
          <t>eng</t>
        </is>
      </c>
      <c r="R190" t="inlineStr">
        <is>
          <t>nyu</t>
        </is>
      </c>
      <c r="T190" t="inlineStr">
        <is>
          <t xml:space="preserve">CC </t>
        </is>
      </c>
      <c r="U190" t="n">
        <v>3</v>
      </c>
      <c r="V190" t="n">
        <v>3</v>
      </c>
      <c r="W190" t="inlineStr">
        <is>
          <t>2004-04-15</t>
        </is>
      </c>
      <c r="X190" t="inlineStr">
        <is>
          <t>2004-04-15</t>
        </is>
      </c>
      <c r="Y190" t="inlineStr">
        <is>
          <t>1992-06-03</t>
        </is>
      </c>
      <c r="Z190" t="inlineStr">
        <is>
          <t>1992-06-03</t>
        </is>
      </c>
      <c r="AA190" t="n">
        <v>403</v>
      </c>
      <c r="AB190" t="n">
        <v>384</v>
      </c>
      <c r="AC190" t="n">
        <v>455</v>
      </c>
      <c r="AD190" t="n">
        <v>2</v>
      </c>
      <c r="AE190" t="n">
        <v>3</v>
      </c>
      <c r="AF190" t="n">
        <v>7</v>
      </c>
      <c r="AG190" t="n">
        <v>9</v>
      </c>
      <c r="AH190" t="n">
        <v>4</v>
      </c>
      <c r="AI190" t="n">
        <v>4</v>
      </c>
      <c r="AJ190" t="n">
        <v>1</v>
      </c>
      <c r="AK190" t="n">
        <v>2</v>
      </c>
      <c r="AL190" t="n">
        <v>4</v>
      </c>
      <c r="AM190" t="n">
        <v>4</v>
      </c>
      <c r="AN190" t="n">
        <v>1</v>
      </c>
      <c r="AO190" t="n">
        <v>2</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HYPERLINK("https://creighton-primo.hosted.exlibrisgroup.com/primo-explore/search?tab=default_tab&amp;search_scope=EVERYTHING&amp;vid=01CRU&amp;lang=en_US&amp;offset=0&amp;query=any,contains,991000850219702656","Catalog Record")</f>
        <v/>
      </c>
      <c r="AV190">
        <f>HYPERLINK("http://www.worldcat.org/oclc/13581909","WorldCat Record")</f>
        <v/>
      </c>
      <c r="AW190" t="inlineStr">
        <is>
          <t>4892560:eng</t>
        </is>
      </c>
      <c r="AX190" t="inlineStr">
        <is>
          <t>13581909</t>
        </is>
      </c>
      <c r="AY190" t="inlineStr">
        <is>
          <t>991000850219702656</t>
        </is>
      </c>
      <c r="AZ190" t="inlineStr">
        <is>
          <t>991000850219702656</t>
        </is>
      </c>
      <c r="BA190" t="inlineStr">
        <is>
          <t>2259484460002656</t>
        </is>
      </c>
      <c r="BB190" t="inlineStr">
        <is>
          <t>BOOK</t>
        </is>
      </c>
      <c r="BD190" t="inlineStr">
        <is>
          <t>9780816015788</t>
        </is>
      </c>
      <c r="BE190" t="inlineStr">
        <is>
          <t>32285001144301</t>
        </is>
      </c>
      <c r="BF190" t="inlineStr">
        <is>
          <t>893438649</t>
        </is>
      </c>
    </row>
    <row r="191">
      <c r="B191" t="inlineStr">
        <is>
          <t>CURAL</t>
        </is>
      </c>
      <c r="C191" t="inlineStr">
        <is>
          <t>SHELVES</t>
        </is>
      </c>
      <c r="D191" t="inlineStr">
        <is>
          <t>CC101 .F34 1987</t>
        </is>
      </c>
      <c r="E191" t="inlineStr">
        <is>
          <t>0                      CC 0101000F  34          1987</t>
        </is>
      </c>
      <c r="F191" t="inlineStr">
        <is>
          <t>The great journey : the peopling of ancient America / Brian M. Fagan.</t>
        </is>
      </c>
      <c r="H191" t="inlineStr">
        <is>
          <t>No</t>
        </is>
      </c>
      <c r="I191" t="inlineStr">
        <is>
          <t>1</t>
        </is>
      </c>
      <c r="J191" t="inlineStr">
        <is>
          <t>No</t>
        </is>
      </c>
      <c r="K191" t="inlineStr">
        <is>
          <t>No</t>
        </is>
      </c>
      <c r="L191" t="inlineStr">
        <is>
          <t>0</t>
        </is>
      </c>
      <c r="M191" t="inlineStr">
        <is>
          <t>Fagan, Brian M.</t>
        </is>
      </c>
      <c r="N191" t="inlineStr">
        <is>
          <t>New York : Thames and Hudson, c1987.</t>
        </is>
      </c>
      <c r="O191" t="inlineStr">
        <is>
          <t>1987</t>
        </is>
      </c>
      <c r="Q191" t="inlineStr">
        <is>
          <t>eng</t>
        </is>
      </c>
      <c r="R191" t="inlineStr">
        <is>
          <t>nyu</t>
        </is>
      </c>
      <c r="T191" t="inlineStr">
        <is>
          <t xml:space="preserve">CC </t>
        </is>
      </c>
      <c r="U191" t="n">
        <v>15</v>
      </c>
      <c r="V191" t="n">
        <v>15</v>
      </c>
      <c r="W191" t="inlineStr">
        <is>
          <t>1998-01-19</t>
        </is>
      </c>
      <c r="X191" t="inlineStr">
        <is>
          <t>1998-01-19</t>
        </is>
      </c>
      <c r="Y191" t="inlineStr">
        <is>
          <t>1992-06-03</t>
        </is>
      </c>
      <c r="Z191" t="inlineStr">
        <is>
          <t>1992-06-03</t>
        </is>
      </c>
      <c r="AA191" t="n">
        <v>1645</v>
      </c>
      <c r="AB191" t="n">
        <v>1487</v>
      </c>
      <c r="AC191" t="n">
        <v>1848</v>
      </c>
      <c r="AD191" t="n">
        <v>6</v>
      </c>
      <c r="AE191" t="n">
        <v>13</v>
      </c>
      <c r="AF191" t="n">
        <v>33</v>
      </c>
      <c r="AG191" t="n">
        <v>51</v>
      </c>
      <c r="AH191" t="n">
        <v>17</v>
      </c>
      <c r="AI191" t="n">
        <v>21</v>
      </c>
      <c r="AJ191" t="n">
        <v>6</v>
      </c>
      <c r="AK191" t="n">
        <v>10</v>
      </c>
      <c r="AL191" t="n">
        <v>18</v>
      </c>
      <c r="AM191" t="n">
        <v>24</v>
      </c>
      <c r="AN191" t="n">
        <v>3</v>
      </c>
      <c r="AO191" t="n">
        <v>10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HYPERLINK("https://creighton-primo.hosted.exlibrisgroup.com/primo-explore/search?tab=default_tab&amp;search_scope=EVERYTHING&amp;vid=01CRU&amp;lang=en_US&amp;offset=0&amp;query=any,contains,991001155449702656","Catalog Record")</f>
        <v/>
      </c>
      <c r="AV191">
        <f>HYPERLINK("http://www.worldcat.org/oclc/16840704","WorldCat Record")</f>
        <v/>
      </c>
      <c r="AW191" t="inlineStr">
        <is>
          <t>1012335:eng</t>
        </is>
      </c>
      <c r="AX191" t="inlineStr">
        <is>
          <t>16840704</t>
        </is>
      </c>
      <c r="AY191" t="inlineStr">
        <is>
          <t>991001155449702656</t>
        </is>
      </c>
      <c r="AZ191" t="inlineStr">
        <is>
          <t>991001155449702656</t>
        </is>
      </c>
      <c r="BA191" t="inlineStr">
        <is>
          <t>2259298660002656</t>
        </is>
      </c>
      <c r="BB191" t="inlineStr">
        <is>
          <t>BOOK</t>
        </is>
      </c>
      <c r="BD191" t="inlineStr">
        <is>
          <t>9780500050453</t>
        </is>
      </c>
      <c r="BE191" t="inlineStr">
        <is>
          <t>32285001144319</t>
        </is>
      </c>
      <c r="BF191" t="inlineStr">
        <is>
          <t>893885087</t>
        </is>
      </c>
    </row>
    <row r="192">
      <c r="B192" t="inlineStr">
        <is>
          <t>CURAL</t>
        </is>
      </c>
      <c r="C192" t="inlineStr">
        <is>
          <t>SHELVES</t>
        </is>
      </c>
      <c r="D192" t="inlineStr">
        <is>
          <t>CC101.U6 K44 1998</t>
        </is>
      </c>
      <c r="E192" t="inlineStr">
        <is>
          <t>0                      CC 0101000U  6                  K  44          1998</t>
        </is>
      </c>
      <c r="F192" t="inlineStr">
        <is>
          <t>The land of prehistory : a critical history of American archaeology / Alice Beck Kehoe.</t>
        </is>
      </c>
      <c r="H192" t="inlineStr">
        <is>
          <t>No</t>
        </is>
      </c>
      <c r="I192" t="inlineStr">
        <is>
          <t>1</t>
        </is>
      </c>
      <c r="J192" t="inlineStr">
        <is>
          <t>No</t>
        </is>
      </c>
      <c r="K192" t="inlineStr">
        <is>
          <t>No</t>
        </is>
      </c>
      <c r="L192" t="inlineStr">
        <is>
          <t>0</t>
        </is>
      </c>
      <c r="M192" t="inlineStr">
        <is>
          <t>Kehoe, Alice Beck, 1934-</t>
        </is>
      </c>
      <c r="N192" t="inlineStr">
        <is>
          <t>New York : Routledge, 1998.</t>
        </is>
      </c>
      <c r="O192" t="inlineStr">
        <is>
          <t>1998</t>
        </is>
      </c>
      <c r="Q192" t="inlineStr">
        <is>
          <t>eng</t>
        </is>
      </c>
      <c r="R192" t="inlineStr">
        <is>
          <t>nyu</t>
        </is>
      </c>
      <c r="T192" t="inlineStr">
        <is>
          <t xml:space="preserve">CC </t>
        </is>
      </c>
      <c r="U192" t="n">
        <v>2</v>
      </c>
      <c r="V192" t="n">
        <v>2</v>
      </c>
      <c r="W192" t="inlineStr">
        <is>
          <t>2002-03-25</t>
        </is>
      </c>
      <c r="X192" t="inlineStr">
        <is>
          <t>2002-03-25</t>
        </is>
      </c>
      <c r="Y192" t="inlineStr">
        <is>
          <t>2002-02-25</t>
        </is>
      </c>
      <c r="Z192" t="inlineStr">
        <is>
          <t>2002-02-25</t>
        </is>
      </c>
      <c r="AA192" t="n">
        <v>374</v>
      </c>
      <c r="AB192" t="n">
        <v>298</v>
      </c>
      <c r="AC192" t="n">
        <v>317</v>
      </c>
      <c r="AD192" t="n">
        <v>2</v>
      </c>
      <c r="AE192" t="n">
        <v>2</v>
      </c>
      <c r="AF192" t="n">
        <v>8</v>
      </c>
      <c r="AG192" t="n">
        <v>8</v>
      </c>
      <c r="AH192" t="n">
        <v>3</v>
      </c>
      <c r="AI192" t="n">
        <v>3</v>
      </c>
      <c r="AJ192" t="n">
        <v>3</v>
      </c>
      <c r="AK192" t="n">
        <v>3</v>
      </c>
      <c r="AL192" t="n">
        <v>4</v>
      </c>
      <c r="AM192" t="n">
        <v>4</v>
      </c>
      <c r="AN192" t="n">
        <v>1</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HYPERLINK("https://creighton-primo.hosted.exlibrisgroup.com/primo-explore/search?tab=default_tab&amp;search_scope=EVERYTHING&amp;vid=01CRU&amp;lang=en_US&amp;offset=0&amp;query=any,contains,991003722099702656","Catalog Record")</f>
        <v/>
      </c>
      <c r="AV192">
        <f>HYPERLINK("http://www.worldcat.org/oclc/38039723","WorldCat Record")</f>
        <v/>
      </c>
      <c r="AW192" t="inlineStr">
        <is>
          <t>836659010:eng</t>
        </is>
      </c>
      <c r="AX192" t="inlineStr">
        <is>
          <t>38039723</t>
        </is>
      </c>
      <c r="AY192" t="inlineStr">
        <is>
          <t>991003722099702656</t>
        </is>
      </c>
      <c r="AZ192" t="inlineStr">
        <is>
          <t>991003722099702656</t>
        </is>
      </c>
      <c r="BA192" t="inlineStr">
        <is>
          <t>2262302010002656</t>
        </is>
      </c>
      <c r="BB192" t="inlineStr">
        <is>
          <t>BOOK</t>
        </is>
      </c>
      <c r="BD192" t="inlineStr">
        <is>
          <t>9780415920544</t>
        </is>
      </c>
      <c r="BE192" t="inlineStr">
        <is>
          <t>32285004456959</t>
        </is>
      </c>
      <c r="BF192" t="inlineStr">
        <is>
          <t>893349054</t>
        </is>
      </c>
    </row>
    <row r="193">
      <c r="B193" t="inlineStr">
        <is>
          <t>CURAL</t>
        </is>
      </c>
      <c r="C193" t="inlineStr">
        <is>
          <t>SHELVES</t>
        </is>
      </c>
      <c r="D193" t="inlineStr">
        <is>
          <t>CC115.C6 D3 1995</t>
        </is>
      </c>
      <c r="E193" t="inlineStr">
        <is>
          <t>0                      CC 0115000C  6                  D  3           1995</t>
        </is>
      </c>
      <c r="F193" t="inlineStr">
        <is>
          <t>Treasured earth : Hattie Cosgrove's Mimbres archaeology in the American Southwest / by Carolyn O'Bagy Davis.</t>
        </is>
      </c>
      <c r="H193" t="inlineStr">
        <is>
          <t>No</t>
        </is>
      </c>
      <c r="I193" t="inlineStr">
        <is>
          <t>1</t>
        </is>
      </c>
      <c r="J193" t="inlineStr">
        <is>
          <t>No</t>
        </is>
      </c>
      <c r="K193" t="inlineStr">
        <is>
          <t>No</t>
        </is>
      </c>
      <c r="L193" t="inlineStr">
        <is>
          <t>0</t>
        </is>
      </c>
      <c r="M193" t="inlineStr">
        <is>
          <t>Davis, Carolyn O'Bagy.</t>
        </is>
      </c>
      <c r="N193" t="inlineStr">
        <is>
          <t>Tucson, AZ : Sanpete Publications : Old Pueblo Archaeology Center, c1995.</t>
        </is>
      </c>
      <c r="O193" t="inlineStr">
        <is>
          <t>1995</t>
        </is>
      </c>
      <c r="Q193" t="inlineStr">
        <is>
          <t>eng</t>
        </is>
      </c>
      <c r="R193" t="inlineStr">
        <is>
          <t>nmu</t>
        </is>
      </c>
      <c r="T193" t="inlineStr">
        <is>
          <t xml:space="preserve">CC </t>
        </is>
      </c>
      <c r="U193" t="n">
        <v>2</v>
      </c>
      <c r="V193" t="n">
        <v>2</v>
      </c>
      <c r="W193" t="inlineStr">
        <is>
          <t>2002-10-22</t>
        </is>
      </c>
      <c r="X193" t="inlineStr">
        <is>
          <t>2002-10-22</t>
        </is>
      </c>
      <c r="Y193" t="inlineStr">
        <is>
          <t>1997-05-15</t>
        </is>
      </c>
      <c r="Z193" t="inlineStr">
        <is>
          <t>1997-05-15</t>
        </is>
      </c>
      <c r="AA193" t="n">
        <v>60</v>
      </c>
      <c r="AB193" t="n">
        <v>58</v>
      </c>
      <c r="AC193" t="n">
        <v>60</v>
      </c>
      <c r="AD193" t="n">
        <v>1</v>
      </c>
      <c r="AE193" t="n">
        <v>1</v>
      </c>
      <c r="AF193" t="n">
        <v>0</v>
      </c>
      <c r="AG193" t="n">
        <v>0</v>
      </c>
      <c r="AH193" t="n">
        <v>0</v>
      </c>
      <c r="AI193" t="n">
        <v>0</v>
      </c>
      <c r="AJ193" t="n">
        <v>0</v>
      </c>
      <c r="AK193" t="n">
        <v>0</v>
      </c>
      <c r="AL193" t="n">
        <v>0</v>
      </c>
      <c r="AM193" t="n">
        <v>0</v>
      </c>
      <c r="AN193" t="n">
        <v>0</v>
      </c>
      <c r="AO193" t="n">
        <v>0</v>
      </c>
      <c r="AP193" t="n">
        <v>0</v>
      </c>
      <c r="AQ193" t="n">
        <v>0</v>
      </c>
      <c r="AR193" t="inlineStr">
        <is>
          <t>No</t>
        </is>
      </c>
      <c r="AS193" t="inlineStr">
        <is>
          <t>Yes</t>
        </is>
      </c>
      <c r="AT193">
        <f>HYPERLINK("http://catalog.hathitrust.org/Record/007465553","HathiTrust Record")</f>
        <v/>
      </c>
      <c r="AU193">
        <f>HYPERLINK("https://creighton-primo.hosted.exlibrisgroup.com/primo-explore/search?tab=default_tab&amp;search_scope=EVERYTHING&amp;vid=01CRU&amp;lang=en_US&amp;offset=0&amp;query=any,contains,991002582079702656","Catalog Record")</f>
        <v/>
      </c>
      <c r="AV193">
        <f>HYPERLINK("http://www.worldcat.org/oclc/33850210","WorldCat Record")</f>
        <v/>
      </c>
      <c r="AW193" t="inlineStr">
        <is>
          <t>908056675:eng</t>
        </is>
      </c>
      <c r="AX193" t="inlineStr">
        <is>
          <t>33850210</t>
        </is>
      </c>
      <c r="AY193" t="inlineStr">
        <is>
          <t>991002582079702656</t>
        </is>
      </c>
      <c r="AZ193" t="inlineStr">
        <is>
          <t>991002582079702656</t>
        </is>
      </c>
      <c r="BA193" t="inlineStr">
        <is>
          <t>2265874290002656</t>
        </is>
      </c>
      <c r="BB193" t="inlineStr">
        <is>
          <t>BOOK</t>
        </is>
      </c>
      <c r="BD193" t="inlineStr">
        <is>
          <t>9780963509215</t>
        </is>
      </c>
      <c r="BE193" t="inlineStr">
        <is>
          <t>32285002608734</t>
        </is>
      </c>
      <c r="BF193" t="inlineStr">
        <is>
          <t>893498283</t>
        </is>
      </c>
    </row>
    <row r="194">
      <c r="B194" t="inlineStr">
        <is>
          <t>CURAL</t>
        </is>
      </c>
      <c r="C194" t="inlineStr">
        <is>
          <t>SHELVES</t>
        </is>
      </c>
      <c r="D194" t="inlineStr">
        <is>
          <t>CC135 .S76 2002</t>
        </is>
      </c>
      <c r="E194" t="inlineStr">
        <is>
          <t>0                      CC 0135000S  76          2002</t>
        </is>
      </c>
      <c r="F194" t="inlineStr">
        <is>
          <t>The future of the past / Alexander Stille.</t>
        </is>
      </c>
      <c r="H194" t="inlineStr">
        <is>
          <t>No</t>
        </is>
      </c>
      <c r="I194" t="inlineStr">
        <is>
          <t>1</t>
        </is>
      </c>
      <c r="J194" t="inlineStr">
        <is>
          <t>No</t>
        </is>
      </c>
      <c r="K194" t="inlineStr">
        <is>
          <t>No</t>
        </is>
      </c>
      <c r="L194" t="inlineStr">
        <is>
          <t>0</t>
        </is>
      </c>
      <c r="M194" t="inlineStr">
        <is>
          <t>Stille, Alexander.</t>
        </is>
      </c>
      <c r="N194" t="inlineStr">
        <is>
          <t>New York : Farrar, Straus and Giroux, 2002.</t>
        </is>
      </c>
      <c r="O194" t="inlineStr">
        <is>
          <t>2002</t>
        </is>
      </c>
      <c r="P194" t="inlineStr">
        <is>
          <t>1st ed.</t>
        </is>
      </c>
      <c r="Q194" t="inlineStr">
        <is>
          <t>eng</t>
        </is>
      </c>
      <c r="R194" t="inlineStr">
        <is>
          <t>nyu</t>
        </is>
      </c>
      <c r="T194" t="inlineStr">
        <is>
          <t xml:space="preserve">CC </t>
        </is>
      </c>
      <c r="U194" t="n">
        <v>1</v>
      </c>
      <c r="V194" t="n">
        <v>1</v>
      </c>
      <c r="W194" t="inlineStr">
        <is>
          <t>2002-07-15</t>
        </is>
      </c>
      <c r="X194" t="inlineStr">
        <is>
          <t>2002-07-15</t>
        </is>
      </c>
      <c r="Y194" t="inlineStr">
        <is>
          <t>2002-07-10</t>
        </is>
      </c>
      <c r="Z194" t="inlineStr">
        <is>
          <t>2002-07-10</t>
        </is>
      </c>
      <c r="AA194" t="n">
        <v>923</v>
      </c>
      <c r="AB194" t="n">
        <v>849</v>
      </c>
      <c r="AC194" t="n">
        <v>902</v>
      </c>
      <c r="AD194" t="n">
        <v>5</v>
      </c>
      <c r="AE194" t="n">
        <v>5</v>
      </c>
      <c r="AF194" t="n">
        <v>26</v>
      </c>
      <c r="AG194" t="n">
        <v>29</v>
      </c>
      <c r="AH194" t="n">
        <v>9</v>
      </c>
      <c r="AI194" t="n">
        <v>9</v>
      </c>
      <c r="AJ194" t="n">
        <v>7</v>
      </c>
      <c r="AK194" t="n">
        <v>7</v>
      </c>
      <c r="AL194" t="n">
        <v>13</v>
      </c>
      <c r="AM194" t="n">
        <v>16</v>
      </c>
      <c r="AN194" t="n">
        <v>3</v>
      </c>
      <c r="AO194" t="n">
        <v>3</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HYPERLINK("https://creighton-primo.hosted.exlibrisgroup.com/primo-explore/search?tab=default_tab&amp;search_scope=EVERYTHING&amp;vid=01CRU&amp;lang=en_US&amp;offset=0&amp;query=any,contains,991003822119702656","Catalog Record")</f>
        <v/>
      </c>
      <c r="AV194">
        <f>HYPERLINK("http://www.worldcat.org/oclc/48170779","WorldCat Record")</f>
        <v/>
      </c>
      <c r="AW194" t="inlineStr">
        <is>
          <t>1152195014:eng</t>
        </is>
      </c>
      <c r="AX194" t="inlineStr">
        <is>
          <t>48170779</t>
        </is>
      </c>
      <c r="AY194" t="inlineStr">
        <is>
          <t>991003822119702656</t>
        </is>
      </c>
      <c r="AZ194" t="inlineStr">
        <is>
          <t>991003822119702656</t>
        </is>
      </c>
      <c r="BA194" t="inlineStr">
        <is>
          <t>2261490930002656</t>
        </is>
      </c>
      <c r="BB194" t="inlineStr">
        <is>
          <t>BOOK</t>
        </is>
      </c>
      <c r="BD194" t="inlineStr">
        <is>
          <t>9780374159771</t>
        </is>
      </c>
      <c r="BE194" t="inlineStr">
        <is>
          <t>32285004497581</t>
        </is>
      </c>
      <c r="BF194" t="inlineStr">
        <is>
          <t>893810196</t>
        </is>
      </c>
    </row>
    <row r="195">
      <c r="B195" t="inlineStr">
        <is>
          <t>CURAL</t>
        </is>
      </c>
      <c r="C195" t="inlineStr">
        <is>
          <t>SHELVES</t>
        </is>
      </c>
      <c r="D195" t="inlineStr">
        <is>
          <t>CC135 .W39 2006</t>
        </is>
      </c>
      <c r="E195" t="inlineStr">
        <is>
          <t>0                      CC 0135000W  39          2006</t>
        </is>
      </c>
      <c r="F195" t="inlineStr">
        <is>
          <t>The Medici conspiracy : the illicit journey of looted antiquities, from Italy's tomb raiders to the world's greatest museums / Peter Watson and Cecilia Todeschini.</t>
        </is>
      </c>
      <c r="H195" t="inlineStr">
        <is>
          <t>No</t>
        </is>
      </c>
      <c r="I195" t="inlineStr">
        <is>
          <t>1</t>
        </is>
      </c>
      <c r="J195" t="inlineStr">
        <is>
          <t>No</t>
        </is>
      </c>
      <c r="K195" t="inlineStr">
        <is>
          <t>No</t>
        </is>
      </c>
      <c r="L195" t="inlineStr">
        <is>
          <t>0</t>
        </is>
      </c>
      <c r="M195" t="inlineStr">
        <is>
          <t>Watson, Peter, 1943-</t>
        </is>
      </c>
      <c r="N195" t="inlineStr">
        <is>
          <t>New York : BBS PublicAffairs, c2006.</t>
        </is>
      </c>
      <c r="O195" t="inlineStr">
        <is>
          <t>2006</t>
        </is>
      </c>
      <c r="P195" t="inlineStr">
        <is>
          <t>1st ed.</t>
        </is>
      </c>
      <c r="Q195" t="inlineStr">
        <is>
          <t>eng</t>
        </is>
      </c>
      <c r="R195" t="inlineStr">
        <is>
          <t>nyu</t>
        </is>
      </c>
      <c r="T195" t="inlineStr">
        <is>
          <t xml:space="preserve">CC </t>
        </is>
      </c>
      <c r="U195" t="n">
        <v>3</v>
      </c>
      <c r="V195" t="n">
        <v>3</v>
      </c>
      <c r="W195" t="inlineStr">
        <is>
          <t>2006-06-26</t>
        </is>
      </c>
      <c r="X195" t="inlineStr">
        <is>
          <t>2006-06-26</t>
        </is>
      </c>
      <c r="Y195" t="inlineStr">
        <is>
          <t>2006-06-26</t>
        </is>
      </c>
      <c r="Z195" t="inlineStr">
        <is>
          <t>2006-06-26</t>
        </is>
      </c>
      <c r="AA195" t="n">
        <v>1007</v>
      </c>
      <c r="AB195" t="n">
        <v>897</v>
      </c>
      <c r="AC195" t="n">
        <v>1272</v>
      </c>
      <c r="AD195" t="n">
        <v>5</v>
      </c>
      <c r="AE195" t="n">
        <v>9</v>
      </c>
      <c r="AF195" t="n">
        <v>25</v>
      </c>
      <c r="AG195" t="n">
        <v>39</v>
      </c>
      <c r="AH195" t="n">
        <v>11</v>
      </c>
      <c r="AI195" t="n">
        <v>15</v>
      </c>
      <c r="AJ195" t="n">
        <v>4</v>
      </c>
      <c r="AK195" t="n">
        <v>6</v>
      </c>
      <c r="AL195" t="n">
        <v>9</v>
      </c>
      <c r="AM195" t="n">
        <v>13</v>
      </c>
      <c r="AN195" t="n">
        <v>4</v>
      </c>
      <c r="AO195" t="n">
        <v>8</v>
      </c>
      <c r="AP195" t="n">
        <v>2</v>
      </c>
      <c r="AQ195" t="n">
        <v>3</v>
      </c>
      <c r="AR195" t="inlineStr">
        <is>
          <t>No</t>
        </is>
      </c>
      <c r="AS195" t="inlineStr">
        <is>
          <t>No</t>
        </is>
      </c>
      <c r="AU195">
        <f>HYPERLINK("https://creighton-primo.hosted.exlibrisgroup.com/primo-explore/search?tab=default_tab&amp;search_scope=EVERYTHING&amp;vid=01CRU&amp;lang=en_US&amp;offset=0&amp;query=any,contains,991004833599702656","Catalog Record")</f>
        <v/>
      </c>
      <c r="AV195">
        <f>HYPERLINK("http://www.worldcat.org/oclc/63187543","WorldCat Record")</f>
        <v/>
      </c>
      <c r="AW195" t="inlineStr">
        <is>
          <t>197094260:eng</t>
        </is>
      </c>
      <c r="AX195" t="inlineStr">
        <is>
          <t>63187543</t>
        </is>
      </c>
      <c r="AY195" t="inlineStr">
        <is>
          <t>991004833599702656</t>
        </is>
      </c>
      <c r="AZ195" t="inlineStr">
        <is>
          <t>991004833599702656</t>
        </is>
      </c>
      <c r="BA195" t="inlineStr">
        <is>
          <t>2269647080002656</t>
        </is>
      </c>
      <c r="BB195" t="inlineStr">
        <is>
          <t>BOOK</t>
        </is>
      </c>
      <c r="BD195" t="inlineStr">
        <is>
          <t>9781586484026</t>
        </is>
      </c>
      <c r="BE195" t="inlineStr">
        <is>
          <t>32285005192553</t>
        </is>
      </c>
      <c r="BF195" t="inlineStr">
        <is>
          <t>893350431</t>
        </is>
      </c>
    </row>
    <row r="196">
      <c r="B196" t="inlineStr">
        <is>
          <t>CURAL</t>
        </is>
      </c>
      <c r="C196" t="inlineStr">
        <is>
          <t>SHELVES</t>
        </is>
      </c>
      <c r="D196" t="inlineStr">
        <is>
          <t>CC165 .G69</t>
        </is>
      </c>
      <c r="E196" t="inlineStr">
        <is>
          <t>0                      CC 0165000G  69</t>
        </is>
      </c>
      <c r="F196" t="inlineStr">
        <is>
          <t>The Great archaeologists / edited by Edward Bacon.</t>
        </is>
      </c>
      <c r="H196" t="inlineStr">
        <is>
          <t>No</t>
        </is>
      </c>
      <c r="I196" t="inlineStr">
        <is>
          <t>1</t>
        </is>
      </c>
      <c r="J196" t="inlineStr">
        <is>
          <t>No</t>
        </is>
      </c>
      <c r="K196" t="inlineStr">
        <is>
          <t>No</t>
        </is>
      </c>
      <c r="L196" t="inlineStr">
        <is>
          <t>0</t>
        </is>
      </c>
      <c r="N196" t="inlineStr">
        <is>
          <t>Indianapolis : Bobbs-Merrill, 1976.</t>
        </is>
      </c>
      <c r="O196" t="inlineStr">
        <is>
          <t>1976</t>
        </is>
      </c>
      <c r="Q196" t="inlineStr">
        <is>
          <t>eng</t>
        </is>
      </c>
      <c r="R196" t="inlineStr">
        <is>
          <t>inu</t>
        </is>
      </c>
      <c r="T196" t="inlineStr">
        <is>
          <t xml:space="preserve">CC </t>
        </is>
      </c>
      <c r="U196" t="n">
        <v>3</v>
      </c>
      <c r="V196" t="n">
        <v>3</v>
      </c>
      <c r="W196" t="inlineStr">
        <is>
          <t>1994-09-07</t>
        </is>
      </c>
      <c r="X196" t="inlineStr">
        <is>
          <t>1994-09-07</t>
        </is>
      </c>
      <c r="Y196" t="inlineStr">
        <is>
          <t>1992-06-03</t>
        </is>
      </c>
      <c r="Z196" t="inlineStr">
        <is>
          <t>1992-06-03</t>
        </is>
      </c>
      <c r="AA196" t="n">
        <v>597</v>
      </c>
      <c r="AB196" t="n">
        <v>545</v>
      </c>
      <c r="AC196" t="n">
        <v>557</v>
      </c>
      <c r="AD196" t="n">
        <v>4</v>
      </c>
      <c r="AE196" t="n">
        <v>4</v>
      </c>
      <c r="AF196" t="n">
        <v>14</v>
      </c>
      <c r="AG196" t="n">
        <v>14</v>
      </c>
      <c r="AH196" t="n">
        <v>5</v>
      </c>
      <c r="AI196" t="n">
        <v>5</v>
      </c>
      <c r="AJ196" t="n">
        <v>1</v>
      </c>
      <c r="AK196" t="n">
        <v>1</v>
      </c>
      <c r="AL196" t="n">
        <v>8</v>
      </c>
      <c r="AM196" t="n">
        <v>8</v>
      </c>
      <c r="AN196" t="n">
        <v>2</v>
      </c>
      <c r="AO196" t="n">
        <v>2</v>
      </c>
      <c r="AP196" t="n">
        <v>0</v>
      </c>
      <c r="AQ196" t="n">
        <v>0</v>
      </c>
      <c r="AR196" t="inlineStr">
        <is>
          <t>No</t>
        </is>
      </c>
      <c r="AS196" t="inlineStr">
        <is>
          <t>Yes</t>
        </is>
      </c>
      <c r="AT196">
        <f>HYPERLINK("http://catalog.hathitrust.org/Record/000085530","HathiTrust Record")</f>
        <v/>
      </c>
      <c r="AU196">
        <f>HYPERLINK("https://creighton-primo.hosted.exlibrisgroup.com/primo-explore/search?tab=default_tab&amp;search_scope=EVERYTHING&amp;vid=01CRU&amp;lang=en_US&amp;offset=0&amp;query=any,contains,991004321239702656","Catalog Record")</f>
        <v/>
      </c>
      <c r="AV196">
        <f>HYPERLINK("http://www.worldcat.org/oclc/3017987","WorldCat Record")</f>
        <v/>
      </c>
      <c r="AW196" t="inlineStr">
        <is>
          <t>54169398:eng</t>
        </is>
      </c>
      <c r="AX196" t="inlineStr">
        <is>
          <t>3017987</t>
        </is>
      </c>
      <c r="AY196" t="inlineStr">
        <is>
          <t>991004321239702656</t>
        </is>
      </c>
      <c r="AZ196" t="inlineStr">
        <is>
          <t>991004321239702656</t>
        </is>
      </c>
      <c r="BA196" t="inlineStr">
        <is>
          <t>2269969510002656</t>
        </is>
      </c>
      <c r="BB196" t="inlineStr">
        <is>
          <t>BOOK</t>
        </is>
      </c>
      <c r="BD196" t="inlineStr">
        <is>
          <t>9780672520525</t>
        </is>
      </c>
      <c r="BE196" t="inlineStr">
        <is>
          <t>32285001144350</t>
        </is>
      </c>
      <c r="BF196" t="inlineStr">
        <is>
          <t>893247433</t>
        </is>
      </c>
    </row>
    <row r="197">
      <c r="B197" t="inlineStr">
        <is>
          <t>CURAL</t>
        </is>
      </c>
      <c r="C197" t="inlineStr">
        <is>
          <t>SHELVES</t>
        </is>
      </c>
      <c r="D197" t="inlineStr">
        <is>
          <t>CC165 .H3</t>
        </is>
      </c>
      <c r="E197" t="inlineStr">
        <is>
          <t>0                      CC 0165000H  3</t>
        </is>
      </c>
      <c r="F197" t="inlineStr">
        <is>
          <t>Wonders of the past; the romance of antiquity and its splendours, edited by J.A. Hammerton; with more than 1000 illustrations including many full page plates in colour ...</t>
        </is>
      </c>
      <c r="G197" t="inlineStr">
        <is>
          <t>V.4</t>
        </is>
      </c>
      <c r="H197" t="inlineStr">
        <is>
          <t>Yes</t>
        </is>
      </c>
      <c r="I197" t="inlineStr">
        <is>
          <t>1</t>
        </is>
      </c>
      <c r="J197" t="inlineStr">
        <is>
          <t>No</t>
        </is>
      </c>
      <c r="K197" t="inlineStr">
        <is>
          <t>No</t>
        </is>
      </c>
      <c r="L197" t="inlineStr">
        <is>
          <t>0</t>
        </is>
      </c>
      <c r="M197" t="inlineStr">
        <is>
          <t>Hammerton, John Alexander, Sir, 1871-1949.</t>
        </is>
      </c>
      <c r="N197" t="inlineStr">
        <is>
          <t>New York, London, G.P. Putnam's Sons, 1923-24.</t>
        </is>
      </c>
      <c r="O197" t="inlineStr">
        <is>
          <t>1923</t>
        </is>
      </c>
      <c r="Q197" t="inlineStr">
        <is>
          <t>eng</t>
        </is>
      </c>
      <c r="R197" t="inlineStr">
        <is>
          <t>nyu</t>
        </is>
      </c>
      <c r="T197" t="inlineStr">
        <is>
          <t xml:space="preserve">CC </t>
        </is>
      </c>
      <c r="U197" t="n">
        <v>0</v>
      </c>
      <c r="V197" t="n">
        <v>2</v>
      </c>
      <c r="X197" t="inlineStr">
        <is>
          <t>2004-08-23</t>
        </is>
      </c>
      <c r="Y197" t="inlineStr">
        <is>
          <t>1996-08-20</t>
        </is>
      </c>
      <c r="Z197" t="inlineStr">
        <is>
          <t>1996-08-20</t>
        </is>
      </c>
      <c r="AA197" t="n">
        <v>331</v>
      </c>
      <c r="AB197" t="n">
        <v>311</v>
      </c>
      <c r="AC197" t="n">
        <v>443</v>
      </c>
      <c r="AD197" t="n">
        <v>2</v>
      </c>
      <c r="AE197" t="n">
        <v>3</v>
      </c>
      <c r="AF197" t="n">
        <v>8</v>
      </c>
      <c r="AG197" t="n">
        <v>12</v>
      </c>
      <c r="AH197" t="n">
        <v>3</v>
      </c>
      <c r="AI197" t="n">
        <v>4</v>
      </c>
      <c r="AJ197" t="n">
        <v>2</v>
      </c>
      <c r="AK197" t="n">
        <v>4</v>
      </c>
      <c r="AL197" t="n">
        <v>4</v>
      </c>
      <c r="AM197" t="n">
        <v>6</v>
      </c>
      <c r="AN197" t="n">
        <v>1</v>
      </c>
      <c r="AO197" t="n">
        <v>1</v>
      </c>
      <c r="AP197" t="n">
        <v>0</v>
      </c>
      <c r="AQ197" t="n">
        <v>0</v>
      </c>
      <c r="AR197" t="inlineStr">
        <is>
          <t>Yes</t>
        </is>
      </c>
      <c r="AS197" t="inlineStr">
        <is>
          <t>No</t>
        </is>
      </c>
      <c r="AT197">
        <f>HYPERLINK("http://catalog.hathitrust.org/Record/008964370","HathiTrust Record")</f>
        <v/>
      </c>
      <c r="AU197">
        <f>HYPERLINK("https://creighton-primo.hosted.exlibrisgroup.com/primo-explore/search?tab=default_tab&amp;search_scope=EVERYTHING&amp;vid=01CRU&amp;lang=en_US&amp;offset=0&amp;query=any,contains,991003558529702656","Catalog Record")</f>
        <v/>
      </c>
      <c r="AV197">
        <f>HYPERLINK("http://www.worldcat.org/oclc/1127802","WorldCat Record")</f>
        <v/>
      </c>
      <c r="AW197" t="inlineStr">
        <is>
          <t>3372121003:eng</t>
        </is>
      </c>
      <c r="AX197" t="inlineStr">
        <is>
          <t>1127802</t>
        </is>
      </c>
      <c r="AY197" t="inlineStr">
        <is>
          <t>991003558529702656</t>
        </is>
      </c>
      <c r="AZ197" t="inlineStr">
        <is>
          <t>991003558529702656</t>
        </is>
      </c>
      <c r="BA197" t="inlineStr">
        <is>
          <t>2267417870002656</t>
        </is>
      </c>
      <c r="BB197" t="inlineStr">
        <is>
          <t>BOOK</t>
        </is>
      </c>
      <c r="BE197" t="inlineStr">
        <is>
          <t>32285002277209</t>
        </is>
      </c>
      <c r="BF197" t="inlineStr">
        <is>
          <t>893900118</t>
        </is>
      </c>
    </row>
    <row r="198">
      <c r="B198" t="inlineStr">
        <is>
          <t>CURAL</t>
        </is>
      </c>
      <c r="C198" t="inlineStr">
        <is>
          <t>SHELVES</t>
        </is>
      </c>
      <c r="D198" t="inlineStr">
        <is>
          <t>CC165 .H3</t>
        </is>
      </c>
      <c r="E198" t="inlineStr">
        <is>
          <t>0                      CC 0165000H  3</t>
        </is>
      </c>
      <c r="F198" t="inlineStr">
        <is>
          <t>Wonders of the past; the romance of antiquity and its splendours, edited by J.A. Hammerton; with more than 1000 illustrations including many full page plates in colour ...</t>
        </is>
      </c>
      <c r="G198" t="inlineStr">
        <is>
          <t>V.1</t>
        </is>
      </c>
      <c r="H198" t="inlineStr">
        <is>
          <t>Yes</t>
        </is>
      </c>
      <c r="I198" t="inlineStr">
        <is>
          <t>1</t>
        </is>
      </c>
      <c r="J198" t="inlineStr">
        <is>
          <t>No</t>
        </is>
      </c>
      <c r="K198" t="inlineStr">
        <is>
          <t>No</t>
        </is>
      </c>
      <c r="L198" t="inlineStr">
        <is>
          <t>0</t>
        </is>
      </c>
      <c r="M198" t="inlineStr">
        <is>
          <t>Hammerton, John Alexander, Sir, 1871-1949.</t>
        </is>
      </c>
      <c r="N198" t="inlineStr">
        <is>
          <t>New York, London, G.P. Putnam's Sons, 1923-24.</t>
        </is>
      </c>
      <c r="O198" t="inlineStr">
        <is>
          <t>1923</t>
        </is>
      </c>
      <c r="Q198" t="inlineStr">
        <is>
          <t>eng</t>
        </is>
      </c>
      <c r="R198" t="inlineStr">
        <is>
          <t>nyu</t>
        </is>
      </c>
      <c r="T198" t="inlineStr">
        <is>
          <t xml:space="preserve">CC </t>
        </is>
      </c>
      <c r="U198" t="n">
        <v>0</v>
      </c>
      <c r="V198" t="n">
        <v>2</v>
      </c>
      <c r="X198" t="inlineStr">
        <is>
          <t>2004-08-23</t>
        </is>
      </c>
      <c r="Y198" t="inlineStr">
        <is>
          <t>1996-08-20</t>
        </is>
      </c>
      <c r="Z198" t="inlineStr">
        <is>
          <t>1996-08-20</t>
        </is>
      </c>
      <c r="AA198" t="n">
        <v>331</v>
      </c>
      <c r="AB198" t="n">
        <v>311</v>
      </c>
      <c r="AC198" t="n">
        <v>443</v>
      </c>
      <c r="AD198" t="n">
        <v>2</v>
      </c>
      <c r="AE198" t="n">
        <v>3</v>
      </c>
      <c r="AF198" t="n">
        <v>8</v>
      </c>
      <c r="AG198" t="n">
        <v>12</v>
      </c>
      <c r="AH198" t="n">
        <v>3</v>
      </c>
      <c r="AI198" t="n">
        <v>4</v>
      </c>
      <c r="AJ198" t="n">
        <v>2</v>
      </c>
      <c r="AK198" t="n">
        <v>4</v>
      </c>
      <c r="AL198" t="n">
        <v>4</v>
      </c>
      <c r="AM198" t="n">
        <v>6</v>
      </c>
      <c r="AN198" t="n">
        <v>1</v>
      </c>
      <c r="AO198" t="n">
        <v>1</v>
      </c>
      <c r="AP198" t="n">
        <v>0</v>
      </c>
      <c r="AQ198" t="n">
        <v>0</v>
      </c>
      <c r="AR198" t="inlineStr">
        <is>
          <t>Yes</t>
        </is>
      </c>
      <c r="AS198" t="inlineStr">
        <is>
          <t>No</t>
        </is>
      </c>
      <c r="AT198">
        <f>HYPERLINK("http://catalog.hathitrust.org/Record/008964370","HathiTrust Record")</f>
        <v/>
      </c>
      <c r="AU198">
        <f>HYPERLINK("https://creighton-primo.hosted.exlibrisgroup.com/primo-explore/search?tab=default_tab&amp;search_scope=EVERYTHING&amp;vid=01CRU&amp;lang=en_US&amp;offset=0&amp;query=any,contains,991003558529702656","Catalog Record")</f>
        <v/>
      </c>
      <c r="AV198">
        <f>HYPERLINK("http://www.worldcat.org/oclc/1127802","WorldCat Record")</f>
        <v/>
      </c>
      <c r="AW198" t="inlineStr">
        <is>
          <t>3372121003:eng</t>
        </is>
      </c>
      <c r="AX198" t="inlineStr">
        <is>
          <t>1127802</t>
        </is>
      </c>
      <c r="AY198" t="inlineStr">
        <is>
          <t>991003558529702656</t>
        </is>
      </c>
      <c r="AZ198" t="inlineStr">
        <is>
          <t>991003558529702656</t>
        </is>
      </c>
      <c r="BA198" t="inlineStr">
        <is>
          <t>2267417870002656</t>
        </is>
      </c>
      <c r="BB198" t="inlineStr">
        <is>
          <t>BOOK</t>
        </is>
      </c>
      <c r="BE198" t="inlineStr">
        <is>
          <t>32285002277175</t>
        </is>
      </c>
      <c r="BF198" t="inlineStr">
        <is>
          <t>893874889</t>
        </is>
      </c>
    </row>
    <row r="199">
      <c r="B199" t="inlineStr">
        <is>
          <t>CURAL</t>
        </is>
      </c>
      <c r="C199" t="inlineStr">
        <is>
          <t>SHELVES</t>
        </is>
      </c>
      <c r="D199" t="inlineStr">
        <is>
          <t>CC165 .H3</t>
        </is>
      </c>
      <c r="E199" t="inlineStr">
        <is>
          <t>0                      CC 0165000H  3</t>
        </is>
      </c>
      <c r="F199" t="inlineStr">
        <is>
          <t>Wonders of the past; the romance of antiquity and its splendours, edited by J.A. Hammerton; with more than 1000 illustrations including many full page plates in colour ...</t>
        </is>
      </c>
      <c r="G199" t="inlineStr">
        <is>
          <t>V.2</t>
        </is>
      </c>
      <c r="H199" t="inlineStr">
        <is>
          <t>Yes</t>
        </is>
      </c>
      <c r="I199" t="inlineStr">
        <is>
          <t>1</t>
        </is>
      </c>
      <c r="J199" t="inlineStr">
        <is>
          <t>No</t>
        </is>
      </c>
      <c r="K199" t="inlineStr">
        <is>
          <t>No</t>
        </is>
      </c>
      <c r="L199" t="inlineStr">
        <is>
          <t>0</t>
        </is>
      </c>
      <c r="M199" t="inlineStr">
        <is>
          <t>Hammerton, John Alexander, Sir, 1871-1949.</t>
        </is>
      </c>
      <c r="N199" t="inlineStr">
        <is>
          <t>New York, London, G.P. Putnam's Sons, 1923-24.</t>
        </is>
      </c>
      <c r="O199" t="inlineStr">
        <is>
          <t>1923</t>
        </is>
      </c>
      <c r="Q199" t="inlineStr">
        <is>
          <t>eng</t>
        </is>
      </c>
      <c r="R199" t="inlineStr">
        <is>
          <t>nyu</t>
        </is>
      </c>
      <c r="T199" t="inlineStr">
        <is>
          <t xml:space="preserve">CC </t>
        </is>
      </c>
      <c r="U199" t="n">
        <v>2</v>
      </c>
      <c r="V199" t="n">
        <v>2</v>
      </c>
      <c r="W199" t="inlineStr">
        <is>
          <t>2004-08-23</t>
        </is>
      </c>
      <c r="X199" t="inlineStr">
        <is>
          <t>2004-08-23</t>
        </is>
      </c>
      <c r="Y199" t="inlineStr">
        <is>
          <t>1996-08-20</t>
        </is>
      </c>
      <c r="Z199" t="inlineStr">
        <is>
          <t>1996-08-20</t>
        </is>
      </c>
      <c r="AA199" t="n">
        <v>331</v>
      </c>
      <c r="AB199" t="n">
        <v>311</v>
      </c>
      <c r="AC199" t="n">
        <v>443</v>
      </c>
      <c r="AD199" t="n">
        <v>2</v>
      </c>
      <c r="AE199" t="n">
        <v>3</v>
      </c>
      <c r="AF199" t="n">
        <v>8</v>
      </c>
      <c r="AG199" t="n">
        <v>12</v>
      </c>
      <c r="AH199" t="n">
        <v>3</v>
      </c>
      <c r="AI199" t="n">
        <v>4</v>
      </c>
      <c r="AJ199" t="n">
        <v>2</v>
      </c>
      <c r="AK199" t="n">
        <v>4</v>
      </c>
      <c r="AL199" t="n">
        <v>4</v>
      </c>
      <c r="AM199" t="n">
        <v>6</v>
      </c>
      <c r="AN199" t="n">
        <v>1</v>
      </c>
      <c r="AO199" t="n">
        <v>1</v>
      </c>
      <c r="AP199" t="n">
        <v>0</v>
      </c>
      <c r="AQ199" t="n">
        <v>0</v>
      </c>
      <c r="AR199" t="inlineStr">
        <is>
          <t>Yes</t>
        </is>
      </c>
      <c r="AS199" t="inlineStr">
        <is>
          <t>No</t>
        </is>
      </c>
      <c r="AT199">
        <f>HYPERLINK("http://catalog.hathitrust.org/Record/008964370","HathiTrust Record")</f>
        <v/>
      </c>
      <c r="AU199">
        <f>HYPERLINK("https://creighton-primo.hosted.exlibrisgroup.com/primo-explore/search?tab=default_tab&amp;search_scope=EVERYTHING&amp;vid=01CRU&amp;lang=en_US&amp;offset=0&amp;query=any,contains,991003558529702656","Catalog Record")</f>
        <v/>
      </c>
      <c r="AV199">
        <f>HYPERLINK("http://www.worldcat.org/oclc/1127802","WorldCat Record")</f>
        <v/>
      </c>
      <c r="AW199" t="inlineStr">
        <is>
          <t>3372121003:eng</t>
        </is>
      </c>
      <c r="AX199" t="inlineStr">
        <is>
          <t>1127802</t>
        </is>
      </c>
      <c r="AY199" t="inlineStr">
        <is>
          <t>991003558529702656</t>
        </is>
      </c>
      <c r="AZ199" t="inlineStr">
        <is>
          <t>991003558529702656</t>
        </is>
      </c>
      <c r="BA199" t="inlineStr">
        <is>
          <t>2267417870002656</t>
        </is>
      </c>
      <c r="BB199" t="inlineStr">
        <is>
          <t>BOOK</t>
        </is>
      </c>
      <c r="BE199" t="inlineStr">
        <is>
          <t>32285002277183</t>
        </is>
      </c>
      <c r="BF199" t="inlineStr">
        <is>
          <t>893881297</t>
        </is>
      </c>
    </row>
    <row r="200">
      <c r="B200" t="inlineStr">
        <is>
          <t>CURAL</t>
        </is>
      </c>
      <c r="C200" t="inlineStr">
        <is>
          <t>SHELVES</t>
        </is>
      </c>
      <c r="D200" t="inlineStr">
        <is>
          <t>CC165 .H3</t>
        </is>
      </c>
      <c r="E200" t="inlineStr">
        <is>
          <t>0                      CC 0165000H  3</t>
        </is>
      </c>
      <c r="F200" t="inlineStr">
        <is>
          <t>Wonders of the past; the romance of antiquity and its splendours, edited by J.A. Hammerton; with more than 1000 illustrations including many full page plates in colour ...</t>
        </is>
      </c>
      <c r="G200" t="inlineStr">
        <is>
          <t>V.3</t>
        </is>
      </c>
      <c r="H200" t="inlineStr">
        <is>
          <t>Yes</t>
        </is>
      </c>
      <c r="I200" t="inlineStr">
        <is>
          <t>1</t>
        </is>
      </c>
      <c r="J200" t="inlineStr">
        <is>
          <t>No</t>
        </is>
      </c>
      <c r="K200" t="inlineStr">
        <is>
          <t>No</t>
        </is>
      </c>
      <c r="L200" t="inlineStr">
        <is>
          <t>0</t>
        </is>
      </c>
      <c r="M200" t="inlineStr">
        <is>
          <t>Hammerton, John Alexander, Sir, 1871-1949.</t>
        </is>
      </c>
      <c r="N200" t="inlineStr">
        <is>
          <t>New York, London, G.P. Putnam's Sons, 1923-24.</t>
        </is>
      </c>
      <c r="O200" t="inlineStr">
        <is>
          <t>1923</t>
        </is>
      </c>
      <c r="Q200" t="inlineStr">
        <is>
          <t>eng</t>
        </is>
      </c>
      <c r="R200" t="inlineStr">
        <is>
          <t>nyu</t>
        </is>
      </c>
      <c r="T200" t="inlineStr">
        <is>
          <t xml:space="preserve">CC </t>
        </is>
      </c>
      <c r="U200" t="n">
        <v>0</v>
      </c>
      <c r="V200" t="n">
        <v>2</v>
      </c>
      <c r="X200" t="inlineStr">
        <is>
          <t>2004-08-23</t>
        </is>
      </c>
      <c r="Y200" t="inlineStr">
        <is>
          <t>1996-08-20</t>
        </is>
      </c>
      <c r="Z200" t="inlineStr">
        <is>
          <t>1996-08-20</t>
        </is>
      </c>
      <c r="AA200" t="n">
        <v>331</v>
      </c>
      <c r="AB200" t="n">
        <v>311</v>
      </c>
      <c r="AC200" t="n">
        <v>443</v>
      </c>
      <c r="AD200" t="n">
        <v>2</v>
      </c>
      <c r="AE200" t="n">
        <v>3</v>
      </c>
      <c r="AF200" t="n">
        <v>8</v>
      </c>
      <c r="AG200" t="n">
        <v>12</v>
      </c>
      <c r="AH200" t="n">
        <v>3</v>
      </c>
      <c r="AI200" t="n">
        <v>4</v>
      </c>
      <c r="AJ200" t="n">
        <v>2</v>
      </c>
      <c r="AK200" t="n">
        <v>4</v>
      </c>
      <c r="AL200" t="n">
        <v>4</v>
      </c>
      <c r="AM200" t="n">
        <v>6</v>
      </c>
      <c r="AN200" t="n">
        <v>1</v>
      </c>
      <c r="AO200" t="n">
        <v>1</v>
      </c>
      <c r="AP200" t="n">
        <v>0</v>
      </c>
      <c r="AQ200" t="n">
        <v>0</v>
      </c>
      <c r="AR200" t="inlineStr">
        <is>
          <t>Yes</t>
        </is>
      </c>
      <c r="AS200" t="inlineStr">
        <is>
          <t>No</t>
        </is>
      </c>
      <c r="AT200">
        <f>HYPERLINK("http://catalog.hathitrust.org/Record/008964370","HathiTrust Record")</f>
        <v/>
      </c>
      <c r="AU200">
        <f>HYPERLINK("https://creighton-primo.hosted.exlibrisgroup.com/primo-explore/search?tab=default_tab&amp;search_scope=EVERYTHING&amp;vid=01CRU&amp;lang=en_US&amp;offset=0&amp;query=any,contains,991003558529702656","Catalog Record")</f>
        <v/>
      </c>
      <c r="AV200">
        <f>HYPERLINK("http://www.worldcat.org/oclc/1127802","WorldCat Record")</f>
        <v/>
      </c>
      <c r="AW200" t="inlineStr">
        <is>
          <t>3372121003:eng</t>
        </is>
      </c>
      <c r="AX200" t="inlineStr">
        <is>
          <t>1127802</t>
        </is>
      </c>
      <c r="AY200" t="inlineStr">
        <is>
          <t>991003558529702656</t>
        </is>
      </c>
      <c r="AZ200" t="inlineStr">
        <is>
          <t>991003558529702656</t>
        </is>
      </c>
      <c r="BA200" t="inlineStr">
        <is>
          <t>2267417870002656</t>
        </is>
      </c>
      <c r="BB200" t="inlineStr">
        <is>
          <t>BOOK</t>
        </is>
      </c>
      <c r="BE200" t="inlineStr">
        <is>
          <t>32285002277191</t>
        </is>
      </c>
      <c r="BF200" t="inlineStr">
        <is>
          <t>893893851</t>
        </is>
      </c>
    </row>
    <row r="201">
      <c r="B201" t="inlineStr">
        <is>
          <t>CURAL</t>
        </is>
      </c>
      <c r="C201" t="inlineStr">
        <is>
          <t>SHELVES</t>
        </is>
      </c>
      <c r="D201" t="inlineStr">
        <is>
          <t>CC165 .H457</t>
        </is>
      </c>
      <c r="E201" t="inlineStr">
        <is>
          <t>0                      CC 0165000H  457</t>
        </is>
      </c>
      <c r="F201" t="inlineStr">
        <is>
          <t>Introduction to archaeology / James J. Hester.</t>
        </is>
      </c>
      <c r="H201" t="inlineStr">
        <is>
          <t>No</t>
        </is>
      </c>
      <c r="I201" t="inlineStr">
        <is>
          <t>1</t>
        </is>
      </c>
      <c r="J201" t="inlineStr">
        <is>
          <t>No</t>
        </is>
      </c>
      <c r="K201" t="inlineStr">
        <is>
          <t>No</t>
        </is>
      </c>
      <c r="L201" t="inlineStr">
        <is>
          <t>0</t>
        </is>
      </c>
      <c r="M201" t="inlineStr">
        <is>
          <t>Hester, James J.</t>
        </is>
      </c>
      <c r="N201" t="inlineStr">
        <is>
          <t>New York : Holt, Rinehart and Winston, c1976.</t>
        </is>
      </c>
      <c r="O201" t="inlineStr">
        <is>
          <t>1976</t>
        </is>
      </c>
      <c r="Q201" t="inlineStr">
        <is>
          <t>eng</t>
        </is>
      </c>
      <c r="R201" t="inlineStr">
        <is>
          <t>nyu</t>
        </is>
      </c>
      <c r="T201" t="inlineStr">
        <is>
          <t xml:space="preserve">CC </t>
        </is>
      </c>
      <c r="U201" t="n">
        <v>2</v>
      </c>
      <c r="V201" t="n">
        <v>2</v>
      </c>
      <c r="W201" t="inlineStr">
        <is>
          <t>2002-07-26</t>
        </is>
      </c>
      <c r="X201" t="inlineStr">
        <is>
          <t>2002-07-26</t>
        </is>
      </c>
      <c r="Y201" t="inlineStr">
        <is>
          <t>1996-08-20</t>
        </is>
      </c>
      <c r="Z201" t="inlineStr">
        <is>
          <t>1996-08-20</t>
        </is>
      </c>
      <c r="AA201" t="n">
        <v>213</v>
      </c>
      <c r="AB201" t="n">
        <v>147</v>
      </c>
      <c r="AC201" t="n">
        <v>202</v>
      </c>
      <c r="AD201" t="n">
        <v>2</v>
      </c>
      <c r="AE201" t="n">
        <v>2</v>
      </c>
      <c r="AF201" t="n">
        <v>4</v>
      </c>
      <c r="AG201" t="n">
        <v>5</v>
      </c>
      <c r="AH201" t="n">
        <v>1</v>
      </c>
      <c r="AI201" t="n">
        <v>2</v>
      </c>
      <c r="AJ201" t="n">
        <v>1</v>
      </c>
      <c r="AK201" t="n">
        <v>1</v>
      </c>
      <c r="AL201" t="n">
        <v>2</v>
      </c>
      <c r="AM201" t="n">
        <v>2</v>
      </c>
      <c r="AN201" t="n">
        <v>1</v>
      </c>
      <c r="AO201" t="n">
        <v>1</v>
      </c>
      <c r="AP201" t="n">
        <v>0</v>
      </c>
      <c r="AQ201" t="n">
        <v>0</v>
      </c>
      <c r="AR201" t="inlineStr">
        <is>
          <t>No</t>
        </is>
      </c>
      <c r="AS201" t="inlineStr">
        <is>
          <t>Yes</t>
        </is>
      </c>
      <c r="AT201">
        <f>HYPERLINK("http://catalog.hathitrust.org/Record/010593866","HathiTrust Record")</f>
        <v/>
      </c>
      <c r="AU201">
        <f>HYPERLINK("https://creighton-primo.hosted.exlibrisgroup.com/primo-explore/search?tab=default_tab&amp;search_scope=EVERYTHING&amp;vid=01CRU&amp;lang=en_US&amp;offset=0&amp;query=any,contains,991003598909702656","Catalog Record")</f>
        <v/>
      </c>
      <c r="AV201">
        <f>HYPERLINK("http://www.worldcat.org/oclc/1176788","WorldCat Record")</f>
        <v/>
      </c>
      <c r="AW201" t="inlineStr">
        <is>
          <t>401722:eng</t>
        </is>
      </c>
      <c r="AX201" t="inlineStr">
        <is>
          <t>1176788</t>
        </is>
      </c>
      <c r="AY201" t="inlineStr">
        <is>
          <t>991003598909702656</t>
        </is>
      </c>
      <c r="AZ201" t="inlineStr">
        <is>
          <t>991003598909702656</t>
        </is>
      </c>
      <c r="BA201" t="inlineStr">
        <is>
          <t>2269586300002656</t>
        </is>
      </c>
      <c r="BB201" t="inlineStr">
        <is>
          <t>BOOK</t>
        </is>
      </c>
      <c r="BD201" t="inlineStr">
        <is>
          <t>9780030801792</t>
        </is>
      </c>
      <c r="BE201" t="inlineStr">
        <is>
          <t>32285002277217</t>
        </is>
      </c>
      <c r="BF201" t="inlineStr">
        <is>
          <t>893799920</t>
        </is>
      </c>
    </row>
    <row r="202">
      <c r="B202" t="inlineStr">
        <is>
          <t>CURAL</t>
        </is>
      </c>
      <c r="C202" t="inlineStr">
        <is>
          <t>SHELVES</t>
        </is>
      </c>
      <c r="D202" t="inlineStr">
        <is>
          <t>CC165 .M37 1999</t>
        </is>
      </c>
      <c r="E202" t="inlineStr">
        <is>
          <t>0                      CC 0165000M  37          1999</t>
        </is>
      </c>
      <c r="F202" t="inlineStr">
        <is>
          <t>The practical archaeologist : how we know what we know about the past / Jane McIntosh.</t>
        </is>
      </c>
      <c r="H202" t="inlineStr">
        <is>
          <t>No</t>
        </is>
      </c>
      <c r="I202" t="inlineStr">
        <is>
          <t>1</t>
        </is>
      </c>
      <c r="J202" t="inlineStr">
        <is>
          <t>No</t>
        </is>
      </c>
      <c r="K202" t="inlineStr">
        <is>
          <t>No</t>
        </is>
      </c>
      <c r="L202" t="inlineStr">
        <is>
          <t>0</t>
        </is>
      </c>
      <c r="M202" t="inlineStr">
        <is>
          <t>McIntosh, Jane.</t>
        </is>
      </c>
      <c r="N202" t="inlineStr">
        <is>
          <t>New York : Facts On File, c1999.</t>
        </is>
      </c>
      <c r="O202" t="inlineStr">
        <is>
          <t>1999</t>
        </is>
      </c>
      <c r="P202" t="inlineStr">
        <is>
          <t>2nd ed.</t>
        </is>
      </c>
      <c r="Q202" t="inlineStr">
        <is>
          <t>eng</t>
        </is>
      </c>
      <c r="R202" t="inlineStr">
        <is>
          <t>nyu</t>
        </is>
      </c>
      <c r="T202" t="inlineStr">
        <is>
          <t xml:space="preserve">CC </t>
        </is>
      </c>
      <c r="U202" t="n">
        <v>1</v>
      </c>
      <c r="V202" t="n">
        <v>1</v>
      </c>
      <c r="W202" t="inlineStr">
        <is>
          <t>2008-07-02</t>
        </is>
      </c>
      <c r="X202" t="inlineStr">
        <is>
          <t>2008-07-02</t>
        </is>
      </c>
      <c r="Y202" t="inlineStr">
        <is>
          <t>2008-06-11</t>
        </is>
      </c>
      <c r="Z202" t="inlineStr">
        <is>
          <t>2008-06-11</t>
        </is>
      </c>
      <c r="AA202" t="n">
        <v>515</v>
      </c>
      <c r="AB202" t="n">
        <v>479</v>
      </c>
      <c r="AC202" t="n">
        <v>1352</v>
      </c>
      <c r="AD202" t="n">
        <v>4</v>
      </c>
      <c r="AE202" t="n">
        <v>9</v>
      </c>
      <c r="AF202" t="n">
        <v>9</v>
      </c>
      <c r="AG202" t="n">
        <v>20</v>
      </c>
      <c r="AH202" t="n">
        <v>3</v>
      </c>
      <c r="AI202" t="n">
        <v>7</v>
      </c>
      <c r="AJ202" t="n">
        <v>1</v>
      </c>
      <c r="AK202" t="n">
        <v>4</v>
      </c>
      <c r="AL202" t="n">
        <v>5</v>
      </c>
      <c r="AM202" t="n">
        <v>10</v>
      </c>
      <c r="AN202" t="n">
        <v>2</v>
      </c>
      <c r="AO202" t="n">
        <v>4</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HYPERLINK("https://creighton-primo.hosted.exlibrisgroup.com/primo-explore/search?tab=default_tab&amp;search_scope=EVERYTHING&amp;vid=01CRU&amp;lang=en_US&amp;offset=0&amp;query=any,contains,991005234119702656","Catalog Record")</f>
        <v/>
      </c>
      <c r="AV202">
        <f>HYPERLINK("http://www.worldcat.org/oclc/40143025","WorldCat Record")</f>
        <v/>
      </c>
      <c r="AW202" t="inlineStr">
        <is>
          <t>5645395:eng</t>
        </is>
      </c>
      <c r="AX202" t="inlineStr">
        <is>
          <t>40143025</t>
        </is>
      </c>
      <c r="AY202" t="inlineStr">
        <is>
          <t>991005234119702656</t>
        </is>
      </c>
      <c r="AZ202" t="inlineStr">
        <is>
          <t>991005234119702656</t>
        </is>
      </c>
      <c r="BA202" t="inlineStr">
        <is>
          <t>2261071720002656</t>
        </is>
      </c>
      <c r="BB202" t="inlineStr">
        <is>
          <t>BOOK</t>
        </is>
      </c>
      <c r="BD202" t="inlineStr">
        <is>
          <t>9780816039500</t>
        </is>
      </c>
      <c r="BE202" t="inlineStr">
        <is>
          <t>32285005444608</t>
        </is>
      </c>
      <c r="BF202" t="inlineStr">
        <is>
          <t>893236522</t>
        </is>
      </c>
    </row>
    <row r="203">
      <c r="B203" t="inlineStr">
        <is>
          <t>CURAL</t>
        </is>
      </c>
      <c r="C203" t="inlineStr">
        <is>
          <t>SHELVES</t>
        </is>
      </c>
      <c r="D203" t="inlineStr">
        <is>
          <t>CC175 .C63 2009</t>
        </is>
      </c>
      <c r="E203" t="inlineStr">
        <is>
          <t>0                      CC 0175000C  63          2009</t>
        </is>
      </c>
      <c r="F203" t="inlineStr">
        <is>
          <t>Cognitive archaeology and human evolution / edited by Sophie A. de Beaune, Frederick L. Coolidge, Thomas Wynn.</t>
        </is>
      </c>
      <c r="H203" t="inlineStr">
        <is>
          <t>No</t>
        </is>
      </c>
      <c r="I203" t="inlineStr">
        <is>
          <t>1</t>
        </is>
      </c>
      <c r="J203" t="inlineStr">
        <is>
          <t>No</t>
        </is>
      </c>
      <c r="K203" t="inlineStr">
        <is>
          <t>No</t>
        </is>
      </c>
      <c r="L203" t="inlineStr">
        <is>
          <t>0</t>
        </is>
      </c>
      <c r="N203" t="inlineStr">
        <is>
          <t>New York : Cambridge University Press, 2009.</t>
        </is>
      </c>
      <c r="O203" t="inlineStr">
        <is>
          <t>2009</t>
        </is>
      </c>
      <c r="Q203" t="inlineStr">
        <is>
          <t>eng</t>
        </is>
      </c>
      <c r="R203" t="inlineStr">
        <is>
          <t>nyu</t>
        </is>
      </c>
      <c r="T203" t="inlineStr">
        <is>
          <t xml:space="preserve">CC </t>
        </is>
      </c>
      <c r="U203" t="n">
        <v>2</v>
      </c>
      <c r="V203" t="n">
        <v>2</v>
      </c>
      <c r="W203" t="inlineStr">
        <is>
          <t>2009-09-22</t>
        </is>
      </c>
      <c r="X203" t="inlineStr">
        <is>
          <t>2009-09-22</t>
        </is>
      </c>
      <c r="Y203" t="inlineStr">
        <is>
          <t>2009-09-22</t>
        </is>
      </c>
      <c r="Z203" t="inlineStr">
        <is>
          <t>2009-09-22</t>
        </is>
      </c>
      <c r="AA203" t="n">
        <v>226</v>
      </c>
      <c r="AB203" t="n">
        <v>153</v>
      </c>
      <c r="AC203" t="n">
        <v>154</v>
      </c>
      <c r="AD203" t="n">
        <v>2</v>
      </c>
      <c r="AE203" t="n">
        <v>2</v>
      </c>
      <c r="AF203" t="n">
        <v>8</v>
      </c>
      <c r="AG203" t="n">
        <v>8</v>
      </c>
      <c r="AH203" t="n">
        <v>2</v>
      </c>
      <c r="AI203" t="n">
        <v>2</v>
      </c>
      <c r="AJ203" t="n">
        <v>2</v>
      </c>
      <c r="AK203" t="n">
        <v>2</v>
      </c>
      <c r="AL203" t="n">
        <v>5</v>
      </c>
      <c r="AM203" t="n">
        <v>5</v>
      </c>
      <c r="AN203" t="n">
        <v>1</v>
      </c>
      <c r="AO203" t="n">
        <v>1</v>
      </c>
      <c r="AP203" t="n">
        <v>0</v>
      </c>
      <c r="AQ203" t="n">
        <v>0</v>
      </c>
      <c r="AR203" t="inlineStr">
        <is>
          <t>No</t>
        </is>
      </c>
      <c r="AS203" t="inlineStr">
        <is>
          <t>No</t>
        </is>
      </c>
      <c r="AU203">
        <f>HYPERLINK("https://creighton-primo.hosted.exlibrisgroup.com/primo-explore/search?tab=default_tab&amp;search_scope=EVERYTHING&amp;vid=01CRU&amp;lang=en_US&amp;offset=0&amp;query=any,contains,991005330509702656","Catalog Record")</f>
        <v/>
      </c>
      <c r="AV203">
        <f>HYPERLINK("http://www.worldcat.org/oclc/291908007","WorldCat Record")</f>
        <v/>
      </c>
      <c r="AW203" t="inlineStr">
        <is>
          <t>346978387:eng</t>
        </is>
      </c>
      <c r="AX203" t="inlineStr">
        <is>
          <t>291908007</t>
        </is>
      </c>
      <c r="AY203" t="inlineStr">
        <is>
          <t>991005330509702656</t>
        </is>
      </c>
      <c r="AZ203" t="inlineStr">
        <is>
          <t>991005330509702656</t>
        </is>
      </c>
      <c r="BA203" t="inlineStr">
        <is>
          <t>2269706770002656</t>
        </is>
      </c>
      <c r="BB203" t="inlineStr">
        <is>
          <t>BOOK</t>
        </is>
      </c>
      <c r="BD203" t="inlineStr">
        <is>
          <t>9780521746113</t>
        </is>
      </c>
      <c r="BE203" t="inlineStr">
        <is>
          <t>32285005544951</t>
        </is>
      </c>
      <c r="BF203" t="inlineStr">
        <is>
          <t>893507978</t>
        </is>
      </c>
    </row>
    <row r="204">
      <c r="B204" t="inlineStr">
        <is>
          <t>CURAL</t>
        </is>
      </c>
      <c r="C204" t="inlineStr">
        <is>
          <t>SHELVES</t>
        </is>
      </c>
      <c r="D204" t="inlineStr">
        <is>
          <t>CC175 .H65 2007</t>
        </is>
      </c>
      <c r="E204" t="inlineStr">
        <is>
          <t>0                      CC 0175000H  65          2007</t>
        </is>
      </c>
      <c r="F204" t="inlineStr">
        <is>
          <t>Archaeology is a brand : the meaning of archaeology in contemporary popular culture / Cornelius Holtorf ; illustrated by Quentin Drew.</t>
        </is>
      </c>
      <c r="H204" t="inlineStr">
        <is>
          <t>No</t>
        </is>
      </c>
      <c r="I204" t="inlineStr">
        <is>
          <t>1</t>
        </is>
      </c>
      <c r="J204" t="inlineStr">
        <is>
          <t>No</t>
        </is>
      </c>
      <c r="K204" t="inlineStr">
        <is>
          <t>No</t>
        </is>
      </c>
      <c r="L204" t="inlineStr">
        <is>
          <t>0</t>
        </is>
      </c>
      <c r="M204" t="inlineStr">
        <is>
          <t>Holtorf, Cornelius, 1968-</t>
        </is>
      </c>
      <c r="N204" t="inlineStr">
        <is>
          <t>Walnut Creek, CA : Left Coast Press, c2007.</t>
        </is>
      </c>
      <c r="O204" t="inlineStr">
        <is>
          <t>2007</t>
        </is>
      </c>
      <c r="Q204" t="inlineStr">
        <is>
          <t>eng</t>
        </is>
      </c>
      <c r="R204" t="inlineStr">
        <is>
          <t>cau</t>
        </is>
      </c>
      <c r="T204" t="inlineStr">
        <is>
          <t xml:space="preserve">CC </t>
        </is>
      </c>
      <c r="U204" t="n">
        <v>1</v>
      </c>
      <c r="V204" t="n">
        <v>1</v>
      </c>
      <c r="W204" t="inlineStr">
        <is>
          <t>2007-10-28</t>
        </is>
      </c>
      <c r="X204" t="inlineStr">
        <is>
          <t>2007-10-28</t>
        </is>
      </c>
      <c r="Y204" t="inlineStr">
        <is>
          <t>2007-10-28</t>
        </is>
      </c>
      <c r="Z204" t="inlineStr">
        <is>
          <t>2007-10-28</t>
        </is>
      </c>
      <c r="AA204" t="n">
        <v>238</v>
      </c>
      <c r="AB204" t="n">
        <v>189</v>
      </c>
      <c r="AC204" t="n">
        <v>231</v>
      </c>
      <c r="AD204" t="n">
        <v>1</v>
      </c>
      <c r="AE204" t="n">
        <v>1</v>
      </c>
      <c r="AF204" t="n">
        <v>4</v>
      </c>
      <c r="AG204" t="n">
        <v>5</v>
      </c>
      <c r="AH204" t="n">
        <v>3</v>
      </c>
      <c r="AI204" t="n">
        <v>3</v>
      </c>
      <c r="AJ204" t="n">
        <v>0</v>
      </c>
      <c r="AK204" t="n">
        <v>1</v>
      </c>
      <c r="AL204" t="n">
        <v>2</v>
      </c>
      <c r="AM204" t="n">
        <v>3</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HYPERLINK("https://creighton-primo.hosted.exlibrisgroup.com/primo-explore/search?tab=default_tab&amp;search_scope=EVERYTHING&amp;vid=01CRU&amp;lang=en_US&amp;offset=0&amp;query=any,contains,991005116919702656","Catalog Record")</f>
        <v/>
      </c>
      <c r="AV204">
        <f>HYPERLINK("http://www.worldcat.org/oclc/80019912","WorldCat Record")</f>
        <v/>
      </c>
      <c r="AW204" t="inlineStr">
        <is>
          <t>891109834:eng</t>
        </is>
      </c>
      <c r="AX204" t="inlineStr">
        <is>
          <t>80019912</t>
        </is>
      </c>
      <c r="AY204" t="inlineStr">
        <is>
          <t>991005116919702656</t>
        </is>
      </c>
      <c r="AZ204" t="inlineStr">
        <is>
          <t>991005116919702656</t>
        </is>
      </c>
      <c r="BA204" t="inlineStr">
        <is>
          <t>2258096930002656</t>
        </is>
      </c>
      <c r="BB204" t="inlineStr">
        <is>
          <t>BOOK</t>
        </is>
      </c>
      <c r="BD204" t="inlineStr">
        <is>
          <t>9781598741797</t>
        </is>
      </c>
      <c r="BE204" t="inlineStr">
        <is>
          <t>32285005361919</t>
        </is>
      </c>
      <c r="BF204" t="inlineStr">
        <is>
          <t>893533203</t>
        </is>
      </c>
    </row>
    <row r="205">
      <c r="B205" t="inlineStr">
        <is>
          <t>CURAL</t>
        </is>
      </c>
      <c r="C205" t="inlineStr">
        <is>
          <t>SHELVES</t>
        </is>
      </c>
      <c r="D205" t="inlineStr">
        <is>
          <t>CC314.A2 H37 1994</t>
        </is>
      </c>
      <c r="E205" t="inlineStr">
        <is>
          <t>0                      CC 0314000A  2                  H  37          1994</t>
        </is>
      </c>
      <c r="F205" t="inlineStr">
        <is>
          <t>Irish high crosses : with the figure sculptures explained / Peter Harbison.</t>
        </is>
      </c>
      <c r="H205" t="inlineStr">
        <is>
          <t>No</t>
        </is>
      </c>
      <c r="I205" t="inlineStr">
        <is>
          <t>1</t>
        </is>
      </c>
      <c r="J205" t="inlineStr">
        <is>
          <t>No</t>
        </is>
      </c>
      <c r="K205" t="inlineStr">
        <is>
          <t>No</t>
        </is>
      </c>
      <c r="L205" t="inlineStr">
        <is>
          <t>0</t>
        </is>
      </c>
      <c r="M205" t="inlineStr">
        <is>
          <t>Harbison, Peter.</t>
        </is>
      </c>
      <c r="N205" t="inlineStr">
        <is>
          <t>Drogheda : Boyne Valley Honey Company, 1994.</t>
        </is>
      </c>
      <c r="O205" t="inlineStr">
        <is>
          <t>1994</t>
        </is>
      </c>
      <c r="Q205" t="inlineStr">
        <is>
          <t>eng</t>
        </is>
      </c>
      <c r="R205" t="inlineStr">
        <is>
          <t xml:space="preserve">ie </t>
        </is>
      </c>
      <c r="T205" t="inlineStr">
        <is>
          <t xml:space="preserve">CC </t>
        </is>
      </c>
      <c r="U205" t="n">
        <v>6</v>
      </c>
      <c r="V205" t="n">
        <v>6</v>
      </c>
      <c r="W205" t="inlineStr">
        <is>
          <t>1998-08-29</t>
        </is>
      </c>
      <c r="X205" t="inlineStr">
        <is>
          <t>1998-08-29</t>
        </is>
      </c>
      <c r="Y205" t="inlineStr">
        <is>
          <t>1995-05-15</t>
        </is>
      </c>
      <c r="Z205" t="inlineStr">
        <is>
          <t>1995-05-15</t>
        </is>
      </c>
      <c r="AA205" t="n">
        <v>120</v>
      </c>
      <c r="AB205" t="n">
        <v>94</v>
      </c>
      <c r="AC205" t="n">
        <v>101</v>
      </c>
      <c r="AD205" t="n">
        <v>3</v>
      </c>
      <c r="AE205" t="n">
        <v>3</v>
      </c>
      <c r="AF205" t="n">
        <v>11</v>
      </c>
      <c r="AG205" t="n">
        <v>11</v>
      </c>
      <c r="AH205" t="n">
        <v>3</v>
      </c>
      <c r="AI205" t="n">
        <v>3</v>
      </c>
      <c r="AJ205" t="n">
        <v>3</v>
      </c>
      <c r="AK205" t="n">
        <v>3</v>
      </c>
      <c r="AL205" t="n">
        <v>7</v>
      </c>
      <c r="AM205" t="n">
        <v>7</v>
      </c>
      <c r="AN205" t="n">
        <v>2</v>
      </c>
      <c r="AO205" t="n">
        <v>2</v>
      </c>
      <c r="AP205" t="n">
        <v>0</v>
      </c>
      <c r="AQ205" t="n">
        <v>0</v>
      </c>
      <c r="AR205" t="inlineStr">
        <is>
          <t>No</t>
        </is>
      </c>
      <c r="AS205" t="inlineStr">
        <is>
          <t>Yes</t>
        </is>
      </c>
      <c r="AT205">
        <f>HYPERLINK("http://catalog.hathitrust.org/Record/002985742","HathiTrust Record")</f>
        <v/>
      </c>
      <c r="AU205">
        <f>HYPERLINK("https://creighton-primo.hosted.exlibrisgroup.com/primo-explore/search?tab=default_tab&amp;search_scope=EVERYTHING&amp;vid=01CRU&amp;lang=en_US&amp;offset=0&amp;query=any,contains,991002448249702656","Catalog Record")</f>
        <v/>
      </c>
      <c r="AV205">
        <f>HYPERLINK("http://www.worldcat.org/oclc/31925760","WorldCat Record")</f>
        <v/>
      </c>
      <c r="AW205" t="inlineStr">
        <is>
          <t>372229328:eng</t>
        </is>
      </c>
      <c r="AX205" t="inlineStr">
        <is>
          <t>31925760</t>
        </is>
      </c>
      <c r="AY205" t="inlineStr">
        <is>
          <t>991002448249702656</t>
        </is>
      </c>
      <c r="AZ205" t="inlineStr">
        <is>
          <t>991002448249702656</t>
        </is>
      </c>
      <c r="BA205" t="inlineStr">
        <is>
          <t>2261583840002656</t>
        </is>
      </c>
      <c r="BB205" t="inlineStr">
        <is>
          <t>BOOK</t>
        </is>
      </c>
      <c r="BD205" t="inlineStr">
        <is>
          <t>9780951782378</t>
        </is>
      </c>
      <c r="BE205" t="inlineStr">
        <is>
          <t>32285002045267</t>
        </is>
      </c>
      <c r="BF205" t="inlineStr">
        <is>
          <t>893591358</t>
        </is>
      </c>
    </row>
    <row r="206">
      <c r="B206" t="inlineStr">
        <is>
          <t>CURAL</t>
        </is>
      </c>
      <c r="C206" t="inlineStr">
        <is>
          <t>SHELVES</t>
        </is>
      </c>
      <c r="D206" t="inlineStr">
        <is>
          <t>CC65 .A67 1973</t>
        </is>
      </c>
      <c r="E206" t="inlineStr">
        <is>
          <t>0                      CC 0065000A  67          1973</t>
        </is>
      </c>
      <c r="F206" t="inlineStr">
        <is>
          <t>Archaeological theory and practice / edited by D. E. Strong.</t>
        </is>
      </c>
      <c r="H206" t="inlineStr">
        <is>
          <t>No</t>
        </is>
      </c>
      <c r="I206" t="inlineStr">
        <is>
          <t>1</t>
        </is>
      </c>
      <c r="J206" t="inlineStr">
        <is>
          <t>No</t>
        </is>
      </c>
      <c r="K206" t="inlineStr">
        <is>
          <t>No</t>
        </is>
      </c>
      <c r="L206" t="inlineStr">
        <is>
          <t>0</t>
        </is>
      </c>
      <c r="N206" t="inlineStr">
        <is>
          <t>London ; New York : Seminar Press, 1973.</t>
        </is>
      </c>
      <c r="O206" t="inlineStr">
        <is>
          <t>1973</t>
        </is>
      </c>
      <c r="Q206" t="inlineStr">
        <is>
          <t>eng</t>
        </is>
      </c>
      <c r="R206" t="inlineStr">
        <is>
          <t>enk</t>
        </is>
      </c>
      <c r="T206" t="inlineStr">
        <is>
          <t xml:space="preserve">CC </t>
        </is>
      </c>
      <c r="U206" t="n">
        <v>2</v>
      </c>
      <c r="V206" t="n">
        <v>2</v>
      </c>
      <c r="W206" t="inlineStr">
        <is>
          <t>2007-04-10</t>
        </is>
      </c>
      <c r="X206" t="inlineStr">
        <is>
          <t>2007-04-10</t>
        </is>
      </c>
      <c r="Y206" t="inlineStr">
        <is>
          <t>1992-06-03</t>
        </is>
      </c>
      <c r="Z206" t="inlineStr">
        <is>
          <t>1992-06-03</t>
        </is>
      </c>
      <c r="AA206" t="n">
        <v>395</v>
      </c>
      <c r="AB206" t="n">
        <v>259</v>
      </c>
      <c r="AC206" t="n">
        <v>260</v>
      </c>
      <c r="AD206" t="n">
        <v>1</v>
      </c>
      <c r="AE206" t="n">
        <v>1</v>
      </c>
      <c r="AF206" t="n">
        <v>5</v>
      </c>
      <c r="AG206" t="n">
        <v>5</v>
      </c>
      <c r="AH206" t="n">
        <v>1</v>
      </c>
      <c r="AI206" t="n">
        <v>1</v>
      </c>
      <c r="AJ206" t="n">
        <v>1</v>
      </c>
      <c r="AK206" t="n">
        <v>1</v>
      </c>
      <c r="AL206" t="n">
        <v>3</v>
      </c>
      <c r="AM206" t="n">
        <v>3</v>
      </c>
      <c r="AN206" t="n">
        <v>0</v>
      </c>
      <c r="AO206" t="n">
        <v>0</v>
      </c>
      <c r="AP206" t="n">
        <v>0</v>
      </c>
      <c r="AQ206" t="n">
        <v>0</v>
      </c>
      <c r="AR206" t="inlineStr">
        <is>
          <t>No</t>
        </is>
      </c>
      <c r="AS206" t="inlineStr">
        <is>
          <t>Yes</t>
        </is>
      </c>
      <c r="AT206">
        <f>HYPERLINK("http://catalog.hathitrust.org/Record/001595874","HathiTrust Record")</f>
        <v/>
      </c>
      <c r="AU206">
        <f>HYPERLINK("https://creighton-primo.hosted.exlibrisgroup.com/primo-explore/search?tab=default_tab&amp;search_scope=EVERYTHING&amp;vid=01CRU&amp;lang=en_US&amp;offset=0&amp;query=any,contains,991003220049702656","Catalog Record")</f>
        <v/>
      </c>
      <c r="AV206">
        <f>HYPERLINK("http://www.worldcat.org/oclc/745849","WorldCat Record")</f>
        <v/>
      </c>
      <c r="AW206" t="inlineStr">
        <is>
          <t>1823269:eng</t>
        </is>
      </c>
      <c r="AX206" t="inlineStr">
        <is>
          <t>745849</t>
        </is>
      </c>
      <c r="AY206" t="inlineStr">
        <is>
          <t>991003220049702656</t>
        </is>
      </c>
      <c r="AZ206" t="inlineStr">
        <is>
          <t>991003220049702656</t>
        </is>
      </c>
      <c r="BA206" t="inlineStr">
        <is>
          <t>2268882450002656</t>
        </is>
      </c>
      <c r="BB206" t="inlineStr">
        <is>
          <t>BOOK</t>
        </is>
      </c>
      <c r="BD206" t="inlineStr">
        <is>
          <t>9780129140504</t>
        </is>
      </c>
      <c r="BE206" t="inlineStr">
        <is>
          <t>32285001144137</t>
        </is>
      </c>
      <c r="BF206" t="inlineStr">
        <is>
          <t>893410038</t>
        </is>
      </c>
    </row>
    <row r="207">
      <c r="B207" t="inlineStr">
        <is>
          <t>CURAL</t>
        </is>
      </c>
      <c r="C207" t="inlineStr">
        <is>
          <t>SHELVES</t>
        </is>
      </c>
      <c r="D207" t="inlineStr">
        <is>
          <t>CC72 .S24 1982</t>
        </is>
      </c>
      <c r="E207" t="inlineStr">
        <is>
          <t>0                      CC 0072000S  24          1982</t>
        </is>
      </c>
      <c r="F207" t="inlineStr">
        <is>
          <t>Philosophy and archaeology / Merrilee H. Salmon.</t>
        </is>
      </c>
      <c r="H207" t="inlineStr">
        <is>
          <t>No</t>
        </is>
      </c>
      <c r="I207" t="inlineStr">
        <is>
          <t>1</t>
        </is>
      </c>
      <c r="J207" t="inlineStr">
        <is>
          <t>No</t>
        </is>
      </c>
      <c r="K207" t="inlineStr">
        <is>
          <t>No</t>
        </is>
      </c>
      <c r="L207" t="inlineStr">
        <is>
          <t>0</t>
        </is>
      </c>
      <c r="M207" t="inlineStr">
        <is>
          <t>Salmon, Merrilee H.</t>
        </is>
      </c>
      <c r="N207" t="inlineStr">
        <is>
          <t>New York, N.Y. : Academic Press, 1982.</t>
        </is>
      </c>
      <c r="O207" t="inlineStr">
        <is>
          <t>1982</t>
        </is>
      </c>
      <c r="Q207" t="inlineStr">
        <is>
          <t>eng</t>
        </is>
      </c>
      <c r="R207" t="inlineStr">
        <is>
          <t>nyu</t>
        </is>
      </c>
      <c r="S207" t="inlineStr">
        <is>
          <t>Studies in archaeology</t>
        </is>
      </c>
      <c r="T207" t="inlineStr">
        <is>
          <t xml:space="preserve">CC </t>
        </is>
      </c>
      <c r="U207" t="n">
        <v>4</v>
      </c>
      <c r="V207" t="n">
        <v>4</v>
      </c>
      <c r="W207" t="inlineStr">
        <is>
          <t>1996-10-08</t>
        </is>
      </c>
      <c r="X207" t="inlineStr">
        <is>
          <t>1996-10-08</t>
        </is>
      </c>
      <c r="Y207" t="inlineStr">
        <is>
          <t>1992-06-03</t>
        </is>
      </c>
      <c r="Z207" t="inlineStr">
        <is>
          <t>1992-06-03</t>
        </is>
      </c>
      <c r="AA207" t="n">
        <v>428</v>
      </c>
      <c r="AB207" t="n">
        <v>312</v>
      </c>
      <c r="AC207" t="n">
        <v>349</v>
      </c>
      <c r="AD207" t="n">
        <v>3</v>
      </c>
      <c r="AE207" t="n">
        <v>4</v>
      </c>
      <c r="AF207" t="n">
        <v>7</v>
      </c>
      <c r="AG207" t="n">
        <v>11</v>
      </c>
      <c r="AH207" t="n">
        <v>2</v>
      </c>
      <c r="AI207" t="n">
        <v>4</v>
      </c>
      <c r="AJ207" t="n">
        <v>2</v>
      </c>
      <c r="AK207" t="n">
        <v>4</v>
      </c>
      <c r="AL207" t="n">
        <v>3</v>
      </c>
      <c r="AM207" t="n">
        <v>3</v>
      </c>
      <c r="AN207" t="n">
        <v>2</v>
      </c>
      <c r="AO207" t="n">
        <v>3</v>
      </c>
      <c r="AP207" t="n">
        <v>0</v>
      </c>
      <c r="AQ207" t="n">
        <v>0</v>
      </c>
      <c r="AR207" t="inlineStr">
        <is>
          <t>No</t>
        </is>
      </c>
      <c r="AS207" t="inlineStr">
        <is>
          <t>Yes</t>
        </is>
      </c>
      <c r="AT207">
        <f>HYPERLINK("http://catalog.hathitrust.org/Record/000310757","HathiTrust Record")</f>
        <v/>
      </c>
      <c r="AU207">
        <f>HYPERLINK("https://creighton-primo.hosted.exlibrisgroup.com/primo-explore/search?tab=default_tab&amp;search_scope=EVERYTHING&amp;vid=01CRU&amp;lang=en_US&amp;offset=0&amp;query=any,contains,991005252379702656","Catalog Record")</f>
        <v/>
      </c>
      <c r="AV207">
        <f>HYPERLINK("http://www.worldcat.org/oclc/8495099","WorldCat Record")</f>
        <v/>
      </c>
      <c r="AW207" t="inlineStr">
        <is>
          <t>32096570:eng</t>
        </is>
      </c>
      <c r="AX207" t="inlineStr">
        <is>
          <t>8495099</t>
        </is>
      </c>
      <c r="AY207" t="inlineStr">
        <is>
          <t>991005252379702656</t>
        </is>
      </c>
      <c r="AZ207" t="inlineStr">
        <is>
          <t>991005252379702656</t>
        </is>
      </c>
      <c r="BA207" t="inlineStr">
        <is>
          <t>2260647570002656</t>
        </is>
      </c>
      <c r="BB207" t="inlineStr">
        <is>
          <t>BOOK</t>
        </is>
      </c>
      <c r="BD207" t="inlineStr">
        <is>
          <t>9780126156508</t>
        </is>
      </c>
      <c r="BE207" t="inlineStr">
        <is>
          <t>32285001144145</t>
        </is>
      </c>
      <c r="BF207" t="inlineStr">
        <is>
          <t>893777106</t>
        </is>
      </c>
    </row>
    <row r="208">
      <c r="B208" t="inlineStr">
        <is>
          <t>CURAL</t>
        </is>
      </c>
      <c r="C208" t="inlineStr">
        <is>
          <t>SHELVES</t>
        </is>
      </c>
      <c r="D208" t="inlineStr">
        <is>
          <t>CC72.4 .A743 2008</t>
        </is>
      </c>
      <c r="E208" t="inlineStr">
        <is>
          <t>0                      CC 0072400A  743         2008</t>
        </is>
      </c>
      <c r="F208" t="inlineStr">
        <is>
          <t>Are all warriors male? : gender roles on the ancient Eurasian Steppe / edited by Katheryn M. Linduff and Karen S. Rubinson.</t>
        </is>
      </c>
      <c r="H208" t="inlineStr">
        <is>
          <t>No</t>
        </is>
      </c>
      <c r="I208" t="inlineStr">
        <is>
          <t>1</t>
        </is>
      </c>
      <c r="J208" t="inlineStr">
        <is>
          <t>No</t>
        </is>
      </c>
      <c r="K208" t="inlineStr">
        <is>
          <t>No</t>
        </is>
      </c>
      <c r="L208" t="inlineStr">
        <is>
          <t>0</t>
        </is>
      </c>
      <c r="N208" t="inlineStr">
        <is>
          <t>Lanham : AltaMira Press, c2008.</t>
        </is>
      </c>
      <c r="O208" t="inlineStr">
        <is>
          <t>2008</t>
        </is>
      </c>
      <c r="Q208" t="inlineStr">
        <is>
          <t>eng</t>
        </is>
      </c>
      <c r="R208" t="inlineStr">
        <is>
          <t>mdu</t>
        </is>
      </c>
      <c r="S208" t="inlineStr">
        <is>
          <t>Gender and archaeology series ; v. 17</t>
        </is>
      </c>
      <c r="T208" t="inlineStr">
        <is>
          <t xml:space="preserve">CC </t>
        </is>
      </c>
      <c r="U208" t="n">
        <v>2</v>
      </c>
      <c r="V208" t="n">
        <v>2</v>
      </c>
      <c r="W208" t="inlineStr">
        <is>
          <t>2008-04-30</t>
        </is>
      </c>
      <c r="X208" t="inlineStr">
        <is>
          <t>2008-04-30</t>
        </is>
      </c>
      <c r="Y208" t="inlineStr">
        <is>
          <t>2008-04-15</t>
        </is>
      </c>
      <c r="Z208" t="inlineStr">
        <is>
          <t>2008-04-15</t>
        </is>
      </c>
      <c r="AA208" t="n">
        <v>224</v>
      </c>
      <c r="AB208" t="n">
        <v>186</v>
      </c>
      <c r="AC208" t="n">
        <v>203</v>
      </c>
      <c r="AD208" t="n">
        <v>2</v>
      </c>
      <c r="AE208" t="n">
        <v>2</v>
      </c>
      <c r="AF208" t="n">
        <v>6</v>
      </c>
      <c r="AG208" t="n">
        <v>7</v>
      </c>
      <c r="AH208" t="n">
        <v>2</v>
      </c>
      <c r="AI208" t="n">
        <v>3</v>
      </c>
      <c r="AJ208" t="n">
        <v>2</v>
      </c>
      <c r="AK208" t="n">
        <v>3</v>
      </c>
      <c r="AL208" t="n">
        <v>4</v>
      </c>
      <c r="AM208" t="n">
        <v>4</v>
      </c>
      <c r="AN208" t="n">
        <v>1</v>
      </c>
      <c r="AO208" t="n">
        <v>1</v>
      </c>
      <c r="AP208" t="n">
        <v>0</v>
      </c>
      <c r="AQ208" t="n">
        <v>0</v>
      </c>
      <c r="AR208" t="inlineStr">
        <is>
          <t>No</t>
        </is>
      </c>
      <c r="AS208" t="inlineStr">
        <is>
          <t>Yes</t>
        </is>
      </c>
      <c r="AT208">
        <f>HYPERLINK("http://catalog.hathitrust.org/Record/005679424","HathiTrust Record")</f>
        <v/>
      </c>
      <c r="AU208">
        <f>HYPERLINK("https://creighton-primo.hosted.exlibrisgroup.com/primo-explore/search?tab=default_tab&amp;search_scope=EVERYTHING&amp;vid=01CRU&amp;lang=en_US&amp;offset=0&amp;query=any,contains,991005191389702656","Catalog Record")</f>
        <v/>
      </c>
      <c r="AV208">
        <f>HYPERLINK("http://www.worldcat.org/oclc/164802610","WorldCat Record")</f>
        <v/>
      </c>
      <c r="AW208" t="inlineStr">
        <is>
          <t>473670625:eng</t>
        </is>
      </c>
      <c r="AX208" t="inlineStr">
        <is>
          <t>164802610</t>
        </is>
      </c>
      <c r="AY208" t="inlineStr">
        <is>
          <t>991005191389702656</t>
        </is>
      </c>
      <c r="AZ208" t="inlineStr">
        <is>
          <t>991005191389702656</t>
        </is>
      </c>
      <c r="BA208" t="inlineStr">
        <is>
          <t>2256254030002656</t>
        </is>
      </c>
      <c r="BB208" t="inlineStr">
        <is>
          <t>BOOK</t>
        </is>
      </c>
      <c r="BD208" t="inlineStr">
        <is>
          <t>9780759110731</t>
        </is>
      </c>
      <c r="BE208" t="inlineStr">
        <is>
          <t>32285005402978</t>
        </is>
      </c>
      <c r="BF208" t="inlineStr">
        <is>
          <t>893501471</t>
        </is>
      </c>
    </row>
    <row r="209">
      <c r="B209" t="inlineStr">
        <is>
          <t>CURAL</t>
        </is>
      </c>
      <c r="C209" t="inlineStr">
        <is>
          <t>SHELVES</t>
        </is>
      </c>
      <c r="D209" t="inlineStr">
        <is>
          <t>CC72.4 .B57 1994</t>
        </is>
      </c>
      <c r="E209" t="inlineStr">
        <is>
          <t>0                      CC 0072400B  57          1994</t>
        </is>
      </c>
      <c r="F209" t="inlineStr">
        <is>
          <t>Houses and households : a comparative study / Richard E. Blanton.</t>
        </is>
      </c>
      <c r="H209" t="inlineStr">
        <is>
          <t>No</t>
        </is>
      </c>
      <c r="I209" t="inlineStr">
        <is>
          <t>1</t>
        </is>
      </c>
      <c r="J209" t="inlineStr">
        <is>
          <t>No</t>
        </is>
      </c>
      <c r="K209" t="inlineStr">
        <is>
          <t>No</t>
        </is>
      </c>
      <c r="L209" t="inlineStr">
        <is>
          <t>0</t>
        </is>
      </c>
      <c r="M209" t="inlineStr">
        <is>
          <t>Blanton, Richard E.</t>
        </is>
      </c>
      <c r="N209" t="inlineStr">
        <is>
          <t>New York : Plenum Press, c1994.</t>
        </is>
      </c>
      <c r="O209" t="inlineStr">
        <is>
          <t>1994</t>
        </is>
      </c>
      <c r="Q209" t="inlineStr">
        <is>
          <t>eng</t>
        </is>
      </c>
      <c r="R209" t="inlineStr">
        <is>
          <t>nyu</t>
        </is>
      </c>
      <c r="S209" t="inlineStr">
        <is>
          <t>Interdisciplinary contributions to archaeology</t>
        </is>
      </c>
      <c r="T209" t="inlineStr">
        <is>
          <t xml:space="preserve">CC </t>
        </is>
      </c>
      <c r="U209" t="n">
        <v>1</v>
      </c>
      <c r="V209" t="n">
        <v>1</v>
      </c>
      <c r="W209" t="inlineStr">
        <is>
          <t>2002-01-11</t>
        </is>
      </c>
      <c r="X209" t="inlineStr">
        <is>
          <t>2002-01-11</t>
        </is>
      </c>
      <c r="Y209" t="inlineStr">
        <is>
          <t>1994-07-29</t>
        </is>
      </c>
      <c r="Z209" t="inlineStr">
        <is>
          <t>1994-07-29</t>
        </is>
      </c>
      <c r="AA209" t="n">
        <v>321</v>
      </c>
      <c r="AB209" t="n">
        <v>224</v>
      </c>
      <c r="AC209" t="n">
        <v>235</v>
      </c>
      <c r="AD209" t="n">
        <v>3</v>
      </c>
      <c r="AE209" t="n">
        <v>3</v>
      </c>
      <c r="AF209" t="n">
        <v>7</v>
      </c>
      <c r="AG209" t="n">
        <v>9</v>
      </c>
      <c r="AH209" t="n">
        <v>1</v>
      </c>
      <c r="AI209" t="n">
        <v>3</v>
      </c>
      <c r="AJ209" t="n">
        <v>2</v>
      </c>
      <c r="AK209" t="n">
        <v>3</v>
      </c>
      <c r="AL209" t="n">
        <v>3</v>
      </c>
      <c r="AM209" t="n">
        <v>4</v>
      </c>
      <c r="AN209" t="n">
        <v>2</v>
      </c>
      <c r="AO209" t="n">
        <v>2</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HYPERLINK("https://creighton-primo.hosted.exlibrisgroup.com/primo-explore/search?tab=default_tab&amp;search_scope=EVERYTHING&amp;vid=01CRU&amp;lang=en_US&amp;offset=0&amp;query=any,contains,991002239359702656","Catalog Record")</f>
        <v/>
      </c>
      <c r="AV209">
        <f>HYPERLINK("http://www.worldcat.org/oclc/28888876","WorldCat Record")</f>
        <v/>
      </c>
      <c r="AW209" t="inlineStr">
        <is>
          <t>196507885:eng</t>
        </is>
      </c>
      <c r="AX209" t="inlineStr">
        <is>
          <t>28888876</t>
        </is>
      </c>
      <c r="AY209" t="inlineStr">
        <is>
          <t>991002239359702656</t>
        </is>
      </c>
      <c r="AZ209" t="inlineStr">
        <is>
          <t>991002239359702656</t>
        </is>
      </c>
      <c r="BA209" t="inlineStr">
        <is>
          <t>2263932260002656</t>
        </is>
      </c>
      <c r="BB209" t="inlineStr">
        <is>
          <t>BOOK</t>
        </is>
      </c>
      <c r="BD209" t="inlineStr">
        <is>
          <t>9780306444449</t>
        </is>
      </c>
      <c r="BE209" t="inlineStr">
        <is>
          <t>32285001934610</t>
        </is>
      </c>
      <c r="BF209" t="inlineStr">
        <is>
          <t>893262168</t>
        </is>
      </c>
    </row>
    <row r="210">
      <c r="B210" t="inlineStr">
        <is>
          <t>CURAL</t>
        </is>
      </c>
      <c r="C210" t="inlineStr">
        <is>
          <t>SHELVES</t>
        </is>
      </c>
      <c r="D210" t="inlineStr">
        <is>
          <t>CC72.4 .V46 1985</t>
        </is>
      </c>
      <c r="E210" t="inlineStr">
        <is>
          <t>0                      CC 0072400V  46          1985</t>
        </is>
      </c>
      <c r="F210" t="inlineStr">
        <is>
          <t>La arqueología de la vida cotidiana / Marcio Veloz Maggiolo.</t>
        </is>
      </c>
      <c r="H210" t="inlineStr">
        <is>
          <t>No</t>
        </is>
      </c>
      <c r="I210" t="inlineStr">
        <is>
          <t>1</t>
        </is>
      </c>
      <c r="J210" t="inlineStr">
        <is>
          <t>No</t>
        </is>
      </c>
      <c r="K210" t="inlineStr">
        <is>
          <t>No</t>
        </is>
      </c>
      <c r="L210" t="inlineStr">
        <is>
          <t>0</t>
        </is>
      </c>
      <c r="M210" t="inlineStr">
        <is>
          <t>Veloz Maggiolo, Marcio.</t>
        </is>
      </c>
      <c r="N210" t="inlineStr">
        <is>
          <t>Santo Domingo, R.D. : Taller, 1985.</t>
        </is>
      </c>
      <c r="O210" t="inlineStr">
        <is>
          <t>1985</t>
        </is>
      </c>
      <c r="Q210" t="inlineStr">
        <is>
          <t>spa</t>
        </is>
      </c>
      <c r="R210" t="inlineStr">
        <is>
          <t xml:space="preserve">dr </t>
        </is>
      </c>
      <c r="S210" t="inlineStr">
        <is>
          <t>Biblioteca Taller ; no. 181</t>
        </is>
      </c>
      <c r="T210" t="inlineStr">
        <is>
          <t xml:space="preserve">CC </t>
        </is>
      </c>
      <c r="U210" t="n">
        <v>1</v>
      </c>
      <c r="V210" t="n">
        <v>1</v>
      </c>
      <c r="W210" t="inlineStr">
        <is>
          <t>2001-06-12</t>
        </is>
      </c>
      <c r="X210" t="inlineStr">
        <is>
          <t>2001-06-12</t>
        </is>
      </c>
      <c r="Y210" t="inlineStr">
        <is>
          <t>2001-06-12</t>
        </is>
      </c>
      <c r="Z210" t="inlineStr">
        <is>
          <t>2001-06-12</t>
        </is>
      </c>
      <c r="AA210" t="n">
        <v>21</v>
      </c>
      <c r="AB210" t="n">
        <v>18</v>
      </c>
      <c r="AC210" t="n">
        <v>20</v>
      </c>
      <c r="AD210" t="n">
        <v>1</v>
      </c>
      <c r="AE210" t="n">
        <v>1</v>
      </c>
      <c r="AF210" t="n">
        <v>0</v>
      </c>
      <c r="AG210" t="n">
        <v>0</v>
      </c>
      <c r="AH210" t="n">
        <v>0</v>
      </c>
      <c r="AI210" t="n">
        <v>0</v>
      </c>
      <c r="AJ210" t="n">
        <v>0</v>
      </c>
      <c r="AK210" t="n">
        <v>0</v>
      </c>
      <c r="AL210" t="n">
        <v>0</v>
      </c>
      <c r="AM210" t="n">
        <v>0</v>
      </c>
      <c r="AN210" t="n">
        <v>0</v>
      </c>
      <c r="AO210" t="n">
        <v>0</v>
      </c>
      <c r="AP210" t="n">
        <v>0</v>
      </c>
      <c r="AQ210" t="n">
        <v>0</v>
      </c>
      <c r="AR210" t="inlineStr">
        <is>
          <t>No</t>
        </is>
      </c>
      <c r="AS210" t="inlineStr">
        <is>
          <t>Yes</t>
        </is>
      </c>
      <c r="AT210">
        <f>HYPERLINK("http://catalog.hathitrust.org/Record/101508594","HathiTrust Record")</f>
        <v/>
      </c>
      <c r="AU210">
        <f>HYPERLINK("https://creighton-primo.hosted.exlibrisgroup.com/primo-explore/search?tab=default_tab&amp;search_scope=EVERYTHING&amp;vid=01CRU&amp;lang=en_US&amp;offset=0&amp;query=any,contains,991003558549702656","Catalog Record")</f>
        <v/>
      </c>
      <c r="AV210">
        <f>HYPERLINK("http://www.worldcat.org/oclc/16187694","WorldCat Record")</f>
        <v/>
      </c>
      <c r="AW210" t="inlineStr">
        <is>
          <t>430978286:spa</t>
        </is>
      </c>
      <c r="AX210" t="inlineStr">
        <is>
          <t>16187694</t>
        </is>
      </c>
      <c r="AY210" t="inlineStr">
        <is>
          <t>991003558549702656</t>
        </is>
      </c>
      <c r="AZ210" t="inlineStr">
        <is>
          <t>991003558549702656</t>
        </is>
      </c>
      <c r="BA210" t="inlineStr">
        <is>
          <t>2270347260002656</t>
        </is>
      </c>
      <c r="BB210" t="inlineStr">
        <is>
          <t>BOOK</t>
        </is>
      </c>
      <c r="BE210" t="inlineStr">
        <is>
          <t>32285004326921</t>
        </is>
      </c>
      <c r="BF210" t="inlineStr">
        <is>
          <t>893717789</t>
        </is>
      </c>
    </row>
    <row r="211">
      <c r="B211" t="inlineStr">
        <is>
          <t>CURAL</t>
        </is>
      </c>
      <c r="C211" t="inlineStr">
        <is>
          <t>SHELVES</t>
        </is>
      </c>
      <c r="D211" t="inlineStr">
        <is>
          <t>CC75 .A74 1988</t>
        </is>
      </c>
      <c r="E211" t="inlineStr">
        <is>
          <t>0                      CC 0075000A  74          1988</t>
        </is>
      </c>
      <c r="F211" t="inlineStr">
        <is>
          <t>Discovering our past : a brief introduction to archaeology / Wendy Ashmore, Robert J. Sharer.</t>
        </is>
      </c>
      <c r="H211" t="inlineStr">
        <is>
          <t>No</t>
        </is>
      </c>
      <c r="I211" t="inlineStr">
        <is>
          <t>1</t>
        </is>
      </c>
      <c r="J211" t="inlineStr">
        <is>
          <t>No</t>
        </is>
      </c>
      <c r="K211" t="inlineStr">
        <is>
          <t>No</t>
        </is>
      </c>
      <c r="L211" t="inlineStr">
        <is>
          <t>0</t>
        </is>
      </c>
      <c r="M211" t="inlineStr">
        <is>
          <t>Ashmore, Wendy, 1948-</t>
        </is>
      </c>
      <c r="N211" t="inlineStr">
        <is>
          <t>Mountain View, CA : Mayfield Pub. Co., c1988.</t>
        </is>
      </c>
      <c r="O211" t="inlineStr">
        <is>
          <t>1988</t>
        </is>
      </c>
      <c r="Q211" t="inlineStr">
        <is>
          <t>eng</t>
        </is>
      </c>
      <c r="R211" t="inlineStr">
        <is>
          <t>cau</t>
        </is>
      </c>
      <c r="T211" t="inlineStr">
        <is>
          <t xml:space="preserve">CC </t>
        </is>
      </c>
      <c r="U211" t="n">
        <v>2</v>
      </c>
      <c r="V211" t="n">
        <v>2</v>
      </c>
      <c r="W211" t="inlineStr">
        <is>
          <t>1998-08-07</t>
        </is>
      </c>
      <c r="X211" t="inlineStr">
        <is>
          <t>1998-08-07</t>
        </is>
      </c>
      <c r="Y211" t="inlineStr">
        <is>
          <t>1990-11-13</t>
        </is>
      </c>
      <c r="Z211" t="inlineStr">
        <is>
          <t>1990-11-13</t>
        </is>
      </c>
      <c r="AA211" t="n">
        <v>196</v>
      </c>
      <c r="AB211" t="n">
        <v>167</v>
      </c>
      <c r="AC211" t="n">
        <v>375</v>
      </c>
      <c r="AD211" t="n">
        <v>2</v>
      </c>
      <c r="AE211" t="n">
        <v>3</v>
      </c>
      <c r="AF211" t="n">
        <v>2</v>
      </c>
      <c r="AG211" t="n">
        <v>6</v>
      </c>
      <c r="AH211" t="n">
        <v>0</v>
      </c>
      <c r="AI211" t="n">
        <v>0</v>
      </c>
      <c r="AJ211" t="n">
        <v>0</v>
      </c>
      <c r="AK211" t="n">
        <v>1</v>
      </c>
      <c r="AL211" t="n">
        <v>1</v>
      </c>
      <c r="AM211" t="n">
        <v>3</v>
      </c>
      <c r="AN211" t="n">
        <v>1</v>
      </c>
      <c r="AO211" t="n">
        <v>2</v>
      </c>
      <c r="AP211" t="n">
        <v>0</v>
      </c>
      <c r="AQ211" t="n">
        <v>0</v>
      </c>
      <c r="AR211" t="inlineStr">
        <is>
          <t>No</t>
        </is>
      </c>
      <c r="AS211" t="inlineStr">
        <is>
          <t>Yes</t>
        </is>
      </c>
      <c r="AT211">
        <f>HYPERLINK("http://catalog.hathitrust.org/Record/000924373","HathiTrust Record")</f>
        <v/>
      </c>
      <c r="AU211">
        <f>HYPERLINK("https://creighton-primo.hosted.exlibrisgroup.com/primo-explore/search?tab=default_tab&amp;search_scope=EVERYTHING&amp;vid=01CRU&amp;lang=en_US&amp;offset=0&amp;query=any,contains,991001137299702656","Catalog Record")</f>
        <v/>
      </c>
      <c r="AV211">
        <f>HYPERLINK("http://www.worldcat.org/oclc/16717692","WorldCat Record")</f>
        <v/>
      </c>
      <c r="AW211" t="inlineStr">
        <is>
          <t>3855589055:eng</t>
        </is>
      </c>
      <c r="AX211" t="inlineStr">
        <is>
          <t>16717692</t>
        </is>
      </c>
      <c r="AY211" t="inlineStr">
        <is>
          <t>991001137299702656</t>
        </is>
      </c>
      <c r="AZ211" t="inlineStr">
        <is>
          <t>991001137299702656</t>
        </is>
      </c>
      <c r="BA211" t="inlineStr">
        <is>
          <t>2256692000002656</t>
        </is>
      </c>
      <c r="BB211" t="inlineStr">
        <is>
          <t>BOOK</t>
        </is>
      </c>
      <c r="BD211" t="inlineStr">
        <is>
          <t>9780874847482</t>
        </is>
      </c>
      <c r="BE211" t="inlineStr">
        <is>
          <t>32285000314814</t>
        </is>
      </c>
      <c r="BF211" t="inlineStr">
        <is>
          <t>893778590</t>
        </is>
      </c>
    </row>
    <row r="212">
      <c r="B212" t="inlineStr">
        <is>
          <t>CURAL</t>
        </is>
      </c>
      <c r="C212" t="inlineStr">
        <is>
          <t>SHELVES</t>
        </is>
      </c>
      <c r="D212" t="inlineStr">
        <is>
          <t>CC75 .B38 1994</t>
        </is>
      </c>
      <c r="E212" t="inlineStr">
        <is>
          <t>0                      CC 0075000B  38          1994</t>
        </is>
      </c>
      <c r="F212" t="inlineStr">
        <is>
          <t>Reconstructing prehistory : scientific method in archaeology / James A. Bell.</t>
        </is>
      </c>
      <c r="H212" t="inlineStr">
        <is>
          <t>No</t>
        </is>
      </c>
      <c r="I212" t="inlineStr">
        <is>
          <t>1</t>
        </is>
      </c>
      <c r="J212" t="inlineStr">
        <is>
          <t>No</t>
        </is>
      </c>
      <c r="K212" t="inlineStr">
        <is>
          <t>No</t>
        </is>
      </c>
      <c r="L212" t="inlineStr">
        <is>
          <t>0</t>
        </is>
      </c>
      <c r="M212" t="inlineStr">
        <is>
          <t>Bell, J. A. (James A.)</t>
        </is>
      </c>
      <c r="N212" t="inlineStr">
        <is>
          <t>Philadelphia : Temple University Press, 1994.</t>
        </is>
      </c>
      <c r="O212" t="inlineStr">
        <is>
          <t>1994</t>
        </is>
      </c>
      <c r="Q212" t="inlineStr">
        <is>
          <t>eng</t>
        </is>
      </c>
      <c r="R212" t="inlineStr">
        <is>
          <t>pau</t>
        </is>
      </c>
      <c r="T212" t="inlineStr">
        <is>
          <t xml:space="preserve">CC </t>
        </is>
      </c>
      <c r="U212" t="n">
        <v>2</v>
      </c>
      <c r="V212" t="n">
        <v>2</v>
      </c>
      <c r="W212" t="inlineStr">
        <is>
          <t>1996-09-23</t>
        </is>
      </c>
      <c r="X212" t="inlineStr">
        <is>
          <t>1996-09-23</t>
        </is>
      </c>
      <c r="Y212" t="inlineStr">
        <is>
          <t>1996-03-05</t>
        </is>
      </c>
      <c r="Z212" t="inlineStr">
        <is>
          <t>1996-03-05</t>
        </is>
      </c>
      <c r="AA212" t="n">
        <v>287</v>
      </c>
      <c r="AB212" t="n">
        <v>234</v>
      </c>
      <c r="AC212" t="n">
        <v>234</v>
      </c>
      <c r="AD212" t="n">
        <v>3</v>
      </c>
      <c r="AE212" t="n">
        <v>3</v>
      </c>
      <c r="AF212" t="n">
        <v>5</v>
      </c>
      <c r="AG212" t="n">
        <v>5</v>
      </c>
      <c r="AH212" t="n">
        <v>1</v>
      </c>
      <c r="AI212" t="n">
        <v>1</v>
      </c>
      <c r="AJ212" t="n">
        <v>1</v>
      </c>
      <c r="AK212" t="n">
        <v>1</v>
      </c>
      <c r="AL212" t="n">
        <v>1</v>
      </c>
      <c r="AM212" t="n">
        <v>1</v>
      </c>
      <c r="AN212" t="n">
        <v>2</v>
      </c>
      <c r="AO212" t="n">
        <v>2</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HYPERLINK("https://creighton-primo.hosted.exlibrisgroup.com/primo-explore/search?tab=default_tab&amp;search_scope=EVERYTHING&amp;vid=01CRU&amp;lang=en_US&amp;offset=0&amp;query=any,contains,991002213749702656","Catalog Record")</f>
        <v/>
      </c>
      <c r="AV212">
        <f>HYPERLINK("http://www.worldcat.org/oclc/28504518","WorldCat Record")</f>
        <v/>
      </c>
      <c r="AW212" t="inlineStr">
        <is>
          <t>499302527:eng</t>
        </is>
      </c>
      <c r="AX212" t="inlineStr">
        <is>
          <t>28504518</t>
        </is>
      </c>
      <c r="AY212" t="inlineStr">
        <is>
          <t>991002213749702656</t>
        </is>
      </c>
      <c r="AZ212" t="inlineStr">
        <is>
          <t>991002213749702656</t>
        </is>
      </c>
      <c r="BA212" t="inlineStr">
        <is>
          <t>2267461700002656</t>
        </is>
      </c>
      <c r="BB212" t="inlineStr">
        <is>
          <t>BOOK</t>
        </is>
      </c>
      <c r="BD212" t="inlineStr">
        <is>
          <t>9781566391597</t>
        </is>
      </c>
      <c r="BE212" t="inlineStr">
        <is>
          <t>32285002140076</t>
        </is>
      </c>
      <c r="BF212" t="inlineStr">
        <is>
          <t>893779552</t>
        </is>
      </c>
    </row>
    <row r="213">
      <c r="B213" t="inlineStr">
        <is>
          <t>CURAL</t>
        </is>
      </c>
      <c r="C213" t="inlineStr">
        <is>
          <t>SHELVES</t>
        </is>
      </c>
      <c r="D213" t="inlineStr">
        <is>
          <t>CC75 .B48 1972</t>
        </is>
      </c>
      <c r="E213" t="inlineStr">
        <is>
          <t>0                      CC 0075000B  48          1972</t>
        </is>
      </c>
      <c r="F213" t="inlineStr">
        <is>
          <t>An archaeological perspective / [by] Lewis R. Binford. With a contribution by George I. Quimby.</t>
        </is>
      </c>
      <c r="H213" t="inlineStr">
        <is>
          <t>No</t>
        </is>
      </c>
      <c r="I213" t="inlineStr">
        <is>
          <t>1</t>
        </is>
      </c>
      <c r="J213" t="inlineStr">
        <is>
          <t>No</t>
        </is>
      </c>
      <c r="K213" t="inlineStr">
        <is>
          <t>No</t>
        </is>
      </c>
      <c r="L213" t="inlineStr">
        <is>
          <t>0</t>
        </is>
      </c>
      <c r="M213" t="inlineStr">
        <is>
          <t>Binford, Lewis R. (Lewis Roberts), 1931-2011.</t>
        </is>
      </c>
      <c r="N213" t="inlineStr">
        <is>
          <t>New York : Seminar Press, 1972.</t>
        </is>
      </c>
      <c r="O213" t="inlineStr">
        <is>
          <t>1972</t>
        </is>
      </c>
      <c r="Q213" t="inlineStr">
        <is>
          <t>eng</t>
        </is>
      </c>
      <c r="R213" t="inlineStr">
        <is>
          <t>nyu</t>
        </is>
      </c>
      <c r="S213" t="inlineStr">
        <is>
          <t>Studies in archeology</t>
        </is>
      </c>
      <c r="T213" t="inlineStr">
        <is>
          <t xml:space="preserve">CC </t>
        </is>
      </c>
      <c r="U213" t="n">
        <v>4</v>
      </c>
      <c r="V213" t="n">
        <v>4</v>
      </c>
      <c r="W213" t="inlineStr">
        <is>
          <t>2004-02-12</t>
        </is>
      </c>
      <c r="X213" t="inlineStr">
        <is>
          <t>2004-02-12</t>
        </is>
      </c>
      <c r="Y213" t="inlineStr">
        <is>
          <t>1992-06-03</t>
        </is>
      </c>
      <c r="Z213" t="inlineStr">
        <is>
          <t>1992-06-03</t>
        </is>
      </c>
      <c r="AA213" t="n">
        <v>665</v>
      </c>
      <c r="AB213" t="n">
        <v>516</v>
      </c>
      <c r="AC213" t="n">
        <v>539</v>
      </c>
      <c r="AD213" t="n">
        <v>3</v>
      </c>
      <c r="AE213" t="n">
        <v>3</v>
      </c>
      <c r="AF213" t="n">
        <v>18</v>
      </c>
      <c r="AG213" t="n">
        <v>18</v>
      </c>
      <c r="AH213" t="n">
        <v>4</v>
      </c>
      <c r="AI213" t="n">
        <v>4</v>
      </c>
      <c r="AJ213" t="n">
        <v>5</v>
      </c>
      <c r="AK213" t="n">
        <v>5</v>
      </c>
      <c r="AL213" t="n">
        <v>9</v>
      </c>
      <c r="AM213" t="n">
        <v>9</v>
      </c>
      <c r="AN213" t="n">
        <v>2</v>
      </c>
      <c r="AO213" t="n">
        <v>2</v>
      </c>
      <c r="AP213" t="n">
        <v>0</v>
      </c>
      <c r="AQ213" t="n">
        <v>0</v>
      </c>
      <c r="AR213" t="inlineStr">
        <is>
          <t>No</t>
        </is>
      </c>
      <c r="AS213" t="inlineStr">
        <is>
          <t>Yes</t>
        </is>
      </c>
      <c r="AT213">
        <f>HYPERLINK("http://catalog.hathitrust.org/Record/001595903","HathiTrust Record")</f>
        <v/>
      </c>
      <c r="AU213">
        <f>HYPERLINK("https://creighton-primo.hosted.exlibrisgroup.com/primo-explore/search?tab=default_tab&amp;search_scope=EVERYTHING&amp;vid=01CRU&amp;lang=en_US&amp;offset=0&amp;query=any,contains,991002657189702656","Catalog Record")</f>
        <v/>
      </c>
      <c r="AV213">
        <f>HYPERLINK("http://www.worldcat.org/oclc/389853","WorldCat Record")</f>
        <v/>
      </c>
      <c r="AW213" t="inlineStr">
        <is>
          <t>410007:eng</t>
        </is>
      </c>
      <c r="AX213" t="inlineStr">
        <is>
          <t>389853</t>
        </is>
      </c>
      <c r="AY213" t="inlineStr">
        <is>
          <t>991002657189702656</t>
        </is>
      </c>
      <c r="AZ213" t="inlineStr">
        <is>
          <t>991002657189702656</t>
        </is>
      </c>
      <c r="BA213" t="inlineStr">
        <is>
          <t>2256575230002656</t>
        </is>
      </c>
      <c r="BB213" t="inlineStr">
        <is>
          <t>BOOK</t>
        </is>
      </c>
      <c r="BD213" t="inlineStr">
        <is>
          <t>9780128077504</t>
        </is>
      </c>
      <c r="BE213" t="inlineStr">
        <is>
          <t>32285001144178</t>
        </is>
      </c>
      <c r="BF213" t="inlineStr">
        <is>
          <t>893867509</t>
        </is>
      </c>
    </row>
    <row r="214">
      <c r="B214" t="inlineStr">
        <is>
          <t>CURAL</t>
        </is>
      </c>
      <c r="C214" t="inlineStr">
        <is>
          <t>SHELVES</t>
        </is>
      </c>
      <c r="D214" t="inlineStr">
        <is>
          <t>CC75 .C535 1978</t>
        </is>
      </c>
      <c r="E214" t="inlineStr">
        <is>
          <t>0                      CC 0075000C  535         1978</t>
        </is>
      </c>
      <c r="F214" t="inlineStr">
        <is>
          <t>Analytical archaeology / David L. Clarke.</t>
        </is>
      </c>
      <c r="H214" t="inlineStr">
        <is>
          <t>No</t>
        </is>
      </c>
      <c r="I214" t="inlineStr">
        <is>
          <t>1</t>
        </is>
      </c>
      <c r="J214" t="inlineStr">
        <is>
          <t>No</t>
        </is>
      </c>
      <c r="K214" t="inlineStr">
        <is>
          <t>No</t>
        </is>
      </c>
      <c r="L214" t="inlineStr">
        <is>
          <t>0</t>
        </is>
      </c>
      <c r="M214" t="inlineStr">
        <is>
          <t>Clarke, David L.</t>
        </is>
      </c>
      <c r="N214" t="inlineStr">
        <is>
          <t>New York : Columbia University Press, l978.</t>
        </is>
      </c>
      <c r="O214" t="inlineStr">
        <is>
          <t>1978</t>
        </is>
      </c>
      <c r="P214" t="inlineStr">
        <is>
          <t>2d ed. / rev. by Bob Chapman.</t>
        </is>
      </c>
      <c r="Q214" t="inlineStr">
        <is>
          <t>eng</t>
        </is>
      </c>
      <c r="R214" t="inlineStr">
        <is>
          <t>nyu</t>
        </is>
      </c>
      <c r="T214" t="inlineStr">
        <is>
          <t xml:space="preserve">CC </t>
        </is>
      </c>
      <c r="U214" t="n">
        <v>3</v>
      </c>
      <c r="V214" t="n">
        <v>3</v>
      </c>
      <c r="W214" t="inlineStr">
        <is>
          <t>1995-04-19</t>
        </is>
      </c>
      <c r="X214" t="inlineStr">
        <is>
          <t>1995-04-19</t>
        </is>
      </c>
      <c r="Y214" t="inlineStr">
        <is>
          <t>1992-06-03</t>
        </is>
      </c>
      <c r="Z214" t="inlineStr">
        <is>
          <t>1992-06-03</t>
        </is>
      </c>
      <c r="AA214" t="n">
        <v>377</v>
      </c>
      <c r="AB214" t="n">
        <v>346</v>
      </c>
      <c r="AC214" t="n">
        <v>390</v>
      </c>
      <c r="AD214" t="n">
        <v>3</v>
      </c>
      <c r="AE214" t="n">
        <v>4</v>
      </c>
      <c r="AF214" t="n">
        <v>15</v>
      </c>
      <c r="AG214" t="n">
        <v>18</v>
      </c>
      <c r="AH214" t="n">
        <v>6</v>
      </c>
      <c r="AI214" t="n">
        <v>7</v>
      </c>
      <c r="AJ214" t="n">
        <v>5</v>
      </c>
      <c r="AK214" t="n">
        <v>5</v>
      </c>
      <c r="AL214" t="n">
        <v>7</v>
      </c>
      <c r="AM214" t="n">
        <v>8</v>
      </c>
      <c r="AN214" t="n">
        <v>2</v>
      </c>
      <c r="AO214" t="n">
        <v>3</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HYPERLINK("https://creighton-primo.hosted.exlibrisgroup.com/primo-explore/search?tab=default_tab&amp;search_scope=EVERYTHING&amp;vid=01CRU&amp;lang=en_US&amp;offset=0&amp;query=any,contains,991004564389702656","Catalog Record")</f>
        <v/>
      </c>
      <c r="AV214">
        <f>HYPERLINK("http://www.worldcat.org/oclc/4004154","WorldCat Record")</f>
        <v/>
      </c>
      <c r="AW214" t="inlineStr">
        <is>
          <t>11907231:eng</t>
        </is>
      </c>
      <c r="AX214" t="inlineStr">
        <is>
          <t>4004154</t>
        </is>
      </c>
      <c r="AY214" t="inlineStr">
        <is>
          <t>991004564389702656</t>
        </is>
      </c>
      <c r="AZ214" t="inlineStr">
        <is>
          <t>991004564389702656</t>
        </is>
      </c>
      <c r="BA214" t="inlineStr">
        <is>
          <t>2265229900002656</t>
        </is>
      </c>
      <c r="BB214" t="inlineStr">
        <is>
          <t>BOOK</t>
        </is>
      </c>
      <c r="BD214" t="inlineStr">
        <is>
          <t>9780231046305</t>
        </is>
      </c>
      <c r="BE214" t="inlineStr">
        <is>
          <t>32285001144186</t>
        </is>
      </c>
      <c r="BF214" t="inlineStr">
        <is>
          <t>893895150</t>
        </is>
      </c>
    </row>
    <row r="215">
      <c r="B215" t="inlineStr">
        <is>
          <t>CURAL</t>
        </is>
      </c>
      <c r="C215" t="inlineStr">
        <is>
          <t>SHELVES</t>
        </is>
      </c>
      <c r="D215" t="inlineStr">
        <is>
          <t>CC75 .C57 1974</t>
        </is>
      </c>
      <c r="E215" t="inlineStr">
        <is>
          <t>0                      CC 0075000C  57          1974</t>
        </is>
      </c>
      <c r="F215" t="inlineStr">
        <is>
          <t>Archaeology by experiment / John Coles.</t>
        </is>
      </c>
      <c r="H215" t="inlineStr">
        <is>
          <t>No</t>
        </is>
      </c>
      <c r="I215" t="inlineStr">
        <is>
          <t>1</t>
        </is>
      </c>
      <c r="J215" t="inlineStr">
        <is>
          <t>No</t>
        </is>
      </c>
      <c r="K215" t="inlineStr">
        <is>
          <t>No</t>
        </is>
      </c>
      <c r="L215" t="inlineStr">
        <is>
          <t>0</t>
        </is>
      </c>
      <c r="M215" t="inlineStr">
        <is>
          <t>Coles, J. M. (John M.)</t>
        </is>
      </c>
      <c r="N215" t="inlineStr">
        <is>
          <t>New York : Scribner, [1974] c1973.</t>
        </is>
      </c>
      <c r="O215" t="inlineStr">
        <is>
          <t>1974</t>
        </is>
      </c>
      <c r="Q215" t="inlineStr">
        <is>
          <t>eng</t>
        </is>
      </c>
      <c r="R215" t="inlineStr">
        <is>
          <t>nyu</t>
        </is>
      </c>
      <c r="T215" t="inlineStr">
        <is>
          <t xml:space="preserve">CC </t>
        </is>
      </c>
      <c r="U215" t="n">
        <v>1</v>
      </c>
      <c r="V215" t="n">
        <v>1</v>
      </c>
      <c r="W215" t="inlineStr">
        <is>
          <t>2003-03-31</t>
        </is>
      </c>
      <c r="X215" t="inlineStr">
        <is>
          <t>2003-03-31</t>
        </is>
      </c>
      <c r="Y215" t="inlineStr">
        <is>
          <t>2003-03-31</t>
        </is>
      </c>
      <c r="Z215" t="inlineStr">
        <is>
          <t>2003-03-31</t>
        </is>
      </c>
      <c r="AA215" t="n">
        <v>371</v>
      </c>
      <c r="AB215" t="n">
        <v>351</v>
      </c>
      <c r="AC215" t="n">
        <v>507</v>
      </c>
      <c r="AD215" t="n">
        <v>2</v>
      </c>
      <c r="AE215" t="n">
        <v>4</v>
      </c>
      <c r="AF215" t="n">
        <v>11</v>
      </c>
      <c r="AG215" t="n">
        <v>17</v>
      </c>
      <c r="AH215" t="n">
        <v>4</v>
      </c>
      <c r="AI215" t="n">
        <v>4</v>
      </c>
      <c r="AJ215" t="n">
        <v>2</v>
      </c>
      <c r="AK215" t="n">
        <v>4</v>
      </c>
      <c r="AL215" t="n">
        <v>7</v>
      </c>
      <c r="AM215" t="n">
        <v>10</v>
      </c>
      <c r="AN215" t="n">
        <v>1</v>
      </c>
      <c r="AO215" t="n">
        <v>3</v>
      </c>
      <c r="AP215" t="n">
        <v>0</v>
      </c>
      <c r="AQ215" t="n">
        <v>0</v>
      </c>
      <c r="AR215" t="inlineStr">
        <is>
          <t>No</t>
        </is>
      </c>
      <c r="AS215" t="inlineStr">
        <is>
          <t>Yes</t>
        </is>
      </c>
      <c r="AT215">
        <f>HYPERLINK("http://catalog.hathitrust.org/Record/012285148","HathiTrust Record")</f>
        <v/>
      </c>
      <c r="AU215">
        <f>HYPERLINK("https://creighton-primo.hosted.exlibrisgroup.com/primo-explore/search?tab=default_tab&amp;search_scope=EVERYTHING&amp;vid=01CRU&amp;lang=en_US&amp;offset=0&amp;query=any,contains,991004034759702656","Catalog Record")</f>
        <v/>
      </c>
      <c r="AV215">
        <f>HYPERLINK("http://www.worldcat.org/oclc/1157305","WorldCat Record")</f>
        <v/>
      </c>
      <c r="AW215" t="inlineStr">
        <is>
          <t>1730699:eng</t>
        </is>
      </c>
      <c r="AX215" t="inlineStr">
        <is>
          <t>1157305</t>
        </is>
      </c>
      <c r="AY215" t="inlineStr">
        <is>
          <t>991004034759702656</t>
        </is>
      </c>
      <c r="AZ215" t="inlineStr">
        <is>
          <t>991004034759702656</t>
        </is>
      </c>
      <c r="BA215" t="inlineStr">
        <is>
          <t>2262717800002656</t>
        </is>
      </c>
      <c r="BB215" t="inlineStr">
        <is>
          <t>BOOK</t>
        </is>
      </c>
      <c r="BD215" t="inlineStr">
        <is>
          <t>9780684138183</t>
        </is>
      </c>
      <c r="BE215" t="inlineStr">
        <is>
          <t>32285004688254</t>
        </is>
      </c>
      <c r="BF215" t="inlineStr">
        <is>
          <t>893699760</t>
        </is>
      </c>
    </row>
    <row r="216">
      <c r="B216" t="inlineStr">
        <is>
          <t>CURAL</t>
        </is>
      </c>
      <c r="C216" t="inlineStr">
        <is>
          <t>SHELVES</t>
        </is>
      </c>
      <c r="D216" t="inlineStr">
        <is>
          <t>CC75 .C6</t>
        </is>
      </c>
      <c r="E216" t="inlineStr">
        <is>
          <t>0                      CC 0075000C  6</t>
        </is>
      </c>
      <c r="F216" t="inlineStr">
        <is>
          <t>The seven caves; archaeological explorations in the Middle East.</t>
        </is>
      </c>
      <c r="H216" t="inlineStr">
        <is>
          <t>No</t>
        </is>
      </c>
      <c r="I216" t="inlineStr">
        <is>
          <t>1</t>
        </is>
      </c>
      <c r="J216" t="inlineStr">
        <is>
          <t>No</t>
        </is>
      </c>
      <c r="K216" t="inlineStr">
        <is>
          <t>No</t>
        </is>
      </c>
      <c r="L216" t="inlineStr">
        <is>
          <t>0</t>
        </is>
      </c>
      <c r="M216" t="inlineStr">
        <is>
          <t>Coon, Carleton S. (Carleton Stevens), 1904-1981.</t>
        </is>
      </c>
      <c r="N216" t="inlineStr">
        <is>
          <t>New York, Knopf, 1957 [c1956]</t>
        </is>
      </c>
      <c r="O216" t="inlineStr">
        <is>
          <t>1957</t>
        </is>
      </c>
      <c r="P216" t="inlineStr">
        <is>
          <t>[1st ed.]</t>
        </is>
      </c>
      <c r="Q216" t="inlineStr">
        <is>
          <t>eng</t>
        </is>
      </c>
      <c r="R216" t="inlineStr">
        <is>
          <t>nyu</t>
        </is>
      </c>
      <c r="T216" t="inlineStr">
        <is>
          <t xml:space="preserve">CC </t>
        </is>
      </c>
      <c r="U216" t="n">
        <v>3</v>
      </c>
      <c r="V216" t="n">
        <v>3</v>
      </c>
      <c r="W216" t="inlineStr">
        <is>
          <t>2000-02-15</t>
        </is>
      </c>
      <c r="X216" t="inlineStr">
        <is>
          <t>2000-02-15</t>
        </is>
      </c>
      <c r="Y216" t="inlineStr">
        <is>
          <t>1996-08-20</t>
        </is>
      </c>
      <c r="Z216" t="inlineStr">
        <is>
          <t>1996-08-20</t>
        </is>
      </c>
      <c r="AA216" t="n">
        <v>950</v>
      </c>
      <c r="AB216" t="n">
        <v>888</v>
      </c>
      <c r="AC216" t="n">
        <v>993</v>
      </c>
      <c r="AD216" t="n">
        <v>5</v>
      </c>
      <c r="AE216" t="n">
        <v>5</v>
      </c>
      <c r="AF216" t="n">
        <v>29</v>
      </c>
      <c r="AG216" t="n">
        <v>34</v>
      </c>
      <c r="AH216" t="n">
        <v>11</v>
      </c>
      <c r="AI216" t="n">
        <v>12</v>
      </c>
      <c r="AJ216" t="n">
        <v>7</v>
      </c>
      <c r="AK216" t="n">
        <v>7</v>
      </c>
      <c r="AL216" t="n">
        <v>14</v>
      </c>
      <c r="AM216" t="n">
        <v>18</v>
      </c>
      <c r="AN216" t="n">
        <v>4</v>
      </c>
      <c r="AO216" t="n">
        <v>4</v>
      </c>
      <c r="AP216" t="n">
        <v>0</v>
      </c>
      <c r="AQ216" t="n">
        <v>0</v>
      </c>
      <c r="AR216" t="inlineStr">
        <is>
          <t>No</t>
        </is>
      </c>
      <c r="AS216" t="inlineStr">
        <is>
          <t>Yes</t>
        </is>
      </c>
      <c r="AT216">
        <f>HYPERLINK("http://catalog.hathitrust.org/Record/001595913","HathiTrust Record")</f>
        <v/>
      </c>
      <c r="AU216">
        <f>HYPERLINK("https://creighton-primo.hosted.exlibrisgroup.com/primo-explore/search?tab=default_tab&amp;search_scope=EVERYTHING&amp;vid=01CRU&amp;lang=en_US&amp;offset=0&amp;query=any,contains,991002658539702656","Catalog Record")</f>
        <v/>
      </c>
      <c r="AV216">
        <f>HYPERLINK("http://www.worldcat.org/oclc/390506","WorldCat Record")</f>
        <v/>
      </c>
      <c r="AW216" t="inlineStr">
        <is>
          <t>199143851:eng</t>
        </is>
      </c>
      <c r="AX216" t="inlineStr">
        <is>
          <t>390506</t>
        </is>
      </c>
      <c r="AY216" t="inlineStr">
        <is>
          <t>991002658539702656</t>
        </is>
      </c>
      <c r="AZ216" t="inlineStr">
        <is>
          <t>991002658539702656</t>
        </is>
      </c>
      <c r="BA216" t="inlineStr">
        <is>
          <t>2262092370002656</t>
        </is>
      </c>
      <c r="BB216" t="inlineStr">
        <is>
          <t>BOOK</t>
        </is>
      </c>
      <c r="BE216" t="inlineStr">
        <is>
          <t>32285002276995</t>
        </is>
      </c>
      <c r="BF216" t="inlineStr">
        <is>
          <t>893347762</t>
        </is>
      </c>
    </row>
    <row r="217">
      <c r="B217" t="inlineStr">
        <is>
          <t>CURAL</t>
        </is>
      </c>
      <c r="C217" t="inlineStr">
        <is>
          <t>SHELVES</t>
        </is>
      </c>
      <c r="D217" t="inlineStr">
        <is>
          <t>CC75 .M5 1973</t>
        </is>
      </c>
      <c r="E217" t="inlineStr">
        <is>
          <t>0                      CC 0075000M  5           1973</t>
        </is>
      </c>
      <c r="F217" t="inlineStr">
        <is>
          <t>Dating methods in archaeology / [by] Joseph W. Michels.</t>
        </is>
      </c>
      <c r="H217" t="inlineStr">
        <is>
          <t>No</t>
        </is>
      </c>
      <c r="I217" t="inlineStr">
        <is>
          <t>1</t>
        </is>
      </c>
      <c r="J217" t="inlineStr">
        <is>
          <t>No</t>
        </is>
      </c>
      <c r="K217" t="inlineStr">
        <is>
          <t>No</t>
        </is>
      </c>
      <c r="L217" t="inlineStr">
        <is>
          <t>0</t>
        </is>
      </c>
      <c r="M217" t="inlineStr">
        <is>
          <t>Michels, Joseph W.</t>
        </is>
      </c>
      <c r="N217" t="inlineStr">
        <is>
          <t>New York : Seminar Press, [1973]</t>
        </is>
      </c>
      <c r="O217" t="inlineStr">
        <is>
          <t>1973</t>
        </is>
      </c>
      <c r="Q217" t="inlineStr">
        <is>
          <t>eng</t>
        </is>
      </c>
      <c r="R217" t="inlineStr">
        <is>
          <t>nyu</t>
        </is>
      </c>
      <c r="S217" t="inlineStr">
        <is>
          <t>Studies in archeology</t>
        </is>
      </c>
      <c r="T217" t="inlineStr">
        <is>
          <t xml:space="preserve">CC </t>
        </is>
      </c>
      <c r="U217" t="n">
        <v>1</v>
      </c>
      <c r="V217" t="n">
        <v>1</v>
      </c>
      <c r="W217" t="inlineStr">
        <is>
          <t>2003-03-31</t>
        </is>
      </c>
      <c r="X217" t="inlineStr">
        <is>
          <t>2003-03-31</t>
        </is>
      </c>
      <c r="Y217" t="inlineStr">
        <is>
          <t>2003-03-31</t>
        </is>
      </c>
      <c r="Z217" t="inlineStr">
        <is>
          <t>2003-03-31</t>
        </is>
      </c>
      <c r="AA217" t="n">
        <v>708</v>
      </c>
      <c r="AB217" t="n">
        <v>533</v>
      </c>
      <c r="AC217" t="n">
        <v>534</v>
      </c>
      <c r="AD217" t="n">
        <v>2</v>
      </c>
      <c r="AE217" t="n">
        <v>2</v>
      </c>
      <c r="AF217" t="n">
        <v>15</v>
      </c>
      <c r="AG217" t="n">
        <v>15</v>
      </c>
      <c r="AH217" t="n">
        <v>6</v>
      </c>
      <c r="AI217" t="n">
        <v>6</v>
      </c>
      <c r="AJ217" t="n">
        <v>2</v>
      </c>
      <c r="AK217" t="n">
        <v>2</v>
      </c>
      <c r="AL217" t="n">
        <v>10</v>
      </c>
      <c r="AM217" t="n">
        <v>10</v>
      </c>
      <c r="AN217" t="n">
        <v>0</v>
      </c>
      <c r="AO217" t="n">
        <v>0</v>
      </c>
      <c r="AP217" t="n">
        <v>0</v>
      </c>
      <c r="AQ217" t="n">
        <v>0</v>
      </c>
      <c r="AR217" t="inlineStr">
        <is>
          <t>No</t>
        </is>
      </c>
      <c r="AS217" t="inlineStr">
        <is>
          <t>Yes</t>
        </is>
      </c>
      <c r="AT217">
        <f>HYPERLINK("http://catalog.hathitrust.org/Record/001595936","HathiTrust Record")</f>
        <v/>
      </c>
      <c r="AU217">
        <f>HYPERLINK("https://creighton-primo.hosted.exlibrisgroup.com/primo-explore/search?tab=default_tab&amp;search_scope=EVERYTHING&amp;vid=01CRU&amp;lang=en_US&amp;offset=0&amp;query=any,contains,991004034599702656","Catalog Record")</f>
        <v/>
      </c>
      <c r="AV217">
        <f>HYPERLINK("http://www.worldcat.org/oclc/622009","WorldCat Record")</f>
        <v/>
      </c>
      <c r="AW217" t="inlineStr">
        <is>
          <t>1692931:eng</t>
        </is>
      </c>
      <c r="AX217" t="inlineStr">
        <is>
          <t>622009</t>
        </is>
      </c>
      <c r="AY217" t="inlineStr">
        <is>
          <t>991004034599702656</t>
        </is>
      </c>
      <c r="AZ217" t="inlineStr">
        <is>
          <t>991004034599702656</t>
        </is>
      </c>
      <c r="BA217" t="inlineStr">
        <is>
          <t>2257089290002656</t>
        </is>
      </c>
      <c r="BB217" t="inlineStr">
        <is>
          <t>BOOK</t>
        </is>
      </c>
      <c r="BD217" t="inlineStr">
        <is>
          <t>9780128760505</t>
        </is>
      </c>
      <c r="BE217" t="inlineStr">
        <is>
          <t>32285004688189</t>
        </is>
      </c>
      <c r="BF217" t="inlineStr">
        <is>
          <t>893318725</t>
        </is>
      </c>
    </row>
    <row r="218">
      <c r="B218" t="inlineStr">
        <is>
          <t>CURAL</t>
        </is>
      </c>
      <c r="C218" t="inlineStr">
        <is>
          <t>SHELVES</t>
        </is>
      </c>
      <c r="D218" t="inlineStr">
        <is>
          <t>CC75.7 .O275 2003</t>
        </is>
      </c>
      <c r="E218" t="inlineStr">
        <is>
          <t>0                      CC 0075700O  275         2003</t>
        </is>
      </c>
      <c r="F218" t="inlineStr">
        <is>
          <t>Cladistics and archaeology / Michael J. O'Brien and R. Lee Lyman ; with contributions by Daniel S. Glover and John Darwent ; foreword by Robert D. Leonard.</t>
        </is>
      </c>
      <c r="H218" t="inlineStr">
        <is>
          <t>No</t>
        </is>
      </c>
      <c r="I218" t="inlineStr">
        <is>
          <t>1</t>
        </is>
      </c>
      <c r="J218" t="inlineStr">
        <is>
          <t>No</t>
        </is>
      </c>
      <c r="K218" t="inlineStr">
        <is>
          <t>No</t>
        </is>
      </c>
      <c r="L218" t="inlineStr">
        <is>
          <t>0</t>
        </is>
      </c>
      <c r="M218" t="inlineStr">
        <is>
          <t>O'Brien, Michael J. (Michael John), 1950-</t>
        </is>
      </c>
      <c r="N218" t="inlineStr">
        <is>
          <t>Salt Lake City : University of Utah Press, c2003.</t>
        </is>
      </c>
      <c r="O218" t="inlineStr">
        <is>
          <t>2003</t>
        </is>
      </c>
      <c r="Q218" t="inlineStr">
        <is>
          <t>eng</t>
        </is>
      </c>
      <c r="R218" t="inlineStr">
        <is>
          <t>utu</t>
        </is>
      </c>
      <c r="T218" t="inlineStr">
        <is>
          <t xml:space="preserve">CC </t>
        </is>
      </c>
      <c r="U218" t="n">
        <v>1</v>
      </c>
      <c r="V218" t="n">
        <v>1</v>
      </c>
      <c r="W218" t="inlineStr">
        <is>
          <t>2005-05-31</t>
        </is>
      </c>
      <c r="X218" t="inlineStr">
        <is>
          <t>2005-05-31</t>
        </is>
      </c>
      <c r="Y218" t="inlineStr">
        <is>
          <t>2005-05-31</t>
        </is>
      </c>
      <c r="Z218" t="inlineStr">
        <is>
          <t>2005-05-31</t>
        </is>
      </c>
      <c r="AA218" t="n">
        <v>297</v>
      </c>
      <c r="AB218" t="n">
        <v>246</v>
      </c>
      <c r="AC218" t="n">
        <v>253</v>
      </c>
      <c r="AD218" t="n">
        <v>2</v>
      </c>
      <c r="AE218" t="n">
        <v>2</v>
      </c>
      <c r="AF218" t="n">
        <v>7</v>
      </c>
      <c r="AG218" t="n">
        <v>7</v>
      </c>
      <c r="AH218" t="n">
        <v>1</v>
      </c>
      <c r="AI218" t="n">
        <v>1</v>
      </c>
      <c r="AJ218" t="n">
        <v>3</v>
      </c>
      <c r="AK218" t="n">
        <v>3</v>
      </c>
      <c r="AL218" t="n">
        <v>5</v>
      </c>
      <c r="AM218" t="n">
        <v>5</v>
      </c>
      <c r="AN218" t="n">
        <v>1</v>
      </c>
      <c r="AO218" t="n">
        <v>1</v>
      </c>
      <c r="AP218" t="n">
        <v>0</v>
      </c>
      <c r="AQ218" t="n">
        <v>0</v>
      </c>
      <c r="AR218" t="inlineStr">
        <is>
          <t>No</t>
        </is>
      </c>
      <c r="AS218" t="inlineStr">
        <is>
          <t>Yes</t>
        </is>
      </c>
      <c r="AT218">
        <f>HYPERLINK("http://catalog.hathitrust.org/Record/004342387","HathiTrust Record")</f>
        <v/>
      </c>
      <c r="AU218">
        <f>HYPERLINK("https://creighton-primo.hosted.exlibrisgroup.com/primo-explore/search?tab=default_tab&amp;search_scope=EVERYTHING&amp;vid=01CRU&amp;lang=en_US&amp;offset=0&amp;query=any,contains,991004541499702656","Catalog Record")</f>
        <v/>
      </c>
      <c r="AV218">
        <f>HYPERLINK("http://www.worldcat.org/oclc/52091983","WorldCat Record")</f>
        <v/>
      </c>
      <c r="AW218" t="inlineStr">
        <is>
          <t>731206:eng</t>
        </is>
      </c>
      <c r="AX218" t="inlineStr">
        <is>
          <t>52091983</t>
        </is>
      </c>
      <c r="AY218" t="inlineStr">
        <is>
          <t>991004541499702656</t>
        </is>
      </c>
      <c r="AZ218" t="inlineStr">
        <is>
          <t>991004541499702656</t>
        </is>
      </c>
      <c r="BA218" t="inlineStr">
        <is>
          <t>2272696200002656</t>
        </is>
      </c>
      <c r="BB218" t="inlineStr">
        <is>
          <t>BOOK</t>
        </is>
      </c>
      <c r="BD218" t="inlineStr">
        <is>
          <t>9780874807752</t>
        </is>
      </c>
      <c r="BE218" t="inlineStr">
        <is>
          <t>32285005091508</t>
        </is>
      </c>
      <c r="BF218" t="inlineStr">
        <is>
          <t>893888850</t>
        </is>
      </c>
    </row>
    <row r="219">
      <c r="B219" t="inlineStr">
        <is>
          <t>CURAL</t>
        </is>
      </c>
      <c r="C219" t="inlineStr">
        <is>
          <t>SHELVES</t>
        </is>
      </c>
      <c r="D219" t="inlineStr">
        <is>
          <t>CC76 .B87 2009</t>
        </is>
      </c>
      <c r="E219" t="inlineStr">
        <is>
          <t>0                      CC 0076000B  87          2009</t>
        </is>
      </c>
      <c r="F219" t="inlineStr">
        <is>
          <t>The archaeologist's field handbook / Heather Burke, Claire Smith, and Larry J. Zimmerman.</t>
        </is>
      </c>
      <c r="H219" t="inlineStr">
        <is>
          <t>No</t>
        </is>
      </c>
      <c r="I219" t="inlineStr">
        <is>
          <t>1</t>
        </is>
      </c>
      <c r="J219" t="inlineStr">
        <is>
          <t>No</t>
        </is>
      </c>
      <c r="K219" t="inlineStr">
        <is>
          <t>No</t>
        </is>
      </c>
      <c r="L219" t="inlineStr">
        <is>
          <t>0</t>
        </is>
      </c>
      <c r="M219" t="inlineStr">
        <is>
          <t>Burke, Heather, 1966-</t>
        </is>
      </c>
      <c r="N219" t="inlineStr">
        <is>
          <t>Lanham, MD : AltaMira Press, c2009.</t>
        </is>
      </c>
      <c r="O219" t="inlineStr">
        <is>
          <t>2009</t>
        </is>
      </c>
      <c r="P219" t="inlineStr">
        <is>
          <t>North American ed.</t>
        </is>
      </c>
      <c r="Q219" t="inlineStr">
        <is>
          <t>eng</t>
        </is>
      </c>
      <c r="R219" t="inlineStr">
        <is>
          <t>mdu</t>
        </is>
      </c>
      <c r="T219" t="inlineStr">
        <is>
          <t xml:space="preserve">CC </t>
        </is>
      </c>
      <c r="U219" t="n">
        <v>1</v>
      </c>
      <c r="V219" t="n">
        <v>1</v>
      </c>
      <c r="W219" t="inlineStr">
        <is>
          <t>2009-02-04</t>
        </is>
      </c>
      <c r="X219" t="inlineStr">
        <is>
          <t>2009-02-04</t>
        </is>
      </c>
      <c r="Y219" t="inlineStr">
        <is>
          <t>2009-02-04</t>
        </is>
      </c>
      <c r="Z219" t="inlineStr">
        <is>
          <t>2009-02-04</t>
        </is>
      </c>
      <c r="AA219" t="n">
        <v>218</v>
      </c>
      <c r="AB219" t="n">
        <v>186</v>
      </c>
      <c r="AC219" t="n">
        <v>293</v>
      </c>
      <c r="AD219" t="n">
        <v>2</v>
      </c>
      <c r="AE219" t="n">
        <v>2</v>
      </c>
      <c r="AF219" t="n">
        <v>4</v>
      </c>
      <c r="AG219" t="n">
        <v>7</v>
      </c>
      <c r="AH219" t="n">
        <v>1</v>
      </c>
      <c r="AI219" t="n">
        <v>4</v>
      </c>
      <c r="AJ219" t="n">
        <v>1</v>
      </c>
      <c r="AK219" t="n">
        <v>2</v>
      </c>
      <c r="AL219" t="n">
        <v>2</v>
      </c>
      <c r="AM219" t="n">
        <v>3</v>
      </c>
      <c r="AN219" t="n">
        <v>1</v>
      </c>
      <c r="AO219" t="n">
        <v>1</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HYPERLINK("https://creighton-primo.hosted.exlibrisgroup.com/primo-explore/search?tab=default_tab&amp;search_scope=EVERYTHING&amp;vid=01CRU&amp;lang=en_US&amp;offset=0&amp;query=any,contains,991005291129702656","Catalog Record")</f>
        <v/>
      </c>
      <c r="AV219">
        <f>HYPERLINK("http://www.worldcat.org/oclc/215176945","WorldCat Record")</f>
        <v/>
      </c>
      <c r="AW219" t="inlineStr">
        <is>
          <t>58667376:eng</t>
        </is>
      </c>
      <c r="AX219" t="inlineStr">
        <is>
          <t>215176945</t>
        </is>
      </c>
      <c r="AY219" t="inlineStr">
        <is>
          <t>991005291129702656</t>
        </is>
      </c>
      <c r="AZ219" t="inlineStr">
        <is>
          <t>991005291129702656</t>
        </is>
      </c>
      <c r="BA219" t="inlineStr">
        <is>
          <t>2264084580002656</t>
        </is>
      </c>
      <c r="BB219" t="inlineStr">
        <is>
          <t>BOOK</t>
        </is>
      </c>
      <c r="BD219" t="inlineStr">
        <is>
          <t>9780759108820</t>
        </is>
      </c>
      <c r="BE219" t="inlineStr">
        <is>
          <t>32285005502579</t>
        </is>
      </c>
      <c r="BF219" t="inlineStr">
        <is>
          <t>893896193</t>
        </is>
      </c>
    </row>
    <row r="220">
      <c r="B220" t="inlineStr">
        <is>
          <t>CURAL</t>
        </is>
      </c>
      <c r="C220" t="inlineStr">
        <is>
          <t>SHELVES</t>
        </is>
      </c>
      <c r="D220" t="inlineStr">
        <is>
          <t>CC76.4 .G47 2005</t>
        </is>
      </c>
      <c r="E220" t="inlineStr">
        <is>
          <t>0                      CC 0076400G  47          2005</t>
        </is>
      </c>
      <c r="F220" t="inlineStr">
        <is>
          <t>The past from above / Georg Gerster ; edited by Charlotte Trümpler.</t>
        </is>
      </c>
      <c r="H220" t="inlineStr">
        <is>
          <t>No</t>
        </is>
      </c>
      <c r="I220" t="inlineStr">
        <is>
          <t>1</t>
        </is>
      </c>
      <c r="J220" t="inlineStr">
        <is>
          <t>No</t>
        </is>
      </c>
      <c r="K220" t="inlineStr">
        <is>
          <t>No</t>
        </is>
      </c>
      <c r="L220" t="inlineStr">
        <is>
          <t>0</t>
        </is>
      </c>
      <c r="M220" t="inlineStr">
        <is>
          <t>Gerster, Georg, 1928-</t>
        </is>
      </c>
      <c r="N220" t="inlineStr">
        <is>
          <t>London : Frances Lincoln, 2005.</t>
        </is>
      </c>
      <c r="O220" t="inlineStr">
        <is>
          <t>2005</t>
        </is>
      </c>
      <c r="Q220" t="inlineStr">
        <is>
          <t>eng</t>
        </is>
      </c>
      <c r="R220" t="inlineStr">
        <is>
          <t>enk</t>
        </is>
      </c>
      <c r="T220" t="inlineStr">
        <is>
          <t xml:space="preserve">CC </t>
        </is>
      </c>
      <c r="U220" t="n">
        <v>1</v>
      </c>
      <c r="V220" t="n">
        <v>1</v>
      </c>
      <c r="W220" t="inlineStr">
        <is>
          <t>2006-10-23</t>
        </is>
      </c>
      <c r="X220" t="inlineStr">
        <is>
          <t>2006-10-23</t>
        </is>
      </c>
      <c r="Y220" t="inlineStr">
        <is>
          <t>2006-10-23</t>
        </is>
      </c>
      <c r="Z220" t="inlineStr">
        <is>
          <t>2006-10-23</t>
        </is>
      </c>
      <c r="AA220" t="n">
        <v>65</v>
      </c>
      <c r="AB220" t="n">
        <v>38</v>
      </c>
      <c r="AC220" t="n">
        <v>669</v>
      </c>
      <c r="AD220" t="n">
        <v>3</v>
      </c>
      <c r="AE220" t="n">
        <v>5</v>
      </c>
      <c r="AF220" t="n">
        <v>2</v>
      </c>
      <c r="AG220" t="n">
        <v>24</v>
      </c>
      <c r="AH220" t="n">
        <v>1</v>
      </c>
      <c r="AI220" t="n">
        <v>12</v>
      </c>
      <c r="AJ220" t="n">
        <v>0</v>
      </c>
      <c r="AK220" t="n">
        <v>6</v>
      </c>
      <c r="AL220" t="n">
        <v>0</v>
      </c>
      <c r="AM220" t="n">
        <v>12</v>
      </c>
      <c r="AN220" t="n">
        <v>1</v>
      </c>
      <c r="AO220" t="n">
        <v>2</v>
      </c>
      <c r="AP220" t="n">
        <v>0</v>
      </c>
      <c r="AQ220" t="n">
        <v>0</v>
      </c>
      <c r="AR220" t="inlineStr">
        <is>
          <t>No</t>
        </is>
      </c>
      <c r="AS220" t="inlineStr">
        <is>
          <t>Yes</t>
        </is>
      </c>
      <c r="AT220">
        <f>HYPERLINK("http://catalog.hathitrust.org/Record/009929135","HathiTrust Record")</f>
        <v/>
      </c>
      <c r="AU220">
        <f>HYPERLINK("https://creighton-primo.hosted.exlibrisgroup.com/primo-explore/search?tab=default_tab&amp;search_scope=EVERYTHING&amp;vid=01CRU&amp;lang=en_US&amp;offset=0&amp;query=any,contains,991004928989702656","Catalog Record")</f>
        <v/>
      </c>
      <c r="AV220">
        <f>HYPERLINK("http://www.worldcat.org/oclc/61301486","WorldCat Record")</f>
        <v/>
      </c>
      <c r="AW220" t="inlineStr">
        <is>
          <t>428097:eng</t>
        </is>
      </c>
      <c r="AX220" t="inlineStr">
        <is>
          <t>61301486</t>
        </is>
      </c>
      <c r="AY220" t="inlineStr">
        <is>
          <t>991004928989702656</t>
        </is>
      </c>
      <c r="AZ220" t="inlineStr">
        <is>
          <t>991004928989702656</t>
        </is>
      </c>
      <c r="BA220" t="inlineStr">
        <is>
          <t>2258111720002656</t>
        </is>
      </c>
      <c r="BB220" t="inlineStr">
        <is>
          <t>BOOK</t>
        </is>
      </c>
      <c r="BD220" t="inlineStr">
        <is>
          <t>9780711224780</t>
        </is>
      </c>
      <c r="BE220" t="inlineStr">
        <is>
          <t>32285005231203</t>
        </is>
      </c>
      <c r="BF220" t="inlineStr">
        <is>
          <t>893713232</t>
        </is>
      </c>
    </row>
    <row r="221">
      <c r="B221" t="inlineStr">
        <is>
          <t>CURAL</t>
        </is>
      </c>
      <c r="C221" t="inlineStr">
        <is>
          <t>SHELVES</t>
        </is>
      </c>
      <c r="D221" t="inlineStr">
        <is>
          <t>CC77 .B73 1971</t>
        </is>
      </c>
      <c r="E221" t="inlineStr">
        <is>
          <t>0                      CC 0077000B  73          1971</t>
        </is>
      </c>
      <c r="F221" t="inlineStr">
        <is>
          <t>Drawing archaeological finds / by Conant Brodribb.</t>
        </is>
      </c>
      <c r="H221" t="inlineStr">
        <is>
          <t>No</t>
        </is>
      </c>
      <c r="I221" t="inlineStr">
        <is>
          <t>1</t>
        </is>
      </c>
      <c r="J221" t="inlineStr">
        <is>
          <t>No</t>
        </is>
      </c>
      <c r="K221" t="inlineStr">
        <is>
          <t>No</t>
        </is>
      </c>
      <c r="L221" t="inlineStr">
        <is>
          <t>0</t>
        </is>
      </c>
      <c r="M221" t="inlineStr">
        <is>
          <t>Brodribb, A. C. C. (Arthur Charles Conant), 1927-</t>
        </is>
      </c>
      <c r="N221" t="inlineStr">
        <is>
          <t>New York : Association Press, 1971, c1970.</t>
        </is>
      </c>
      <c r="O221" t="inlineStr">
        <is>
          <t>1971</t>
        </is>
      </c>
      <c r="P221" t="inlineStr">
        <is>
          <t>1st American ed.</t>
        </is>
      </c>
      <c r="Q221" t="inlineStr">
        <is>
          <t>eng</t>
        </is>
      </c>
      <c r="R221" t="inlineStr">
        <is>
          <t>nyu</t>
        </is>
      </c>
      <c r="T221" t="inlineStr">
        <is>
          <t xml:space="preserve">CC </t>
        </is>
      </c>
      <c r="U221" t="n">
        <v>1</v>
      </c>
      <c r="V221" t="n">
        <v>1</v>
      </c>
      <c r="W221" t="inlineStr">
        <is>
          <t>2003-03-31</t>
        </is>
      </c>
      <c r="X221" t="inlineStr">
        <is>
          <t>2003-03-31</t>
        </is>
      </c>
      <c r="Y221" t="inlineStr">
        <is>
          <t>2003-03-31</t>
        </is>
      </c>
      <c r="Z221" t="inlineStr">
        <is>
          <t>2003-03-31</t>
        </is>
      </c>
      <c r="AA221" t="n">
        <v>262</v>
      </c>
      <c r="AB221" t="n">
        <v>247</v>
      </c>
      <c r="AC221" t="n">
        <v>255</v>
      </c>
      <c r="AD221" t="n">
        <v>3</v>
      </c>
      <c r="AE221" t="n">
        <v>3</v>
      </c>
      <c r="AF221" t="n">
        <v>7</v>
      </c>
      <c r="AG221" t="n">
        <v>7</v>
      </c>
      <c r="AH221" t="n">
        <v>2</v>
      </c>
      <c r="AI221" t="n">
        <v>2</v>
      </c>
      <c r="AJ221" t="n">
        <v>2</v>
      </c>
      <c r="AK221" t="n">
        <v>2</v>
      </c>
      <c r="AL221" t="n">
        <v>2</v>
      </c>
      <c r="AM221" t="n">
        <v>2</v>
      </c>
      <c r="AN221" t="n">
        <v>2</v>
      </c>
      <c r="AO221" t="n">
        <v>2</v>
      </c>
      <c r="AP221" t="n">
        <v>0</v>
      </c>
      <c r="AQ221" t="n">
        <v>0</v>
      </c>
      <c r="AR221" t="inlineStr">
        <is>
          <t>No</t>
        </is>
      </c>
      <c r="AS221" t="inlineStr">
        <is>
          <t>Yes</t>
        </is>
      </c>
      <c r="AT221">
        <f>HYPERLINK("http://catalog.hathitrust.org/Record/000002146","HathiTrust Record")</f>
        <v/>
      </c>
      <c r="AU221">
        <f>HYPERLINK("https://creighton-primo.hosted.exlibrisgroup.com/primo-explore/search?tab=default_tab&amp;search_scope=EVERYTHING&amp;vid=01CRU&amp;lang=en_US&amp;offset=0&amp;query=any,contains,991004034809702656","Catalog Record")</f>
        <v/>
      </c>
      <c r="AV221">
        <f>HYPERLINK("http://www.worldcat.org/oclc/144485","WorldCat Record")</f>
        <v/>
      </c>
      <c r="AW221" t="inlineStr">
        <is>
          <t>1862346032:eng</t>
        </is>
      </c>
      <c r="AX221" t="inlineStr">
        <is>
          <t>144485</t>
        </is>
      </c>
      <c r="AY221" t="inlineStr">
        <is>
          <t>991004034809702656</t>
        </is>
      </c>
      <c r="AZ221" t="inlineStr">
        <is>
          <t>991004034809702656</t>
        </is>
      </c>
      <c r="BA221" t="inlineStr">
        <is>
          <t>2257459170002656</t>
        </is>
      </c>
      <c r="BB221" t="inlineStr">
        <is>
          <t>BOOK</t>
        </is>
      </c>
      <c r="BD221" t="inlineStr">
        <is>
          <t>9780809618064</t>
        </is>
      </c>
      <c r="BE221" t="inlineStr">
        <is>
          <t>32285004688221</t>
        </is>
      </c>
      <c r="BF221" t="inlineStr">
        <is>
          <t>893240933</t>
        </is>
      </c>
    </row>
    <row r="222">
      <c r="B222" t="inlineStr">
        <is>
          <t>CURAL</t>
        </is>
      </c>
      <c r="C222" t="inlineStr">
        <is>
          <t>SHELVES</t>
        </is>
      </c>
      <c r="D222" t="inlineStr">
        <is>
          <t>CC77.H5 L58 2007</t>
        </is>
      </c>
      <c r="E222" t="inlineStr">
        <is>
          <t>0                      CC 0077000H  5                  L  58          2007</t>
        </is>
      </c>
      <c r="F222" t="inlineStr">
        <is>
          <t>Historical archaeology : why the past matters / Barbara J. Little.</t>
        </is>
      </c>
      <c r="H222" t="inlineStr">
        <is>
          <t>No</t>
        </is>
      </c>
      <c r="I222" t="inlineStr">
        <is>
          <t>1</t>
        </is>
      </c>
      <c r="J222" t="inlineStr">
        <is>
          <t>No</t>
        </is>
      </c>
      <c r="K222" t="inlineStr">
        <is>
          <t>No</t>
        </is>
      </c>
      <c r="L222" t="inlineStr">
        <is>
          <t>0</t>
        </is>
      </c>
      <c r="M222" t="inlineStr">
        <is>
          <t>Little, Barbara J.</t>
        </is>
      </c>
      <c r="N222" t="inlineStr">
        <is>
          <t>Walnut Creek, Calif. : Left Coast Press, c2007.</t>
        </is>
      </c>
      <c r="O222" t="inlineStr">
        <is>
          <t>2007</t>
        </is>
      </c>
      <c r="Q222" t="inlineStr">
        <is>
          <t>eng</t>
        </is>
      </c>
      <c r="R222" t="inlineStr">
        <is>
          <t>cau</t>
        </is>
      </c>
      <c r="T222" t="inlineStr">
        <is>
          <t xml:space="preserve">CC </t>
        </is>
      </c>
      <c r="U222" t="n">
        <v>1</v>
      </c>
      <c r="V222" t="n">
        <v>1</v>
      </c>
      <c r="W222" t="inlineStr">
        <is>
          <t>2008-05-07</t>
        </is>
      </c>
      <c r="X222" t="inlineStr">
        <is>
          <t>2008-05-07</t>
        </is>
      </c>
      <c r="Y222" t="inlineStr">
        <is>
          <t>2008-05-07</t>
        </is>
      </c>
      <c r="Z222" t="inlineStr">
        <is>
          <t>2008-05-07</t>
        </is>
      </c>
      <c r="AA222" t="n">
        <v>638</v>
      </c>
      <c r="AB222" t="n">
        <v>554</v>
      </c>
      <c r="AC222" t="n">
        <v>578</v>
      </c>
      <c r="AD222" t="n">
        <v>5</v>
      </c>
      <c r="AE222" t="n">
        <v>5</v>
      </c>
      <c r="AF222" t="n">
        <v>20</v>
      </c>
      <c r="AG222" t="n">
        <v>20</v>
      </c>
      <c r="AH222" t="n">
        <v>10</v>
      </c>
      <c r="AI222" t="n">
        <v>10</v>
      </c>
      <c r="AJ222" t="n">
        <v>2</v>
      </c>
      <c r="AK222" t="n">
        <v>2</v>
      </c>
      <c r="AL222" t="n">
        <v>10</v>
      </c>
      <c r="AM222" t="n">
        <v>10</v>
      </c>
      <c r="AN222" t="n">
        <v>3</v>
      </c>
      <c r="AO222" t="n">
        <v>3</v>
      </c>
      <c r="AP222" t="n">
        <v>0</v>
      </c>
      <c r="AQ222" t="n">
        <v>0</v>
      </c>
      <c r="AR222" t="inlineStr">
        <is>
          <t>No</t>
        </is>
      </c>
      <c r="AS222" t="inlineStr">
        <is>
          <t>No</t>
        </is>
      </c>
      <c r="AU222">
        <f>HYPERLINK("https://creighton-primo.hosted.exlibrisgroup.com/primo-explore/search?tab=default_tab&amp;search_scope=EVERYTHING&amp;vid=01CRU&amp;lang=en_US&amp;offset=0&amp;query=any,contains,991005210649702656","Catalog Record")</f>
        <v/>
      </c>
      <c r="AV222">
        <f>HYPERLINK("http://www.worldcat.org/oclc/71044344","WorldCat Record")</f>
        <v/>
      </c>
      <c r="AW222" t="inlineStr">
        <is>
          <t>329602092:eng</t>
        </is>
      </c>
      <c r="AX222" t="inlineStr">
        <is>
          <t>71044344</t>
        </is>
      </c>
      <c r="AY222" t="inlineStr">
        <is>
          <t>991005210649702656</t>
        </is>
      </c>
      <c r="AZ222" t="inlineStr">
        <is>
          <t>991005210649702656</t>
        </is>
      </c>
      <c r="BA222" t="inlineStr">
        <is>
          <t>2268559940002656</t>
        </is>
      </c>
      <c r="BB222" t="inlineStr">
        <is>
          <t>BOOK</t>
        </is>
      </c>
      <c r="BD222" t="inlineStr">
        <is>
          <t>9781598740226</t>
        </is>
      </c>
      <c r="BE222" t="inlineStr">
        <is>
          <t>32285005405971</t>
        </is>
      </c>
      <c r="BF222" t="inlineStr">
        <is>
          <t>893527110</t>
        </is>
      </c>
    </row>
    <row r="223">
      <c r="B223" t="inlineStr">
        <is>
          <t>CURAL</t>
        </is>
      </c>
      <c r="C223" t="inlineStr">
        <is>
          <t>SHELVES</t>
        </is>
      </c>
      <c r="D223" t="inlineStr">
        <is>
          <t>CC77.H5 S73 2001</t>
        </is>
      </c>
      <c r="E223" t="inlineStr">
        <is>
          <t>0                      CC 0077000H  5                  S  73          2001</t>
        </is>
      </c>
      <c r="F223" t="inlineStr">
        <is>
          <t>The archaeology of power : England and northern Europe, AD 800-1600 / John M. Steane.</t>
        </is>
      </c>
      <c r="H223" t="inlineStr">
        <is>
          <t>No</t>
        </is>
      </c>
      <c r="I223" t="inlineStr">
        <is>
          <t>1</t>
        </is>
      </c>
      <c r="J223" t="inlineStr">
        <is>
          <t>No</t>
        </is>
      </c>
      <c r="K223" t="inlineStr">
        <is>
          <t>No</t>
        </is>
      </c>
      <c r="L223" t="inlineStr">
        <is>
          <t>0</t>
        </is>
      </c>
      <c r="M223" t="inlineStr">
        <is>
          <t>Steane, John.</t>
        </is>
      </c>
      <c r="N223" t="inlineStr">
        <is>
          <t>Stroud : Tempus, 2001.</t>
        </is>
      </c>
      <c r="O223" t="inlineStr">
        <is>
          <t>2001</t>
        </is>
      </c>
      <c r="Q223" t="inlineStr">
        <is>
          <t>eng</t>
        </is>
      </c>
      <c r="R223" t="inlineStr">
        <is>
          <t>enk</t>
        </is>
      </c>
      <c r="T223" t="inlineStr">
        <is>
          <t xml:space="preserve">CC </t>
        </is>
      </c>
      <c r="U223" t="n">
        <v>2</v>
      </c>
      <c r="V223" t="n">
        <v>2</v>
      </c>
      <c r="W223" t="inlineStr">
        <is>
          <t>2003-11-06</t>
        </is>
      </c>
      <c r="X223" t="inlineStr">
        <is>
          <t>2003-11-06</t>
        </is>
      </c>
      <c r="Y223" t="inlineStr">
        <is>
          <t>2003-11-06</t>
        </is>
      </c>
      <c r="Z223" t="inlineStr">
        <is>
          <t>2003-11-06</t>
        </is>
      </c>
      <c r="AA223" t="n">
        <v>122</v>
      </c>
      <c r="AB223" t="n">
        <v>71</v>
      </c>
      <c r="AC223" t="n">
        <v>74</v>
      </c>
      <c r="AD223" t="n">
        <v>1</v>
      </c>
      <c r="AE223" t="n">
        <v>1</v>
      </c>
      <c r="AF223" t="n">
        <v>6</v>
      </c>
      <c r="AG223" t="n">
        <v>6</v>
      </c>
      <c r="AH223" t="n">
        <v>3</v>
      </c>
      <c r="AI223" t="n">
        <v>3</v>
      </c>
      <c r="AJ223" t="n">
        <v>2</v>
      </c>
      <c r="AK223" t="n">
        <v>2</v>
      </c>
      <c r="AL223" t="n">
        <v>5</v>
      </c>
      <c r="AM223" t="n">
        <v>5</v>
      </c>
      <c r="AN223" t="n">
        <v>0</v>
      </c>
      <c r="AO223" t="n">
        <v>0</v>
      </c>
      <c r="AP223" t="n">
        <v>0</v>
      </c>
      <c r="AQ223" t="n">
        <v>0</v>
      </c>
      <c r="AR223" t="inlineStr">
        <is>
          <t>No</t>
        </is>
      </c>
      <c r="AS223" t="inlineStr">
        <is>
          <t>Yes</t>
        </is>
      </c>
      <c r="AT223">
        <f>HYPERLINK("http://catalog.hathitrust.org/Record/102019500","HathiTrust Record")</f>
        <v/>
      </c>
      <c r="AU223">
        <f>HYPERLINK("https://creighton-primo.hosted.exlibrisgroup.com/primo-explore/search?tab=default_tab&amp;search_scope=EVERYTHING&amp;vid=01CRU&amp;lang=en_US&amp;offset=0&amp;query=any,contains,991004155729702656","Catalog Record")</f>
        <v/>
      </c>
      <c r="AV223">
        <f>HYPERLINK("http://www.worldcat.org/oclc/47637739","WorldCat Record")</f>
        <v/>
      </c>
      <c r="AW223" t="inlineStr">
        <is>
          <t>222224287:eng</t>
        </is>
      </c>
      <c r="AX223" t="inlineStr">
        <is>
          <t>47637739</t>
        </is>
      </c>
      <c r="AY223" t="inlineStr">
        <is>
          <t>991004155729702656</t>
        </is>
      </c>
      <c r="AZ223" t="inlineStr">
        <is>
          <t>991004155729702656</t>
        </is>
      </c>
      <c r="BA223" t="inlineStr">
        <is>
          <t>2272338740002656</t>
        </is>
      </c>
      <c r="BB223" t="inlineStr">
        <is>
          <t>BOOK</t>
        </is>
      </c>
      <c r="BD223" t="inlineStr">
        <is>
          <t>9780752419336</t>
        </is>
      </c>
      <c r="BE223" t="inlineStr">
        <is>
          <t>32285004795299</t>
        </is>
      </c>
      <c r="BF223" t="inlineStr">
        <is>
          <t>893435954</t>
        </is>
      </c>
    </row>
    <row r="224">
      <c r="B224" t="inlineStr">
        <is>
          <t>CURAL</t>
        </is>
      </c>
      <c r="C224" t="inlineStr">
        <is>
          <t>SHELVES</t>
        </is>
      </c>
      <c r="D224" t="inlineStr">
        <is>
          <t>CC77.U5 S53 1983</t>
        </is>
      </c>
      <c r="E224" t="inlineStr">
        <is>
          <t>0                      CC 0077000U  5                  S  53          1983</t>
        </is>
      </c>
      <c r="F224" t="inlineStr">
        <is>
          <t>Shipwreck anthropology / edited by Richard A. Gould.</t>
        </is>
      </c>
      <c r="H224" t="inlineStr">
        <is>
          <t>No</t>
        </is>
      </c>
      <c r="I224" t="inlineStr">
        <is>
          <t>1</t>
        </is>
      </c>
      <c r="J224" t="inlineStr">
        <is>
          <t>No</t>
        </is>
      </c>
      <c r="K224" t="inlineStr">
        <is>
          <t>No</t>
        </is>
      </c>
      <c r="L224" t="inlineStr">
        <is>
          <t>0</t>
        </is>
      </c>
      <c r="N224" t="inlineStr">
        <is>
          <t>Albuquerque : University of New Mexico, c1983.</t>
        </is>
      </c>
      <c r="O224" t="inlineStr">
        <is>
          <t>1983</t>
        </is>
      </c>
      <c r="P224" t="inlineStr">
        <is>
          <t>1st ed.</t>
        </is>
      </c>
      <c r="Q224" t="inlineStr">
        <is>
          <t>eng</t>
        </is>
      </c>
      <c r="R224" t="inlineStr">
        <is>
          <t>nmu</t>
        </is>
      </c>
      <c r="S224" t="inlineStr">
        <is>
          <t>School of American Research advanced seminar series</t>
        </is>
      </c>
      <c r="T224" t="inlineStr">
        <is>
          <t xml:space="preserve">CC </t>
        </is>
      </c>
      <c r="U224" t="n">
        <v>4</v>
      </c>
      <c r="V224" t="n">
        <v>4</v>
      </c>
      <c r="W224" t="inlineStr">
        <is>
          <t>1994-11-06</t>
        </is>
      </c>
      <c r="X224" t="inlineStr">
        <is>
          <t>1994-11-06</t>
        </is>
      </c>
      <c r="Y224" t="inlineStr">
        <is>
          <t>1990-02-13</t>
        </is>
      </c>
      <c r="Z224" t="inlineStr">
        <is>
          <t>1990-02-13</t>
        </is>
      </c>
      <c r="AA224" t="n">
        <v>465</v>
      </c>
      <c r="AB224" t="n">
        <v>415</v>
      </c>
      <c r="AC224" t="n">
        <v>422</v>
      </c>
      <c r="AD224" t="n">
        <v>3</v>
      </c>
      <c r="AE224" t="n">
        <v>3</v>
      </c>
      <c r="AF224" t="n">
        <v>6</v>
      </c>
      <c r="AG224" t="n">
        <v>6</v>
      </c>
      <c r="AH224" t="n">
        <v>1</v>
      </c>
      <c r="AI224" t="n">
        <v>1</v>
      </c>
      <c r="AJ224" t="n">
        <v>3</v>
      </c>
      <c r="AK224" t="n">
        <v>3</v>
      </c>
      <c r="AL224" t="n">
        <v>3</v>
      </c>
      <c r="AM224" t="n">
        <v>3</v>
      </c>
      <c r="AN224" t="n">
        <v>2</v>
      </c>
      <c r="AO224" t="n">
        <v>2</v>
      </c>
      <c r="AP224" t="n">
        <v>0</v>
      </c>
      <c r="AQ224" t="n">
        <v>0</v>
      </c>
      <c r="AR224" t="inlineStr">
        <is>
          <t>No</t>
        </is>
      </c>
      <c r="AS224" t="inlineStr">
        <is>
          <t>Yes</t>
        </is>
      </c>
      <c r="AT224">
        <f>HYPERLINK("http://catalog.hathitrust.org/Record/000414432","HathiTrust Record")</f>
        <v/>
      </c>
      <c r="AU224">
        <f>HYPERLINK("https://creighton-primo.hosted.exlibrisgroup.com/primo-explore/search?tab=default_tab&amp;search_scope=EVERYTHING&amp;vid=01CRU&amp;lang=en_US&amp;offset=0&amp;query=any,contains,991000162189702656","Catalog Record")</f>
        <v/>
      </c>
      <c r="AV224">
        <f>HYPERLINK("http://www.worldcat.org/oclc/9280788","WorldCat Record")</f>
        <v/>
      </c>
      <c r="AW224" t="inlineStr">
        <is>
          <t>365807908:eng</t>
        </is>
      </c>
      <c r="AX224" t="inlineStr">
        <is>
          <t>9280788</t>
        </is>
      </c>
      <c r="AY224" t="inlineStr">
        <is>
          <t>991000162189702656</t>
        </is>
      </c>
      <c r="AZ224" t="inlineStr">
        <is>
          <t>991000162189702656</t>
        </is>
      </c>
      <c r="BA224" t="inlineStr">
        <is>
          <t>2260756300002656</t>
        </is>
      </c>
      <c r="BB224" t="inlineStr">
        <is>
          <t>BOOK</t>
        </is>
      </c>
      <c r="BD224" t="inlineStr">
        <is>
          <t>9780826306876</t>
        </is>
      </c>
      <c r="BE224" t="inlineStr">
        <is>
          <t>32285000050566</t>
        </is>
      </c>
      <c r="BF224" t="inlineStr">
        <is>
          <t>893413139</t>
        </is>
      </c>
    </row>
    <row r="225">
      <c r="B225" t="inlineStr">
        <is>
          <t>CURAL</t>
        </is>
      </c>
      <c r="C225" t="inlineStr">
        <is>
          <t>SHELVES</t>
        </is>
      </c>
      <c r="D225" t="inlineStr">
        <is>
          <t>CD950 .F67 1990</t>
        </is>
      </c>
      <c r="E225" t="inlineStr">
        <is>
          <t>0                      CD 0950000F  67          1990</t>
        </is>
      </c>
      <c r="F225" t="inlineStr">
        <is>
          <t>Archival principles and practice : a guide for archives management / by Jeanette White Ford.</t>
        </is>
      </c>
      <c r="H225" t="inlineStr">
        <is>
          <t>No</t>
        </is>
      </c>
      <c r="I225" t="inlineStr">
        <is>
          <t>1</t>
        </is>
      </c>
      <c r="J225" t="inlineStr">
        <is>
          <t>No</t>
        </is>
      </c>
      <c r="K225" t="inlineStr">
        <is>
          <t>No</t>
        </is>
      </c>
      <c r="L225" t="inlineStr">
        <is>
          <t>0</t>
        </is>
      </c>
      <c r="M225" t="inlineStr">
        <is>
          <t>Ford, Jeanette White, 1929-</t>
        </is>
      </c>
      <c r="N225" t="inlineStr">
        <is>
          <t>Jefferson, N.C. : McFarland, c1990.</t>
        </is>
      </c>
      <c r="O225" t="inlineStr">
        <is>
          <t>1990</t>
        </is>
      </c>
      <c r="Q225" t="inlineStr">
        <is>
          <t>eng</t>
        </is>
      </c>
      <c r="R225" t="inlineStr">
        <is>
          <t>ncu</t>
        </is>
      </c>
      <c r="T225" t="inlineStr">
        <is>
          <t xml:space="preserve">CD </t>
        </is>
      </c>
      <c r="U225" t="n">
        <v>4</v>
      </c>
      <c r="V225" t="n">
        <v>4</v>
      </c>
      <c r="W225" t="inlineStr">
        <is>
          <t>2006-08-01</t>
        </is>
      </c>
      <c r="X225" t="inlineStr">
        <is>
          <t>2006-08-01</t>
        </is>
      </c>
      <c r="Y225" t="inlineStr">
        <is>
          <t>1990-11-13</t>
        </is>
      </c>
      <c r="Z225" t="inlineStr">
        <is>
          <t>1990-11-13</t>
        </is>
      </c>
      <c r="AA225" t="n">
        <v>311</v>
      </c>
      <c r="AB225" t="n">
        <v>252</v>
      </c>
      <c r="AC225" t="n">
        <v>259</v>
      </c>
      <c r="AD225" t="n">
        <v>1</v>
      </c>
      <c r="AE225" t="n">
        <v>1</v>
      </c>
      <c r="AF225" t="n">
        <v>7</v>
      </c>
      <c r="AG225" t="n">
        <v>7</v>
      </c>
      <c r="AH225" t="n">
        <v>2</v>
      </c>
      <c r="AI225" t="n">
        <v>2</v>
      </c>
      <c r="AJ225" t="n">
        <v>0</v>
      </c>
      <c r="AK225" t="n">
        <v>0</v>
      </c>
      <c r="AL225" t="n">
        <v>5</v>
      </c>
      <c r="AM225" t="n">
        <v>5</v>
      </c>
      <c r="AN225" t="n">
        <v>0</v>
      </c>
      <c r="AO225" t="n">
        <v>0</v>
      </c>
      <c r="AP225" t="n">
        <v>2</v>
      </c>
      <c r="AQ225" t="n">
        <v>2</v>
      </c>
      <c r="AR225" t="inlineStr">
        <is>
          <t>No</t>
        </is>
      </c>
      <c r="AS225" t="inlineStr">
        <is>
          <t>Yes</t>
        </is>
      </c>
      <c r="AT225">
        <f>HYPERLINK("http://catalog.hathitrust.org/Record/001836209","HathiTrust Record")</f>
        <v/>
      </c>
      <c r="AU225">
        <f>HYPERLINK("https://creighton-primo.hosted.exlibrisgroup.com/primo-explore/search?tab=default_tab&amp;search_scope=EVERYTHING&amp;vid=01CRU&amp;lang=en_US&amp;offset=0&amp;query=any,contains,991001619259702656","Catalog Record")</f>
        <v/>
      </c>
      <c r="AV225">
        <f>HYPERLINK("http://www.worldcat.org/oclc/20800520","WorldCat Record")</f>
        <v/>
      </c>
      <c r="AW225" t="inlineStr">
        <is>
          <t>21985043:eng</t>
        </is>
      </c>
      <c r="AX225" t="inlineStr">
        <is>
          <t>20800520</t>
        </is>
      </c>
      <c r="AY225" t="inlineStr">
        <is>
          <t>991001619259702656</t>
        </is>
      </c>
      <c r="AZ225" t="inlineStr">
        <is>
          <t>991001619259702656</t>
        </is>
      </c>
      <c r="BA225" t="inlineStr">
        <is>
          <t>2255590870002656</t>
        </is>
      </c>
      <c r="BB225" t="inlineStr">
        <is>
          <t>BOOK</t>
        </is>
      </c>
      <c r="BD225" t="inlineStr">
        <is>
          <t>9780899504803</t>
        </is>
      </c>
      <c r="BE225" t="inlineStr">
        <is>
          <t>32285000314640</t>
        </is>
      </c>
      <c r="BF225" t="inlineStr">
        <is>
          <t>893785223</t>
        </is>
      </c>
    </row>
    <row r="226">
      <c r="B226" t="inlineStr">
        <is>
          <t>CURAL</t>
        </is>
      </c>
      <c r="C226" t="inlineStr">
        <is>
          <t>SHELVES</t>
        </is>
      </c>
      <c r="D226" t="inlineStr">
        <is>
          <t>CD950 .K44 1987</t>
        </is>
      </c>
      <c r="E226" t="inlineStr">
        <is>
          <t>0                      CD 0950000K  44          1987</t>
        </is>
      </c>
      <c r="F226" t="inlineStr">
        <is>
          <t>Keeping archives / editor-in-chief, Ann Pederson ; editorial board, Sigrid McCausland ... [et al.].</t>
        </is>
      </c>
      <c r="H226" t="inlineStr">
        <is>
          <t>No</t>
        </is>
      </c>
      <c r="I226" t="inlineStr">
        <is>
          <t>1</t>
        </is>
      </c>
      <c r="J226" t="inlineStr">
        <is>
          <t>No</t>
        </is>
      </c>
      <c r="K226" t="inlineStr">
        <is>
          <t>No</t>
        </is>
      </c>
      <c r="L226" t="inlineStr">
        <is>
          <t>0</t>
        </is>
      </c>
      <c r="N226" t="inlineStr">
        <is>
          <t>Sydney : Australian Society of Archivists Inc., 1987.</t>
        </is>
      </c>
      <c r="O226" t="inlineStr">
        <is>
          <t>1987</t>
        </is>
      </c>
      <c r="Q226" t="inlineStr">
        <is>
          <t>eng</t>
        </is>
      </c>
      <c r="R226" t="inlineStr">
        <is>
          <t xml:space="preserve">at </t>
        </is>
      </c>
      <c r="T226" t="inlineStr">
        <is>
          <t xml:space="preserve">CD </t>
        </is>
      </c>
      <c r="U226" t="n">
        <v>3</v>
      </c>
      <c r="V226" t="n">
        <v>3</v>
      </c>
      <c r="W226" t="inlineStr">
        <is>
          <t>2006-06-01</t>
        </is>
      </c>
      <c r="X226" t="inlineStr">
        <is>
          <t>2006-06-01</t>
        </is>
      </c>
      <c r="Y226" t="inlineStr">
        <is>
          <t>1990-12-04</t>
        </is>
      </c>
      <c r="Z226" t="inlineStr">
        <is>
          <t>1990-12-04</t>
        </is>
      </c>
      <c r="AA226" t="n">
        <v>499</v>
      </c>
      <c r="AB226" t="n">
        <v>341</v>
      </c>
      <c r="AC226" t="n">
        <v>355</v>
      </c>
      <c r="AD226" t="n">
        <v>2</v>
      </c>
      <c r="AE226" t="n">
        <v>2</v>
      </c>
      <c r="AF226" t="n">
        <v>9</v>
      </c>
      <c r="AG226" t="n">
        <v>9</v>
      </c>
      <c r="AH226" t="n">
        <v>1</v>
      </c>
      <c r="AI226" t="n">
        <v>1</v>
      </c>
      <c r="AJ226" t="n">
        <v>4</v>
      </c>
      <c r="AK226" t="n">
        <v>4</v>
      </c>
      <c r="AL226" t="n">
        <v>4</v>
      </c>
      <c r="AM226" t="n">
        <v>4</v>
      </c>
      <c r="AN226" t="n">
        <v>1</v>
      </c>
      <c r="AO226" t="n">
        <v>1</v>
      </c>
      <c r="AP226" t="n">
        <v>1</v>
      </c>
      <c r="AQ226" t="n">
        <v>1</v>
      </c>
      <c r="AR226" t="inlineStr">
        <is>
          <t>No</t>
        </is>
      </c>
      <c r="AS226" t="inlineStr">
        <is>
          <t>Yes</t>
        </is>
      </c>
      <c r="AT226">
        <f>HYPERLINK("http://catalog.hathitrust.org/Record/000847638","HathiTrust Record")</f>
        <v/>
      </c>
      <c r="AU226">
        <f>HYPERLINK("https://creighton-primo.hosted.exlibrisgroup.com/primo-explore/search?tab=default_tab&amp;search_scope=EVERYTHING&amp;vid=01CRU&amp;lang=en_US&amp;offset=0&amp;query=any,contains,991001368539702656","Catalog Record")</f>
        <v/>
      </c>
      <c r="AV226">
        <f>HYPERLINK("http://www.worldcat.org/oclc/18560254","WorldCat Record")</f>
        <v/>
      </c>
      <c r="AW226" t="inlineStr">
        <is>
          <t>1881987210:eng</t>
        </is>
      </c>
      <c r="AX226" t="inlineStr">
        <is>
          <t>18560254</t>
        </is>
      </c>
      <c r="AY226" t="inlineStr">
        <is>
          <t>991001368539702656</t>
        </is>
      </c>
      <c r="AZ226" t="inlineStr">
        <is>
          <t>991001368539702656</t>
        </is>
      </c>
      <c r="BA226" t="inlineStr">
        <is>
          <t>2271382410002656</t>
        </is>
      </c>
      <c r="BB226" t="inlineStr">
        <is>
          <t>BOOK</t>
        </is>
      </c>
      <c r="BD226" t="inlineStr">
        <is>
          <t>9780959556599</t>
        </is>
      </c>
      <c r="BE226" t="inlineStr">
        <is>
          <t>32285000358456</t>
        </is>
      </c>
      <c r="BF226" t="inlineStr">
        <is>
          <t>893261821</t>
        </is>
      </c>
    </row>
    <row r="227">
      <c r="B227" t="inlineStr">
        <is>
          <t>CURAL</t>
        </is>
      </c>
      <c r="C227" t="inlineStr">
        <is>
          <t>SHELVES</t>
        </is>
      </c>
      <c r="D227" t="inlineStr">
        <is>
          <t>CE11 .P5 1978</t>
        </is>
      </c>
      <c r="E227" t="inlineStr">
        <is>
          <t>0                      CE 0011000P  5           1978</t>
        </is>
      </c>
      <c r="F227" t="inlineStr">
        <is>
          <t>The phenomenon book of calendars, 1979-1980 : from March 1979 to March 1980 / by Giuseppe Maria Sesti...[et al.].</t>
        </is>
      </c>
      <c r="H227" t="inlineStr">
        <is>
          <t>No</t>
        </is>
      </c>
      <c r="I227" t="inlineStr">
        <is>
          <t>1</t>
        </is>
      </c>
      <c r="J227" t="inlineStr">
        <is>
          <t>No</t>
        </is>
      </c>
      <c r="K227" t="inlineStr">
        <is>
          <t>No</t>
        </is>
      </c>
      <c r="L227" t="inlineStr">
        <is>
          <t>0</t>
        </is>
      </c>
      <c r="N227" t="inlineStr">
        <is>
          <t>New York : Simon and Schuster, c1978.</t>
        </is>
      </c>
      <c r="O227" t="inlineStr">
        <is>
          <t>1978</t>
        </is>
      </c>
      <c r="Q227" t="inlineStr">
        <is>
          <t>eng</t>
        </is>
      </c>
      <c r="R227" t="inlineStr">
        <is>
          <t>nyu</t>
        </is>
      </c>
      <c r="T227" t="inlineStr">
        <is>
          <t xml:space="preserve">CE </t>
        </is>
      </c>
      <c r="U227" t="n">
        <v>11</v>
      </c>
      <c r="V227" t="n">
        <v>11</v>
      </c>
      <c r="W227" t="inlineStr">
        <is>
          <t>1998-12-18</t>
        </is>
      </c>
      <c r="X227" t="inlineStr">
        <is>
          <t>1998-12-18</t>
        </is>
      </c>
      <c r="Y227" t="inlineStr">
        <is>
          <t>1991-12-04</t>
        </is>
      </c>
      <c r="Z227" t="inlineStr">
        <is>
          <t>1991-12-04</t>
        </is>
      </c>
      <c r="AA227" t="n">
        <v>43</v>
      </c>
      <c r="AB227" t="n">
        <v>43</v>
      </c>
      <c r="AC227" t="n">
        <v>47</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HYPERLINK("https://creighton-primo.hosted.exlibrisgroup.com/primo-explore/search?tab=default_tab&amp;search_scope=EVERYTHING&amp;vid=01CRU&amp;lang=en_US&amp;offset=0&amp;query=any,contains,991004708629702656","Catalog Record")</f>
        <v/>
      </c>
      <c r="AV227">
        <f>HYPERLINK("http://www.worldcat.org/oclc/4739123","WorldCat Record")</f>
        <v/>
      </c>
      <c r="AW227" t="inlineStr">
        <is>
          <t>3372663413:eng</t>
        </is>
      </c>
      <c r="AX227" t="inlineStr">
        <is>
          <t>4739123</t>
        </is>
      </c>
      <c r="AY227" t="inlineStr">
        <is>
          <t>991004708629702656</t>
        </is>
      </c>
      <c r="AZ227" t="inlineStr">
        <is>
          <t>991004708629702656</t>
        </is>
      </c>
      <c r="BA227" t="inlineStr">
        <is>
          <t>2259011060002656</t>
        </is>
      </c>
      <c r="BB227" t="inlineStr">
        <is>
          <t>BOOK</t>
        </is>
      </c>
      <c r="BD227" t="inlineStr">
        <is>
          <t>9780671242473</t>
        </is>
      </c>
      <c r="BE227" t="inlineStr">
        <is>
          <t>32285000847201</t>
        </is>
      </c>
      <c r="BF227" t="inlineStr">
        <is>
          <t>893801254</t>
        </is>
      </c>
    </row>
    <row r="228">
      <c r="B228" t="inlineStr">
        <is>
          <t>CURAL</t>
        </is>
      </c>
      <c r="C228" t="inlineStr">
        <is>
          <t>SHELVES</t>
        </is>
      </c>
      <c r="D228" t="inlineStr">
        <is>
          <t>CJ151 .S8</t>
        </is>
      </c>
      <c r="E228" t="inlineStr">
        <is>
          <t>0                      CJ 0151000S  8</t>
        </is>
      </c>
      <c r="F228" t="inlineStr">
        <is>
          <t>Art in coinage; the aesthetics of money from Greece to the present day.</t>
        </is>
      </c>
      <c r="H228" t="inlineStr">
        <is>
          <t>No</t>
        </is>
      </c>
      <c r="I228" t="inlineStr">
        <is>
          <t>1</t>
        </is>
      </c>
      <c r="J228" t="inlineStr">
        <is>
          <t>No</t>
        </is>
      </c>
      <c r="K228" t="inlineStr">
        <is>
          <t>No</t>
        </is>
      </c>
      <c r="L228" t="inlineStr">
        <is>
          <t>0</t>
        </is>
      </c>
      <c r="M228" t="inlineStr">
        <is>
          <t>Sutherland, C. H. V. (Carol Humphrey Vivian), 1908-1986.</t>
        </is>
      </c>
      <c r="N228" t="inlineStr">
        <is>
          <t>New York, Philosophical Library [1956]</t>
        </is>
      </c>
      <c r="O228" t="inlineStr">
        <is>
          <t>1956</t>
        </is>
      </c>
      <c r="Q228" t="inlineStr">
        <is>
          <t>eng</t>
        </is>
      </c>
      <c r="R228" t="inlineStr">
        <is>
          <t>nyu</t>
        </is>
      </c>
      <c r="T228" t="inlineStr">
        <is>
          <t xml:space="preserve">CJ </t>
        </is>
      </c>
      <c r="U228" t="n">
        <v>5</v>
      </c>
      <c r="V228" t="n">
        <v>5</v>
      </c>
      <c r="W228" t="inlineStr">
        <is>
          <t>1999-11-30</t>
        </is>
      </c>
      <c r="X228" t="inlineStr">
        <is>
          <t>1999-11-30</t>
        </is>
      </c>
      <c r="Y228" t="inlineStr">
        <is>
          <t>1996-08-20</t>
        </is>
      </c>
      <c r="Z228" t="inlineStr">
        <is>
          <t>1996-08-20</t>
        </is>
      </c>
      <c r="AA228" t="n">
        <v>92</v>
      </c>
      <c r="AB228" t="n">
        <v>91</v>
      </c>
      <c r="AC228" t="n">
        <v>225</v>
      </c>
      <c r="AD228" t="n">
        <v>1</v>
      </c>
      <c r="AE228" t="n">
        <v>3</v>
      </c>
      <c r="AF228" t="n">
        <v>1</v>
      </c>
      <c r="AG228" t="n">
        <v>7</v>
      </c>
      <c r="AH228" t="n">
        <v>1</v>
      </c>
      <c r="AI228" t="n">
        <v>3</v>
      </c>
      <c r="AJ228" t="n">
        <v>0</v>
      </c>
      <c r="AK228" t="n">
        <v>0</v>
      </c>
      <c r="AL228" t="n">
        <v>0</v>
      </c>
      <c r="AM228" t="n">
        <v>5</v>
      </c>
      <c r="AN228" t="n">
        <v>0</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HYPERLINK("https://creighton-primo.hosted.exlibrisgroup.com/primo-explore/search?tab=default_tab&amp;search_scope=EVERYTHING&amp;vid=01CRU&amp;lang=en_US&amp;offset=0&amp;query=any,contains,991003644129702656","Catalog Record")</f>
        <v/>
      </c>
      <c r="AV228">
        <f>HYPERLINK("http://www.worldcat.org/oclc/1243521","WorldCat Record")</f>
        <v/>
      </c>
      <c r="AW228" t="inlineStr">
        <is>
          <t>2149714:eng</t>
        </is>
      </c>
      <c r="AX228" t="inlineStr">
        <is>
          <t>1243521</t>
        </is>
      </c>
      <c r="AY228" t="inlineStr">
        <is>
          <t>991003644129702656</t>
        </is>
      </c>
      <c r="AZ228" t="inlineStr">
        <is>
          <t>991003644129702656</t>
        </is>
      </c>
      <c r="BA228" t="inlineStr">
        <is>
          <t>2261392180002656</t>
        </is>
      </c>
      <c r="BB228" t="inlineStr">
        <is>
          <t>BOOK</t>
        </is>
      </c>
      <c r="BE228" t="inlineStr">
        <is>
          <t>32285002277647</t>
        </is>
      </c>
      <c r="BF228" t="inlineStr">
        <is>
          <t>893623716</t>
        </is>
      </c>
    </row>
    <row r="229">
      <c r="B229" t="inlineStr">
        <is>
          <t>CURAL</t>
        </is>
      </c>
      <c r="C229" t="inlineStr">
        <is>
          <t>SHELVES</t>
        </is>
      </c>
      <c r="D229" t="inlineStr">
        <is>
          <t>CJ2490 .D613 1970</t>
        </is>
      </c>
      <c r="E229" t="inlineStr">
        <is>
          <t>0                      CJ 2490000D  613         1970</t>
        </is>
      </c>
      <c r="F229" t="inlineStr">
        <is>
          <t>Anglo-Saxon pennies / Michael Dolley.</t>
        </is>
      </c>
      <c r="H229" t="inlineStr">
        <is>
          <t>No</t>
        </is>
      </c>
      <c r="I229" t="inlineStr">
        <is>
          <t>1</t>
        </is>
      </c>
      <c r="J229" t="inlineStr">
        <is>
          <t>No</t>
        </is>
      </c>
      <c r="K229" t="inlineStr">
        <is>
          <t>No</t>
        </is>
      </c>
      <c r="L229" t="inlineStr">
        <is>
          <t>0</t>
        </is>
      </c>
      <c r="M229" t="inlineStr">
        <is>
          <t>Dolley, Michael.</t>
        </is>
      </c>
      <c r="N229" t="inlineStr">
        <is>
          <t>London : The Trustees of the British Museum, 1970.</t>
        </is>
      </c>
      <c r="O229" t="inlineStr">
        <is>
          <t>1970</t>
        </is>
      </c>
      <c r="Q229" t="inlineStr">
        <is>
          <t>eng</t>
        </is>
      </c>
      <c r="R229" t="inlineStr">
        <is>
          <t>enk</t>
        </is>
      </c>
      <c r="T229" t="inlineStr">
        <is>
          <t xml:space="preserve">CJ </t>
        </is>
      </c>
      <c r="U229" t="n">
        <v>3</v>
      </c>
      <c r="V229" t="n">
        <v>3</v>
      </c>
      <c r="W229" t="inlineStr">
        <is>
          <t>2005-09-09</t>
        </is>
      </c>
      <c r="X229" t="inlineStr">
        <is>
          <t>2005-09-09</t>
        </is>
      </c>
      <c r="Y229" t="inlineStr">
        <is>
          <t>2003-04-24</t>
        </is>
      </c>
      <c r="Z229" t="inlineStr">
        <is>
          <t>2003-04-24</t>
        </is>
      </c>
      <c r="AA229" t="n">
        <v>43</v>
      </c>
      <c r="AB229" t="n">
        <v>17</v>
      </c>
      <c r="AC229" t="n">
        <v>78</v>
      </c>
      <c r="AD229" t="n">
        <v>1</v>
      </c>
      <c r="AE229" t="n">
        <v>2</v>
      </c>
      <c r="AF229" t="n">
        <v>0</v>
      </c>
      <c r="AG229" t="n">
        <v>4</v>
      </c>
      <c r="AH229" t="n">
        <v>0</v>
      </c>
      <c r="AI229" t="n">
        <v>1</v>
      </c>
      <c r="AJ229" t="n">
        <v>0</v>
      </c>
      <c r="AK229" t="n">
        <v>1</v>
      </c>
      <c r="AL229" t="n">
        <v>0</v>
      </c>
      <c r="AM229" t="n">
        <v>2</v>
      </c>
      <c r="AN229" t="n">
        <v>0</v>
      </c>
      <c r="AO229" t="n">
        <v>1</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HYPERLINK("https://creighton-primo.hosted.exlibrisgroup.com/primo-explore/search?tab=default_tab&amp;search_scope=EVERYTHING&amp;vid=01CRU&amp;lang=en_US&amp;offset=0&amp;query=any,contains,991004041709702656","Catalog Record")</f>
        <v/>
      </c>
      <c r="AV229">
        <f>HYPERLINK("http://www.worldcat.org/oclc/10220982","WorldCat Record")</f>
        <v/>
      </c>
      <c r="AW229" t="inlineStr">
        <is>
          <t>3099084:eng</t>
        </is>
      </c>
      <c r="AX229" t="inlineStr">
        <is>
          <t>10220982</t>
        </is>
      </c>
      <c r="AY229" t="inlineStr">
        <is>
          <t>991004041709702656</t>
        </is>
      </c>
      <c r="AZ229" t="inlineStr">
        <is>
          <t>991004041709702656</t>
        </is>
      </c>
      <c r="BA229" t="inlineStr">
        <is>
          <t>2257585600002656</t>
        </is>
      </c>
      <c r="BB229" t="inlineStr">
        <is>
          <t>BOOK</t>
        </is>
      </c>
      <c r="BD229" t="inlineStr">
        <is>
          <t>9780714108155</t>
        </is>
      </c>
      <c r="BE229" t="inlineStr">
        <is>
          <t>32285004743851</t>
        </is>
      </c>
      <c r="BF229" t="inlineStr">
        <is>
          <t>893442102</t>
        </is>
      </c>
    </row>
    <row r="230">
      <c r="B230" t="inlineStr">
        <is>
          <t>CURAL</t>
        </is>
      </c>
      <c r="C230" t="inlineStr">
        <is>
          <t>SHELVES</t>
        </is>
      </c>
      <c r="D230" t="inlineStr">
        <is>
          <t>CJ319 .I56 1993</t>
        </is>
      </c>
      <c r="E230" t="inlineStr">
        <is>
          <t>0                      CJ 0319000I  56          1993</t>
        </is>
      </c>
      <c r="F230" t="inlineStr">
        <is>
          <t>Important Greek and Roman Coins.</t>
        </is>
      </c>
      <c r="H230" t="inlineStr">
        <is>
          <t>No</t>
        </is>
      </c>
      <c r="I230" t="inlineStr">
        <is>
          <t>1</t>
        </is>
      </c>
      <c r="J230" t="inlineStr">
        <is>
          <t>No</t>
        </is>
      </c>
      <c r="K230" t="inlineStr">
        <is>
          <t>No</t>
        </is>
      </c>
      <c r="L230" t="inlineStr">
        <is>
          <t>0</t>
        </is>
      </c>
      <c r="N230" t="inlineStr">
        <is>
          <t>New York, NY : Sotheby's, [1993]</t>
        </is>
      </c>
      <c r="O230" t="inlineStr">
        <is>
          <t>1993</t>
        </is>
      </c>
      <c r="Q230" t="inlineStr">
        <is>
          <t>eng</t>
        </is>
      </c>
      <c r="R230" t="inlineStr">
        <is>
          <t>nyu</t>
        </is>
      </c>
      <c r="T230" t="inlineStr">
        <is>
          <t xml:space="preserve">CJ </t>
        </is>
      </c>
      <c r="U230" t="n">
        <v>5</v>
      </c>
      <c r="V230" t="n">
        <v>5</v>
      </c>
      <c r="W230" t="inlineStr">
        <is>
          <t>1999-06-18</t>
        </is>
      </c>
      <c r="X230" t="inlineStr">
        <is>
          <t>1999-06-18</t>
        </is>
      </c>
      <c r="Y230" t="inlineStr">
        <is>
          <t>1994-03-18</t>
        </is>
      </c>
      <c r="Z230" t="inlineStr">
        <is>
          <t>1994-03-18</t>
        </is>
      </c>
      <c r="AA230" t="n">
        <v>14</v>
      </c>
      <c r="AB230" t="n">
        <v>12</v>
      </c>
      <c r="AC230" t="n">
        <v>14</v>
      </c>
      <c r="AD230" t="n">
        <v>1</v>
      </c>
      <c r="AE230" t="n">
        <v>1</v>
      </c>
      <c r="AF230" t="n">
        <v>0</v>
      </c>
      <c r="AG230" t="n">
        <v>0</v>
      </c>
      <c r="AH230" t="n">
        <v>0</v>
      </c>
      <c r="AI230" t="n">
        <v>0</v>
      </c>
      <c r="AJ230" t="n">
        <v>0</v>
      </c>
      <c r="AK230" t="n">
        <v>0</v>
      </c>
      <c r="AL230" t="n">
        <v>0</v>
      </c>
      <c r="AM230" t="n">
        <v>0</v>
      </c>
      <c r="AN230" t="n">
        <v>0</v>
      </c>
      <c r="AO230" t="n">
        <v>0</v>
      </c>
      <c r="AP230" t="n">
        <v>0</v>
      </c>
      <c r="AQ230" t="n">
        <v>0</v>
      </c>
      <c r="AR230" t="inlineStr">
        <is>
          <t>No</t>
        </is>
      </c>
      <c r="AS230" t="inlineStr">
        <is>
          <t>Yes</t>
        </is>
      </c>
      <c r="AT230">
        <f>HYPERLINK("http://catalog.hathitrust.org/Record/009922410","HathiTrust Record")</f>
        <v/>
      </c>
      <c r="AU230">
        <f>HYPERLINK("https://creighton-primo.hosted.exlibrisgroup.com/primo-explore/search?tab=default_tab&amp;search_scope=EVERYTHING&amp;vid=01CRU&amp;lang=en_US&amp;offset=0&amp;query=any,contains,991002272559702656","Catalog Record")</f>
        <v/>
      </c>
      <c r="AV230">
        <f>HYPERLINK("http://www.worldcat.org/oclc/29484473","WorldCat Record")</f>
        <v/>
      </c>
      <c r="AW230" t="inlineStr">
        <is>
          <t>14946791:eng</t>
        </is>
      </c>
      <c r="AX230" t="inlineStr">
        <is>
          <t>29484473</t>
        </is>
      </c>
      <c r="AY230" t="inlineStr">
        <is>
          <t>991002272559702656</t>
        </is>
      </c>
      <c r="AZ230" t="inlineStr">
        <is>
          <t>991002272559702656</t>
        </is>
      </c>
      <c r="BA230" t="inlineStr">
        <is>
          <t>2266138720002656</t>
        </is>
      </c>
      <c r="BB230" t="inlineStr">
        <is>
          <t>BOOK</t>
        </is>
      </c>
      <c r="BE230" t="inlineStr">
        <is>
          <t>32285001862480</t>
        </is>
      </c>
      <c r="BF230" t="inlineStr">
        <is>
          <t>893685171</t>
        </is>
      </c>
    </row>
    <row r="231">
      <c r="B231" t="inlineStr">
        <is>
          <t>CURAL</t>
        </is>
      </c>
      <c r="C231" t="inlineStr">
        <is>
          <t>SHELVES</t>
        </is>
      </c>
      <c r="D231" t="inlineStr">
        <is>
          <t>CJ335 .K7</t>
        </is>
      </c>
      <c r="E231" t="inlineStr">
        <is>
          <t>0                      CJ 0335000K  7</t>
        </is>
      </c>
      <c r="F231" t="inlineStr">
        <is>
          <t>Greek coins / by Colin M. Kraay. Photos. by Max Hirmer.</t>
        </is>
      </c>
      <c r="H231" t="inlineStr">
        <is>
          <t>No</t>
        </is>
      </c>
      <c r="I231" t="inlineStr">
        <is>
          <t>1</t>
        </is>
      </c>
      <c r="J231" t="inlineStr">
        <is>
          <t>No</t>
        </is>
      </c>
      <c r="K231" t="inlineStr">
        <is>
          <t>No</t>
        </is>
      </c>
      <c r="L231" t="inlineStr">
        <is>
          <t>0</t>
        </is>
      </c>
      <c r="M231" t="inlineStr">
        <is>
          <t>Kraay, Colin M.</t>
        </is>
      </c>
      <c r="N231" t="inlineStr">
        <is>
          <t>New York : H.N. Abrams, [1966]</t>
        </is>
      </c>
      <c r="O231" t="inlineStr">
        <is>
          <t>1966</t>
        </is>
      </c>
      <c r="Q231" t="inlineStr">
        <is>
          <t>eng</t>
        </is>
      </c>
      <c r="R231" t="inlineStr">
        <is>
          <t>nyu</t>
        </is>
      </c>
      <c r="T231" t="inlineStr">
        <is>
          <t xml:space="preserve">CJ </t>
        </is>
      </c>
      <c r="U231" t="n">
        <v>5</v>
      </c>
      <c r="V231" t="n">
        <v>5</v>
      </c>
      <c r="W231" t="inlineStr">
        <is>
          <t>2003-06-25</t>
        </is>
      </c>
      <c r="X231" t="inlineStr">
        <is>
          <t>2003-06-25</t>
        </is>
      </c>
      <c r="Y231" t="inlineStr">
        <is>
          <t>1992-02-11</t>
        </is>
      </c>
      <c r="Z231" t="inlineStr">
        <is>
          <t>1992-02-11</t>
        </is>
      </c>
      <c r="AA231" t="n">
        <v>391</v>
      </c>
      <c r="AB231" t="n">
        <v>359</v>
      </c>
      <c r="AC231" t="n">
        <v>434</v>
      </c>
      <c r="AD231" t="n">
        <v>1</v>
      </c>
      <c r="AE231" t="n">
        <v>3</v>
      </c>
      <c r="AF231" t="n">
        <v>17</v>
      </c>
      <c r="AG231" t="n">
        <v>20</v>
      </c>
      <c r="AH231" t="n">
        <v>7</v>
      </c>
      <c r="AI231" t="n">
        <v>7</v>
      </c>
      <c r="AJ231" t="n">
        <v>3</v>
      </c>
      <c r="AK231" t="n">
        <v>3</v>
      </c>
      <c r="AL231" t="n">
        <v>10</v>
      </c>
      <c r="AM231" t="n">
        <v>11</v>
      </c>
      <c r="AN231" t="n">
        <v>0</v>
      </c>
      <c r="AO231" t="n">
        <v>2</v>
      </c>
      <c r="AP231" t="n">
        <v>0</v>
      </c>
      <c r="AQ231" t="n">
        <v>0</v>
      </c>
      <c r="AR231" t="inlineStr">
        <is>
          <t>No</t>
        </is>
      </c>
      <c r="AS231" t="inlineStr">
        <is>
          <t>Yes</t>
        </is>
      </c>
      <c r="AT231">
        <f>HYPERLINK("http://catalog.hathitrust.org/Record/001596894","HathiTrust Record")</f>
        <v/>
      </c>
      <c r="AU231">
        <f>HYPERLINK("https://creighton-primo.hosted.exlibrisgroup.com/primo-explore/search?tab=default_tab&amp;search_scope=EVERYTHING&amp;vid=01CRU&amp;lang=en_US&amp;offset=0&amp;query=any,contains,991002660229702656","Catalog Record")</f>
        <v/>
      </c>
      <c r="AV231">
        <f>HYPERLINK("http://www.worldcat.org/oclc/391160","WorldCat Record")</f>
        <v/>
      </c>
      <c r="AW231" t="inlineStr">
        <is>
          <t>1309429:eng</t>
        </is>
      </c>
      <c r="AX231" t="inlineStr">
        <is>
          <t>391160</t>
        </is>
      </c>
      <c r="AY231" t="inlineStr">
        <is>
          <t>991002660229702656</t>
        </is>
      </c>
      <c r="AZ231" t="inlineStr">
        <is>
          <t>991002660229702656</t>
        </is>
      </c>
      <c r="BA231" t="inlineStr">
        <is>
          <t>2260797840002656</t>
        </is>
      </c>
      <c r="BB231" t="inlineStr">
        <is>
          <t>BOOK</t>
        </is>
      </c>
      <c r="BE231" t="inlineStr">
        <is>
          <t>32285004676960</t>
        </is>
      </c>
      <c r="BF231" t="inlineStr">
        <is>
          <t>893427843</t>
        </is>
      </c>
    </row>
    <row r="232">
      <c r="B232" t="inlineStr">
        <is>
          <t>CURAL</t>
        </is>
      </c>
      <c r="C232" t="inlineStr">
        <is>
          <t>SHELVES</t>
        </is>
      </c>
      <c r="D232" t="inlineStr">
        <is>
          <t>CJ829 .S8</t>
        </is>
      </c>
      <c r="E232" t="inlineStr">
        <is>
          <t>0                      CJ 0829000S  8</t>
        </is>
      </c>
      <c r="F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H232" t="inlineStr">
        <is>
          <t>No</t>
        </is>
      </c>
      <c r="I232" t="inlineStr">
        <is>
          <t>1</t>
        </is>
      </c>
      <c r="J232" t="inlineStr">
        <is>
          <t>No</t>
        </is>
      </c>
      <c r="K232" t="inlineStr">
        <is>
          <t>No</t>
        </is>
      </c>
      <c r="L232" t="inlineStr">
        <is>
          <t>0</t>
        </is>
      </c>
      <c r="M232" t="inlineStr">
        <is>
          <t>Stevenson, Seth William, 1784-1853.</t>
        </is>
      </c>
      <c r="N232" t="inlineStr">
        <is>
          <t>London : Seaby, 1964.</t>
        </is>
      </c>
      <c r="O232" t="inlineStr">
        <is>
          <t>1964</t>
        </is>
      </c>
      <c r="Q232" t="inlineStr">
        <is>
          <t>eng</t>
        </is>
      </c>
      <c r="R232" t="inlineStr">
        <is>
          <t>enk</t>
        </is>
      </c>
      <c r="T232" t="inlineStr">
        <is>
          <t xml:space="preserve">CJ </t>
        </is>
      </c>
      <c r="U232" t="n">
        <v>4</v>
      </c>
      <c r="V232" t="n">
        <v>4</v>
      </c>
      <c r="W232" t="inlineStr">
        <is>
          <t>2004-03-22</t>
        </is>
      </c>
      <c r="X232" t="inlineStr">
        <is>
          <t>2004-03-22</t>
        </is>
      </c>
      <c r="Y232" t="inlineStr">
        <is>
          <t>1996-08-20</t>
        </is>
      </c>
      <c r="Z232" t="inlineStr">
        <is>
          <t>1996-08-20</t>
        </is>
      </c>
      <c r="AA232" t="n">
        <v>102</v>
      </c>
      <c r="AB232" t="n">
        <v>77</v>
      </c>
      <c r="AC232" t="n">
        <v>192</v>
      </c>
      <c r="AD232" t="n">
        <v>1</v>
      </c>
      <c r="AE232" t="n">
        <v>2</v>
      </c>
      <c r="AF232" t="n">
        <v>2</v>
      </c>
      <c r="AG232" t="n">
        <v>7</v>
      </c>
      <c r="AH232" t="n">
        <v>1</v>
      </c>
      <c r="AI232" t="n">
        <v>1</v>
      </c>
      <c r="AJ232" t="n">
        <v>1</v>
      </c>
      <c r="AK232" t="n">
        <v>1</v>
      </c>
      <c r="AL232" t="n">
        <v>1</v>
      </c>
      <c r="AM232" t="n">
        <v>5</v>
      </c>
      <c r="AN232" t="n">
        <v>0</v>
      </c>
      <c r="AO232" t="n">
        <v>1</v>
      </c>
      <c r="AP232" t="n">
        <v>0</v>
      </c>
      <c r="AQ232" t="n">
        <v>0</v>
      </c>
      <c r="AR232" t="inlineStr">
        <is>
          <t>No</t>
        </is>
      </c>
      <c r="AS232" t="inlineStr">
        <is>
          <t>Yes</t>
        </is>
      </c>
      <c r="AT232">
        <f>HYPERLINK("http://catalog.hathitrust.org/Record/100886294","HathiTrust Record")</f>
        <v/>
      </c>
      <c r="AU232">
        <f>HYPERLINK("https://creighton-primo.hosted.exlibrisgroup.com/primo-explore/search?tab=default_tab&amp;search_scope=EVERYTHING&amp;vid=01CRU&amp;lang=en_US&amp;offset=0&amp;query=any,contains,991003897979702656","Catalog Record")</f>
        <v/>
      </c>
      <c r="AV232">
        <f>HYPERLINK("http://www.worldcat.org/oclc/1816917","WorldCat Record")</f>
        <v/>
      </c>
      <c r="AW232" t="inlineStr">
        <is>
          <t>2212959:eng</t>
        </is>
      </c>
      <c r="AX232" t="inlineStr">
        <is>
          <t>1816917</t>
        </is>
      </c>
      <c r="AY232" t="inlineStr">
        <is>
          <t>991003897979702656</t>
        </is>
      </c>
      <c r="AZ232" t="inlineStr">
        <is>
          <t>991003897979702656</t>
        </is>
      </c>
      <c r="BA232" t="inlineStr">
        <is>
          <t>2270108240002656</t>
        </is>
      </c>
      <c r="BB232" t="inlineStr">
        <is>
          <t>BOOK</t>
        </is>
      </c>
      <c r="BE232" t="inlineStr">
        <is>
          <t>32285002277704</t>
        </is>
      </c>
      <c r="BF232" t="inlineStr">
        <is>
          <t>893441926</t>
        </is>
      </c>
    </row>
    <row r="233">
      <c r="B233" t="inlineStr">
        <is>
          <t>CURAL</t>
        </is>
      </c>
      <c r="C233" t="inlineStr">
        <is>
          <t>SHELVES</t>
        </is>
      </c>
      <c r="D233" t="inlineStr">
        <is>
          <t>CJ89 .R4 1955</t>
        </is>
      </c>
      <c r="E233" t="inlineStr">
        <is>
          <t>0                      CJ 0089000R  4           1955</t>
        </is>
      </c>
      <c r="F233" t="inlineStr">
        <is>
          <t>Treasury of the world's coins.</t>
        </is>
      </c>
      <c r="H233" t="inlineStr">
        <is>
          <t>No</t>
        </is>
      </c>
      <c r="I233" t="inlineStr">
        <is>
          <t>1</t>
        </is>
      </c>
      <c r="J233" t="inlineStr">
        <is>
          <t>No</t>
        </is>
      </c>
      <c r="K233" t="inlineStr">
        <is>
          <t>No</t>
        </is>
      </c>
      <c r="L233" t="inlineStr">
        <is>
          <t>0</t>
        </is>
      </c>
      <c r="M233" t="inlineStr">
        <is>
          <t>Reinfeld, Fred, 1910-1964.</t>
        </is>
      </c>
      <c r="N233" t="inlineStr">
        <is>
          <t>New York, Dover Publications [c1955]</t>
        </is>
      </c>
      <c r="O233" t="inlineStr">
        <is>
          <t>1955</t>
        </is>
      </c>
      <c r="P233" t="inlineStr">
        <is>
          <t>[Rev. ed.]</t>
        </is>
      </c>
      <c r="Q233" t="inlineStr">
        <is>
          <t>eng</t>
        </is>
      </c>
      <c r="R233" t="inlineStr">
        <is>
          <t xml:space="preserve">xx </t>
        </is>
      </c>
      <c r="T233" t="inlineStr">
        <is>
          <t xml:space="preserve">CJ </t>
        </is>
      </c>
      <c r="U233" t="n">
        <v>4</v>
      </c>
      <c r="V233" t="n">
        <v>4</v>
      </c>
      <c r="W233" t="inlineStr">
        <is>
          <t>1999-06-18</t>
        </is>
      </c>
      <c r="X233" t="inlineStr">
        <is>
          <t>1999-06-18</t>
        </is>
      </c>
      <c r="Y233" t="inlineStr">
        <is>
          <t>1996-08-20</t>
        </is>
      </c>
      <c r="Z233" t="inlineStr">
        <is>
          <t>1996-08-20</t>
        </is>
      </c>
      <c r="AA233" t="n">
        <v>68</v>
      </c>
      <c r="AB233" t="n">
        <v>57</v>
      </c>
      <c r="AC233" t="n">
        <v>455</v>
      </c>
      <c r="AD233" t="n">
        <v>1</v>
      </c>
      <c r="AE233" t="n">
        <v>5</v>
      </c>
      <c r="AF233" t="n">
        <v>2</v>
      </c>
      <c r="AG233" t="n">
        <v>6</v>
      </c>
      <c r="AH233" t="n">
        <v>1</v>
      </c>
      <c r="AI233" t="n">
        <v>2</v>
      </c>
      <c r="AJ233" t="n">
        <v>0</v>
      </c>
      <c r="AK233" t="n">
        <v>1</v>
      </c>
      <c r="AL233" t="n">
        <v>2</v>
      </c>
      <c r="AM233" t="n">
        <v>3</v>
      </c>
      <c r="AN233" t="n">
        <v>0</v>
      </c>
      <c r="AO233" t="n">
        <v>2</v>
      </c>
      <c r="AP233" t="n">
        <v>0</v>
      </c>
      <c r="AQ233" t="n">
        <v>0</v>
      </c>
      <c r="AR233" t="inlineStr">
        <is>
          <t>No</t>
        </is>
      </c>
      <c r="AS233" t="inlineStr">
        <is>
          <t>No</t>
        </is>
      </c>
      <c r="AU233">
        <f>HYPERLINK("https://creighton-primo.hosted.exlibrisgroup.com/primo-explore/search?tab=default_tab&amp;search_scope=EVERYTHING&amp;vid=01CRU&amp;lang=en_US&amp;offset=0&amp;query=any,contains,991003678669702656","Catalog Record")</f>
        <v/>
      </c>
      <c r="AV233">
        <f>HYPERLINK("http://www.worldcat.org/oclc/1302378","WorldCat Record")</f>
        <v/>
      </c>
      <c r="AW233" t="inlineStr">
        <is>
          <t>1619044:eng</t>
        </is>
      </c>
      <c r="AX233" t="inlineStr">
        <is>
          <t>1302378</t>
        </is>
      </c>
      <c r="AY233" t="inlineStr">
        <is>
          <t>991003678669702656</t>
        </is>
      </c>
      <c r="AZ233" t="inlineStr">
        <is>
          <t>991003678669702656</t>
        </is>
      </c>
      <c r="BA233" t="inlineStr">
        <is>
          <t>2266893570002656</t>
        </is>
      </c>
      <c r="BB233" t="inlineStr">
        <is>
          <t>BOOK</t>
        </is>
      </c>
      <c r="BE233" t="inlineStr">
        <is>
          <t>32285002277613</t>
        </is>
      </c>
      <c r="BF233" t="inlineStr">
        <is>
          <t>893324338</t>
        </is>
      </c>
    </row>
    <row r="234">
      <c r="B234" t="inlineStr">
        <is>
          <t>CURAL</t>
        </is>
      </c>
      <c r="C234" t="inlineStr">
        <is>
          <t>SHELVES</t>
        </is>
      </c>
      <c r="D234" t="inlineStr">
        <is>
          <t>CR2150 .M46 1982, v...</t>
        </is>
      </c>
      <c r="E234" t="inlineStr">
        <is>
          <t>0                      CR 2150000M  46          1982                                        v...</t>
        </is>
      </c>
      <c r="F234" t="inlineStr">
        <is>
          <t>Heráldica medieval española / Faustino Menéndez Pidal de Navascués.</t>
        </is>
      </c>
      <c r="G234" t="inlineStr">
        <is>
          <t>V.1</t>
        </is>
      </c>
      <c r="H234" t="inlineStr">
        <is>
          <t>No</t>
        </is>
      </c>
      <c r="I234" t="inlineStr">
        <is>
          <t>1</t>
        </is>
      </c>
      <c r="J234" t="inlineStr">
        <is>
          <t>No</t>
        </is>
      </c>
      <c r="K234" t="inlineStr">
        <is>
          <t>No</t>
        </is>
      </c>
      <c r="L234" t="inlineStr">
        <is>
          <t>0</t>
        </is>
      </c>
      <c r="M234" t="inlineStr">
        <is>
          <t>Menéndez Pidal de Navascués, Faustino.</t>
        </is>
      </c>
      <c r="N234" t="inlineStr">
        <is>
          <t>Madrid : Hidalguía, 1982-</t>
        </is>
      </c>
      <c r="O234" t="inlineStr">
        <is>
          <t>1982</t>
        </is>
      </c>
      <c r="Q234" t="inlineStr">
        <is>
          <t>spa</t>
        </is>
      </c>
      <c r="R234" t="inlineStr">
        <is>
          <t xml:space="preserve">sp </t>
        </is>
      </c>
      <c r="T234" t="inlineStr">
        <is>
          <t xml:space="preserve">CR </t>
        </is>
      </c>
      <c r="U234" t="n">
        <v>0</v>
      </c>
      <c r="V234" t="n">
        <v>0</v>
      </c>
      <c r="W234" t="inlineStr">
        <is>
          <t>2003-05-02</t>
        </is>
      </c>
      <c r="X234" t="inlineStr">
        <is>
          <t>2003-05-02</t>
        </is>
      </c>
      <c r="Y234" t="inlineStr">
        <is>
          <t>1992-06-05</t>
        </is>
      </c>
      <c r="Z234" t="inlineStr">
        <is>
          <t>1992-06-05</t>
        </is>
      </c>
      <c r="AA234" t="n">
        <v>34</v>
      </c>
      <c r="AB234" t="n">
        <v>27</v>
      </c>
      <c r="AC234" t="n">
        <v>30</v>
      </c>
      <c r="AD234" t="n">
        <v>1</v>
      </c>
      <c r="AE234" t="n">
        <v>1</v>
      </c>
      <c r="AF234" t="n">
        <v>1</v>
      </c>
      <c r="AG234" t="n">
        <v>1</v>
      </c>
      <c r="AH234" t="n">
        <v>0</v>
      </c>
      <c r="AI234" t="n">
        <v>0</v>
      </c>
      <c r="AJ234" t="n">
        <v>0</v>
      </c>
      <c r="AK234" t="n">
        <v>0</v>
      </c>
      <c r="AL234" t="n">
        <v>1</v>
      </c>
      <c r="AM234" t="n">
        <v>1</v>
      </c>
      <c r="AN234" t="n">
        <v>0</v>
      </c>
      <c r="AO234" t="n">
        <v>0</v>
      </c>
      <c r="AP234" t="n">
        <v>0</v>
      </c>
      <c r="AQ234" t="n">
        <v>0</v>
      </c>
      <c r="AR234" t="inlineStr">
        <is>
          <t>No</t>
        </is>
      </c>
      <c r="AS234" t="inlineStr">
        <is>
          <t>Yes</t>
        </is>
      </c>
      <c r="AT234">
        <f>HYPERLINK("http://catalog.hathitrust.org/Record/101952744","HathiTrust Record")</f>
        <v/>
      </c>
      <c r="AU234">
        <f>HYPERLINK("https://creighton-primo.hosted.exlibrisgroup.com/primo-explore/search?tab=default_tab&amp;search_scope=EVERYTHING&amp;vid=01CRU&amp;lang=en_US&amp;offset=0&amp;query=any,contains,991000612629702656","Catalog Record")</f>
        <v/>
      </c>
      <c r="AV234">
        <f>HYPERLINK("http://www.worldcat.org/oclc/10040177","WorldCat Record")</f>
        <v/>
      </c>
      <c r="AW234" t="inlineStr">
        <is>
          <t>2863399496:spa</t>
        </is>
      </c>
      <c r="AX234" t="inlineStr">
        <is>
          <t>10040177</t>
        </is>
      </c>
      <c r="AY234" t="inlineStr">
        <is>
          <t>991000612629702656</t>
        </is>
      </c>
      <c r="AZ234" t="inlineStr">
        <is>
          <t>991000612629702656</t>
        </is>
      </c>
      <c r="BA234" t="inlineStr">
        <is>
          <t>2267519660002656</t>
        </is>
      </c>
      <c r="BB234" t="inlineStr">
        <is>
          <t>BOOK</t>
        </is>
      </c>
      <c r="BD234" t="inlineStr">
        <is>
          <t>9788400051501</t>
        </is>
      </c>
      <c r="BE234" t="inlineStr">
        <is>
          <t>32285001144855</t>
        </is>
      </c>
      <c r="BF234" t="inlineStr">
        <is>
          <t>893407361</t>
        </is>
      </c>
    </row>
    <row r="235">
      <c r="B235" t="inlineStr">
        <is>
          <t>CURAL</t>
        </is>
      </c>
      <c r="C235" t="inlineStr">
        <is>
          <t>SHELVES</t>
        </is>
      </c>
      <c r="D235" t="inlineStr">
        <is>
          <t>CR4743 .P37 1982</t>
        </is>
      </c>
      <c r="E235" t="inlineStr">
        <is>
          <t>0                      CR 4743000P  37          1982</t>
        </is>
      </c>
      <c r="F235" t="inlineStr">
        <is>
          <t>The murdered magicians : the templars and their myth / Peter Partner.</t>
        </is>
      </c>
      <c r="H235" t="inlineStr">
        <is>
          <t>No</t>
        </is>
      </c>
      <c r="I235" t="inlineStr">
        <is>
          <t>1</t>
        </is>
      </c>
      <c r="J235" t="inlineStr">
        <is>
          <t>No</t>
        </is>
      </c>
      <c r="K235" t="inlineStr">
        <is>
          <t>No</t>
        </is>
      </c>
      <c r="L235" t="inlineStr">
        <is>
          <t>0</t>
        </is>
      </c>
      <c r="M235" t="inlineStr">
        <is>
          <t>Partner, Peter.</t>
        </is>
      </c>
      <c r="N235" t="inlineStr">
        <is>
          <t>Oxford ; New York : Oxford University Press, 1982, c1981.</t>
        </is>
      </c>
      <c r="O235" t="inlineStr">
        <is>
          <t>1982</t>
        </is>
      </c>
      <c r="Q235" t="inlineStr">
        <is>
          <t>eng</t>
        </is>
      </c>
      <c r="R235" t="inlineStr">
        <is>
          <t>enk</t>
        </is>
      </c>
      <c r="T235" t="inlineStr">
        <is>
          <t xml:space="preserve">CR </t>
        </is>
      </c>
      <c r="U235" t="n">
        <v>6</v>
      </c>
      <c r="V235" t="n">
        <v>6</v>
      </c>
      <c r="W235" t="inlineStr">
        <is>
          <t>2006-04-02</t>
        </is>
      </c>
      <c r="X235" t="inlineStr">
        <is>
          <t>2006-04-02</t>
        </is>
      </c>
      <c r="Y235" t="inlineStr">
        <is>
          <t>1992-06-05</t>
        </is>
      </c>
      <c r="Z235" t="inlineStr">
        <is>
          <t>1992-06-05</t>
        </is>
      </c>
      <c r="AA235" t="n">
        <v>542</v>
      </c>
      <c r="AB235" t="n">
        <v>407</v>
      </c>
      <c r="AC235" t="n">
        <v>528</v>
      </c>
      <c r="AD235" t="n">
        <v>3</v>
      </c>
      <c r="AE235" t="n">
        <v>3</v>
      </c>
      <c r="AF235" t="n">
        <v>23</v>
      </c>
      <c r="AG235" t="n">
        <v>26</v>
      </c>
      <c r="AH235" t="n">
        <v>9</v>
      </c>
      <c r="AI235" t="n">
        <v>10</v>
      </c>
      <c r="AJ235" t="n">
        <v>5</v>
      </c>
      <c r="AK235" t="n">
        <v>6</v>
      </c>
      <c r="AL235" t="n">
        <v>15</v>
      </c>
      <c r="AM235" t="n">
        <v>17</v>
      </c>
      <c r="AN235" t="n">
        <v>2</v>
      </c>
      <c r="AO235" t="n">
        <v>2</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HYPERLINK("https://creighton-primo.hosted.exlibrisgroup.com/primo-explore/search?tab=default_tab&amp;search_scope=EVERYTHING&amp;vid=01CRU&amp;lang=en_US&amp;offset=0&amp;query=any,contains,991000053819702656","Catalog Record")</f>
        <v/>
      </c>
      <c r="AV235">
        <f>HYPERLINK("http://www.worldcat.org/oclc/8699438","WorldCat Record")</f>
        <v/>
      </c>
      <c r="AW235" t="inlineStr">
        <is>
          <t>6850710:eng</t>
        </is>
      </c>
      <c r="AX235" t="inlineStr">
        <is>
          <t>8699438</t>
        </is>
      </c>
      <c r="AY235" t="inlineStr">
        <is>
          <t>991000053819702656</t>
        </is>
      </c>
      <c r="AZ235" t="inlineStr">
        <is>
          <t>991000053819702656</t>
        </is>
      </c>
      <c r="BA235" t="inlineStr">
        <is>
          <t>2271430980002656</t>
        </is>
      </c>
      <c r="BB235" t="inlineStr">
        <is>
          <t>BOOK</t>
        </is>
      </c>
      <c r="BD235" t="inlineStr">
        <is>
          <t>9780192158475</t>
        </is>
      </c>
      <c r="BE235" t="inlineStr">
        <is>
          <t>32285001144921</t>
        </is>
      </c>
      <c r="BF235" t="inlineStr">
        <is>
          <t>893413032</t>
        </is>
      </c>
    </row>
    <row r="236">
      <c r="B236" t="inlineStr">
        <is>
          <t>CURAL</t>
        </is>
      </c>
      <c r="C236" t="inlineStr">
        <is>
          <t>SHELVES</t>
        </is>
      </c>
      <c r="D236" t="inlineStr">
        <is>
          <t>CS1419.L382 A3 2005</t>
        </is>
      </c>
      <c r="E236" t="inlineStr">
        <is>
          <t>0                      CS 1419000L  382                A  3           2005</t>
        </is>
      </c>
      <c r="F236" t="inlineStr">
        <is>
          <t>Even after all this time : a story of love, revolution, and leaving Iran / Afschineh Latifi, with Pablo F. Fenjves.</t>
        </is>
      </c>
      <c r="H236" t="inlineStr">
        <is>
          <t>No</t>
        </is>
      </c>
      <c r="I236" t="inlineStr">
        <is>
          <t>1</t>
        </is>
      </c>
      <c r="J236" t="inlineStr">
        <is>
          <t>No</t>
        </is>
      </c>
      <c r="K236" t="inlineStr">
        <is>
          <t>No</t>
        </is>
      </c>
      <c r="L236" t="inlineStr">
        <is>
          <t>0</t>
        </is>
      </c>
      <c r="M236" t="inlineStr">
        <is>
          <t>Latifi, Afschineh.</t>
        </is>
      </c>
      <c r="N236" t="inlineStr">
        <is>
          <t>New York : Regan Books, c2005.</t>
        </is>
      </c>
      <c r="O236" t="inlineStr">
        <is>
          <t>2005</t>
        </is>
      </c>
      <c r="P236" t="inlineStr">
        <is>
          <t>1st ed.</t>
        </is>
      </c>
      <c r="Q236" t="inlineStr">
        <is>
          <t>eng</t>
        </is>
      </c>
      <c r="R236" t="inlineStr">
        <is>
          <t>nyu</t>
        </is>
      </c>
      <c r="T236" t="inlineStr">
        <is>
          <t xml:space="preserve">CS </t>
        </is>
      </c>
      <c r="U236" t="n">
        <v>1</v>
      </c>
      <c r="V236" t="n">
        <v>1</v>
      </c>
      <c r="W236" t="inlineStr">
        <is>
          <t>2005-04-11</t>
        </is>
      </c>
      <c r="X236" t="inlineStr">
        <is>
          <t>2005-04-11</t>
        </is>
      </c>
      <c r="Y236" t="inlineStr">
        <is>
          <t>2005-04-11</t>
        </is>
      </c>
      <c r="Z236" t="inlineStr">
        <is>
          <t>2005-04-11</t>
        </is>
      </c>
      <c r="AA236" t="n">
        <v>714</v>
      </c>
      <c r="AB236" t="n">
        <v>657</v>
      </c>
      <c r="AC236" t="n">
        <v>671</v>
      </c>
      <c r="AD236" t="n">
        <v>5</v>
      </c>
      <c r="AE236" t="n">
        <v>5</v>
      </c>
      <c r="AF236" t="n">
        <v>12</v>
      </c>
      <c r="AG236" t="n">
        <v>12</v>
      </c>
      <c r="AH236" t="n">
        <v>4</v>
      </c>
      <c r="AI236" t="n">
        <v>4</v>
      </c>
      <c r="AJ236" t="n">
        <v>3</v>
      </c>
      <c r="AK236" t="n">
        <v>3</v>
      </c>
      <c r="AL236" t="n">
        <v>7</v>
      </c>
      <c r="AM236" t="n">
        <v>7</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HYPERLINK("https://creighton-primo.hosted.exlibrisgroup.com/primo-explore/search?tab=default_tab&amp;search_scope=EVERYTHING&amp;vid=01CRU&amp;lang=en_US&amp;offset=0&amp;query=any,contains,991004502919702656","Catalog Record")</f>
        <v/>
      </c>
      <c r="AV236">
        <f>HYPERLINK("http://www.worldcat.org/oclc/56809788","WorldCat Record")</f>
        <v/>
      </c>
      <c r="AW236" t="inlineStr">
        <is>
          <t>17123592:eng</t>
        </is>
      </c>
      <c r="AX236" t="inlineStr">
        <is>
          <t>56809788</t>
        </is>
      </c>
      <c r="AY236" t="inlineStr">
        <is>
          <t>991004502919702656</t>
        </is>
      </c>
      <c r="AZ236" t="inlineStr">
        <is>
          <t>991004502919702656</t>
        </is>
      </c>
      <c r="BA236" t="inlineStr">
        <is>
          <t>2258890200002656</t>
        </is>
      </c>
      <c r="BB236" t="inlineStr">
        <is>
          <t>BOOK</t>
        </is>
      </c>
      <c r="BD236" t="inlineStr">
        <is>
          <t>9780060745332</t>
        </is>
      </c>
      <c r="BE236" t="inlineStr">
        <is>
          <t>32285005049134</t>
        </is>
      </c>
      <c r="BF236" t="inlineStr">
        <is>
          <t>893882538</t>
        </is>
      </c>
    </row>
    <row r="237">
      <c r="B237" t="inlineStr">
        <is>
          <t>CURAL</t>
        </is>
      </c>
      <c r="C237" t="inlineStr">
        <is>
          <t>SHELVES</t>
        </is>
      </c>
      <c r="D237" t="inlineStr">
        <is>
          <t>CS16 .D6 1960</t>
        </is>
      </c>
      <c r="E237" t="inlineStr">
        <is>
          <t>0                      CS 0016000D  6           1960</t>
        </is>
      </c>
      <c r="F237" t="inlineStr">
        <is>
          <t>Searching for your ancestors; the how and why of genealogy.</t>
        </is>
      </c>
      <c r="H237" t="inlineStr">
        <is>
          <t>No</t>
        </is>
      </c>
      <c r="I237" t="inlineStr">
        <is>
          <t>1</t>
        </is>
      </c>
      <c r="J237" t="inlineStr">
        <is>
          <t>No</t>
        </is>
      </c>
      <c r="K237" t="inlineStr">
        <is>
          <t>Yes</t>
        </is>
      </c>
      <c r="L237" t="inlineStr">
        <is>
          <t>0</t>
        </is>
      </c>
      <c r="M237" t="inlineStr">
        <is>
          <t>Doane, Gilbert Harry, 1897-1980.</t>
        </is>
      </c>
      <c r="N237" t="inlineStr">
        <is>
          <t>Minneapolis, University of Minnesota Press [1960]</t>
        </is>
      </c>
      <c r="O237" t="inlineStr">
        <is>
          <t>1960</t>
        </is>
      </c>
      <c r="P237" t="inlineStr">
        <is>
          <t>[3d ed.]</t>
        </is>
      </c>
      <c r="Q237" t="inlineStr">
        <is>
          <t>eng</t>
        </is>
      </c>
      <c r="R237" t="inlineStr">
        <is>
          <t>miu</t>
        </is>
      </c>
      <c r="T237" t="inlineStr">
        <is>
          <t xml:space="preserve">CS </t>
        </is>
      </c>
      <c r="U237" t="n">
        <v>2</v>
      </c>
      <c r="V237" t="n">
        <v>2</v>
      </c>
      <c r="W237" t="inlineStr">
        <is>
          <t>2010-09-28</t>
        </is>
      </c>
      <c r="X237" t="inlineStr">
        <is>
          <t>2010-09-28</t>
        </is>
      </c>
      <c r="Y237" t="inlineStr">
        <is>
          <t>1996-08-21</t>
        </is>
      </c>
      <c r="Z237" t="inlineStr">
        <is>
          <t>1996-08-21</t>
        </is>
      </c>
      <c r="AA237" t="n">
        <v>810</v>
      </c>
      <c r="AB237" t="n">
        <v>774</v>
      </c>
      <c r="AC237" t="n">
        <v>2339</v>
      </c>
      <c r="AD237" t="n">
        <v>9</v>
      </c>
      <c r="AE237" t="n">
        <v>23</v>
      </c>
      <c r="AF237" t="n">
        <v>12</v>
      </c>
      <c r="AG237" t="n">
        <v>34</v>
      </c>
      <c r="AH237" t="n">
        <v>2</v>
      </c>
      <c r="AI237" t="n">
        <v>14</v>
      </c>
      <c r="AJ237" t="n">
        <v>4</v>
      </c>
      <c r="AK237" t="n">
        <v>8</v>
      </c>
      <c r="AL237" t="n">
        <v>6</v>
      </c>
      <c r="AM237" t="n">
        <v>15</v>
      </c>
      <c r="AN237" t="n">
        <v>2</v>
      </c>
      <c r="AO237" t="n">
        <v>6</v>
      </c>
      <c r="AP237" t="n">
        <v>0</v>
      </c>
      <c r="AQ237" t="n">
        <v>0</v>
      </c>
      <c r="AR237" t="inlineStr">
        <is>
          <t>No</t>
        </is>
      </c>
      <c r="AS237" t="inlineStr">
        <is>
          <t>Yes</t>
        </is>
      </c>
      <c r="AT237">
        <f>HYPERLINK("http://catalog.hathitrust.org/Record/001604091","HathiTrust Record")</f>
        <v/>
      </c>
      <c r="AU237">
        <f>HYPERLINK("https://creighton-primo.hosted.exlibrisgroup.com/primo-explore/search?tab=default_tab&amp;search_scope=EVERYTHING&amp;vid=01CRU&amp;lang=en_US&amp;offset=0&amp;query=any,contains,991002484859702656","Catalog Record")</f>
        <v/>
      </c>
      <c r="AV237">
        <f>HYPERLINK("http://www.worldcat.org/oclc/360668","WorldCat Record")</f>
        <v/>
      </c>
      <c r="AW237" t="inlineStr">
        <is>
          <t>196074506:eng</t>
        </is>
      </c>
      <c r="AX237" t="inlineStr">
        <is>
          <t>360668</t>
        </is>
      </c>
      <c r="AY237" t="inlineStr">
        <is>
          <t>991002484859702656</t>
        </is>
      </c>
      <c r="AZ237" t="inlineStr">
        <is>
          <t>991002484859702656</t>
        </is>
      </c>
      <c r="BA237" t="inlineStr">
        <is>
          <t>2263668230002656</t>
        </is>
      </c>
      <c r="BB237" t="inlineStr">
        <is>
          <t>BOOK</t>
        </is>
      </c>
      <c r="BE237" t="inlineStr">
        <is>
          <t>32285002278256</t>
        </is>
      </c>
      <c r="BF237" t="inlineStr">
        <is>
          <t>893415243</t>
        </is>
      </c>
    </row>
    <row r="238">
      <c r="B238" t="inlineStr">
        <is>
          <t>CURAL</t>
        </is>
      </c>
      <c r="C238" t="inlineStr">
        <is>
          <t>SHELVES</t>
        </is>
      </c>
      <c r="D238" t="inlineStr">
        <is>
          <t>CS21 .K46 1997</t>
        </is>
      </c>
      <c r="E238" t="inlineStr">
        <is>
          <t>0                      CS 0021000K  46          1997</t>
        </is>
      </c>
      <c r="F238" t="inlineStr">
        <is>
          <t>Virtual roots : a guide to genealogy and local history on the World Wide Web / Thomas Jay Kemp.</t>
        </is>
      </c>
      <c r="H238" t="inlineStr">
        <is>
          <t>No</t>
        </is>
      </c>
      <c r="I238" t="inlineStr">
        <is>
          <t>1</t>
        </is>
      </c>
      <c r="J238" t="inlineStr">
        <is>
          <t>No</t>
        </is>
      </c>
      <c r="K238" t="inlineStr">
        <is>
          <t>No</t>
        </is>
      </c>
      <c r="L238" t="inlineStr">
        <is>
          <t>0</t>
        </is>
      </c>
      <c r="M238" t="inlineStr">
        <is>
          <t>Kemp, Thomas Jay.</t>
        </is>
      </c>
      <c r="N238" t="inlineStr">
        <is>
          <t>Wilmington, Del. : Scholarly Resources, 1997.</t>
        </is>
      </c>
      <c r="O238" t="inlineStr">
        <is>
          <t>1997</t>
        </is>
      </c>
      <c r="Q238" t="inlineStr">
        <is>
          <t>eng</t>
        </is>
      </c>
      <c r="R238" t="inlineStr">
        <is>
          <t>deu</t>
        </is>
      </c>
      <c r="T238" t="inlineStr">
        <is>
          <t xml:space="preserve">CS </t>
        </is>
      </c>
      <c r="U238" t="n">
        <v>3</v>
      </c>
      <c r="V238" t="n">
        <v>3</v>
      </c>
      <c r="W238" t="inlineStr">
        <is>
          <t>2009-10-30</t>
        </is>
      </c>
      <c r="X238" t="inlineStr">
        <is>
          <t>2009-10-30</t>
        </is>
      </c>
      <c r="Y238" t="inlineStr">
        <is>
          <t>1997-11-25</t>
        </is>
      </c>
      <c r="Z238" t="inlineStr">
        <is>
          <t>1997-11-25</t>
        </is>
      </c>
      <c r="AA238" t="n">
        <v>748</v>
      </c>
      <c r="AB238" t="n">
        <v>702</v>
      </c>
      <c r="AC238" t="n">
        <v>711</v>
      </c>
      <c r="AD238" t="n">
        <v>2</v>
      </c>
      <c r="AE238" t="n">
        <v>2</v>
      </c>
      <c r="AF238" t="n">
        <v>7</v>
      </c>
      <c r="AG238" t="n">
        <v>7</v>
      </c>
      <c r="AH238" t="n">
        <v>2</v>
      </c>
      <c r="AI238" t="n">
        <v>2</v>
      </c>
      <c r="AJ238" t="n">
        <v>1</v>
      </c>
      <c r="AK238" t="n">
        <v>1</v>
      </c>
      <c r="AL238" t="n">
        <v>4</v>
      </c>
      <c r="AM238" t="n">
        <v>4</v>
      </c>
      <c r="AN238" t="n">
        <v>0</v>
      </c>
      <c r="AO238" t="n">
        <v>0</v>
      </c>
      <c r="AP238" t="n">
        <v>0</v>
      </c>
      <c r="AQ238" t="n">
        <v>0</v>
      </c>
      <c r="AR238" t="inlineStr">
        <is>
          <t>No</t>
        </is>
      </c>
      <c r="AS238" t="inlineStr">
        <is>
          <t>Yes</t>
        </is>
      </c>
      <c r="AT238">
        <f>HYPERLINK("http://catalog.hathitrust.org/Record/003951242","HathiTrust Record")</f>
        <v/>
      </c>
      <c r="AU238">
        <f>HYPERLINK("https://creighton-primo.hosted.exlibrisgroup.com/primo-explore/search?tab=default_tab&amp;search_scope=EVERYTHING&amp;vid=01CRU&amp;lang=en_US&amp;offset=0&amp;query=any,contains,991002808789702656","Catalog Record")</f>
        <v/>
      </c>
      <c r="AV238">
        <f>HYPERLINK("http://www.worldcat.org/oclc/36900834","WorldCat Record")</f>
        <v/>
      </c>
      <c r="AW238" t="inlineStr">
        <is>
          <t>196084547:eng</t>
        </is>
      </c>
      <c r="AX238" t="inlineStr">
        <is>
          <t>36900834</t>
        </is>
      </c>
      <c r="AY238" t="inlineStr">
        <is>
          <t>991002808789702656</t>
        </is>
      </c>
      <c r="AZ238" t="inlineStr">
        <is>
          <t>991002808789702656</t>
        </is>
      </c>
      <c r="BA238" t="inlineStr">
        <is>
          <t>2271955520002656</t>
        </is>
      </c>
      <c r="BB238" t="inlineStr">
        <is>
          <t>BOOK</t>
        </is>
      </c>
      <c r="BD238" t="inlineStr">
        <is>
          <t>9780842027182</t>
        </is>
      </c>
      <c r="BE238" t="inlineStr">
        <is>
          <t>32285003274163</t>
        </is>
      </c>
      <c r="BF238" t="inlineStr">
        <is>
          <t>893622757</t>
        </is>
      </c>
    </row>
    <row r="239">
      <c r="B239" t="inlineStr">
        <is>
          <t>CURAL</t>
        </is>
      </c>
      <c r="C239" t="inlineStr">
        <is>
          <t>SHELVES</t>
        </is>
      </c>
      <c r="D239" t="inlineStr">
        <is>
          <t>CS2327.U6 A6</t>
        </is>
      </c>
      <c r="E239" t="inlineStr">
        <is>
          <t>0                      CS 2327000U  6                  A  6</t>
        </is>
      </c>
      <c r="F239" t="inlineStr">
        <is>
          <t>What's your name? By Louis Adamic.</t>
        </is>
      </c>
      <c r="H239" t="inlineStr">
        <is>
          <t>No</t>
        </is>
      </c>
      <c r="I239" t="inlineStr">
        <is>
          <t>1</t>
        </is>
      </c>
      <c r="J239" t="inlineStr">
        <is>
          <t>No</t>
        </is>
      </c>
      <c r="K239" t="inlineStr">
        <is>
          <t>No</t>
        </is>
      </c>
      <c r="L239" t="inlineStr">
        <is>
          <t>0</t>
        </is>
      </c>
      <c r="M239" t="inlineStr">
        <is>
          <t>Adamic, Louis, 1899-1951.</t>
        </is>
      </c>
      <c r="N239" t="inlineStr">
        <is>
          <t>New York and London, Harper &amp; Brothers [1942]</t>
        </is>
      </c>
      <c r="O239" t="inlineStr">
        <is>
          <t>1942</t>
        </is>
      </c>
      <c r="Q239" t="inlineStr">
        <is>
          <t>eng</t>
        </is>
      </c>
      <c r="R239" t="inlineStr">
        <is>
          <t>nyu</t>
        </is>
      </c>
      <c r="T239" t="inlineStr">
        <is>
          <t xml:space="preserve">CS </t>
        </is>
      </c>
      <c r="U239" t="n">
        <v>2</v>
      </c>
      <c r="V239" t="n">
        <v>2</v>
      </c>
      <c r="W239" t="inlineStr">
        <is>
          <t>2001-01-28</t>
        </is>
      </c>
      <c r="X239" t="inlineStr">
        <is>
          <t>2001-01-28</t>
        </is>
      </c>
      <c r="Y239" t="inlineStr">
        <is>
          <t>1996-08-21</t>
        </is>
      </c>
      <c r="Z239" t="inlineStr">
        <is>
          <t>1996-08-21</t>
        </is>
      </c>
      <c r="AA239" t="n">
        <v>501</v>
      </c>
      <c r="AB239" t="n">
        <v>464</v>
      </c>
      <c r="AC239" t="n">
        <v>480</v>
      </c>
      <c r="AD239" t="n">
        <v>8</v>
      </c>
      <c r="AE239" t="n">
        <v>8</v>
      </c>
      <c r="AF239" t="n">
        <v>18</v>
      </c>
      <c r="AG239" t="n">
        <v>18</v>
      </c>
      <c r="AH239" t="n">
        <v>4</v>
      </c>
      <c r="AI239" t="n">
        <v>4</v>
      </c>
      <c r="AJ239" t="n">
        <v>4</v>
      </c>
      <c r="AK239" t="n">
        <v>4</v>
      </c>
      <c r="AL239" t="n">
        <v>10</v>
      </c>
      <c r="AM239" t="n">
        <v>10</v>
      </c>
      <c r="AN239" t="n">
        <v>4</v>
      </c>
      <c r="AO239" t="n">
        <v>4</v>
      </c>
      <c r="AP239" t="n">
        <v>0</v>
      </c>
      <c r="AQ239" t="n">
        <v>0</v>
      </c>
      <c r="AR239" t="inlineStr">
        <is>
          <t>No</t>
        </is>
      </c>
      <c r="AS239" t="inlineStr">
        <is>
          <t>Yes</t>
        </is>
      </c>
      <c r="AT239">
        <f>HYPERLINK("http://catalog.hathitrust.org/Record/001598156","HathiTrust Record")</f>
        <v/>
      </c>
      <c r="AU239">
        <f>HYPERLINK("https://creighton-primo.hosted.exlibrisgroup.com/primo-explore/search?tab=default_tab&amp;search_scope=EVERYTHING&amp;vid=01CRU&amp;lang=en_US&amp;offset=0&amp;query=any,contains,991003273799702656","Catalog Record")</f>
        <v/>
      </c>
      <c r="AV239">
        <f>HYPERLINK("http://www.worldcat.org/oclc/798644","WorldCat Record")</f>
        <v/>
      </c>
      <c r="AW239" t="inlineStr">
        <is>
          <t>1778049:eng</t>
        </is>
      </c>
      <c r="AX239" t="inlineStr">
        <is>
          <t>798644</t>
        </is>
      </c>
      <c r="AY239" t="inlineStr">
        <is>
          <t>991003273799702656</t>
        </is>
      </c>
      <c r="AZ239" t="inlineStr">
        <is>
          <t>991003273799702656</t>
        </is>
      </c>
      <c r="BA239" t="inlineStr">
        <is>
          <t>2261347940002656</t>
        </is>
      </c>
      <c r="BB239" t="inlineStr">
        <is>
          <t>BOOK</t>
        </is>
      </c>
      <c r="BE239" t="inlineStr">
        <is>
          <t>32285002278702</t>
        </is>
      </c>
      <c r="BF239" t="inlineStr">
        <is>
          <t>893799550</t>
        </is>
      </c>
    </row>
    <row r="240">
      <c r="B240" t="inlineStr">
        <is>
          <t>CURAL</t>
        </is>
      </c>
      <c r="C240" t="inlineStr">
        <is>
          <t>SHELVES</t>
        </is>
      </c>
      <c r="D240" t="inlineStr">
        <is>
          <t>CS2349 .L48 1987, v...</t>
        </is>
      </c>
      <c r="E240" t="inlineStr">
        <is>
          <t>0                      CS 2349000L  48          1987                                        v...</t>
        </is>
      </c>
      <c r="F240" t="inlineStr">
        <is>
          <t>A Lexicon of Greek personal names / edited by P.M. Fraser and E. Matthews.</t>
        </is>
      </c>
      <c r="G240" t="inlineStr">
        <is>
          <t>V. 2</t>
        </is>
      </c>
      <c r="H240" t="inlineStr">
        <is>
          <t>Yes</t>
        </is>
      </c>
      <c r="I240" t="inlineStr">
        <is>
          <t>1</t>
        </is>
      </c>
      <c r="J240" t="inlineStr">
        <is>
          <t>No</t>
        </is>
      </c>
      <c r="K240" t="inlineStr">
        <is>
          <t>No</t>
        </is>
      </c>
      <c r="L240" t="inlineStr">
        <is>
          <t>0</t>
        </is>
      </c>
      <c r="N240" t="inlineStr">
        <is>
          <t>Oxford [Oxfordshire] : Clarendon Press ; New York : Oxford University Press, 1987-</t>
        </is>
      </c>
      <c r="O240" t="inlineStr">
        <is>
          <t>1987</t>
        </is>
      </c>
      <c r="Q240" t="inlineStr">
        <is>
          <t>eng</t>
        </is>
      </c>
      <c r="R240" t="inlineStr">
        <is>
          <t>enk</t>
        </is>
      </c>
      <c r="T240" t="inlineStr">
        <is>
          <t xml:space="preserve">CS </t>
        </is>
      </c>
      <c r="U240" t="n">
        <v>4</v>
      </c>
      <c r="V240" t="n">
        <v>4</v>
      </c>
      <c r="W240" t="inlineStr">
        <is>
          <t>2007-03-21</t>
        </is>
      </c>
      <c r="X240" t="inlineStr">
        <is>
          <t>2007-03-21</t>
        </is>
      </c>
      <c r="Y240" t="inlineStr">
        <is>
          <t>2005-07-25</t>
        </is>
      </c>
      <c r="Z240" t="inlineStr">
        <is>
          <t>2005-07-25</t>
        </is>
      </c>
      <c r="AA240" t="n">
        <v>296</v>
      </c>
      <c r="AB240" t="n">
        <v>212</v>
      </c>
      <c r="AC240" t="n">
        <v>216</v>
      </c>
      <c r="AD240" t="n">
        <v>3</v>
      </c>
      <c r="AE240" t="n">
        <v>3</v>
      </c>
      <c r="AF240" t="n">
        <v>13</v>
      </c>
      <c r="AG240" t="n">
        <v>13</v>
      </c>
      <c r="AH240" t="n">
        <v>1</v>
      </c>
      <c r="AI240" t="n">
        <v>1</v>
      </c>
      <c r="AJ240" t="n">
        <v>5</v>
      </c>
      <c r="AK240" t="n">
        <v>5</v>
      </c>
      <c r="AL240" t="n">
        <v>8</v>
      </c>
      <c r="AM240" t="n">
        <v>8</v>
      </c>
      <c r="AN240" t="n">
        <v>2</v>
      </c>
      <c r="AO240" t="n">
        <v>2</v>
      </c>
      <c r="AP240" t="n">
        <v>0</v>
      </c>
      <c r="AQ240" t="n">
        <v>0</v>
      </c>
      <c r="AR240" t="inlineStr">
        <is>
          <t>No</t>
        </is>
      </c>
      <c r="AS240" t="inlineStr">
        <is>
          <t>Yes</t>
        </is>
      </c>
      <c r="AT240">
        <f>HYPERLINK("http://catalog.hathitrust.org/Record/000869785","HathiTrust Record")</f>
        <v/>
      </c>
      <c r="AU240">
        <f>HYPERLINK("https://creighton-primo.hosted.exlibrisgroup.com/primo-explore/search?tab=default_tab&amp;search_scope=EVERYTHING&amp;vid=01CRU&amp;lang=en_US&amp;offset=0&amp;query=any,contains,991001056519702656","Catalog Record")</f>
        <v/>
      </c>
      <c r="AV240">
        <f>HYPERLINK("http://www.worldcat.org/oclc/15696690","WorldCat Record")</f>
        <v/>
      </c>
      <c r="AW240" t="inlineStr">
        <is>
          <t>3372445154:eng</t>
        </is>
      </c>
      <c r="AX240" t="inlineStr">
        <is>
          <t>15696690</t>
        </is>
      </c>
      <c r="AY240" t="inlineStr">
        <is>
          <t>991001056519702656</t>
        </is>
      </c>
      <c r="AZ240" t="inlineStr">
        <is>
          <t>991001056519702656</t>
        </is>
      </c>
      <c r="BA240" t="inlineStr">
        <is>
          <t>2259982220002656</t>
        </is>
      </c>
      <c r="BB240" t="inlineStr">
        <is>
          <t>BOOK</t>
        </is>
      </c>
      <c r="BD240" t="inlineStr">
        <is>
          <t>9780198642220</t>
        </is>
      </c>
      <c r="BE240" t="inlineStr">
        <is>
          <t>32285005097877</t>
        </is>
      </c>
      <c r="BF240" t="inlineStr">
        <is>
          <t>893334015</t>
        </is>
      </c>
    </row>
    <row r="241">
      <c r="B241" t="inlineStr">
        <is>
          <t>CURAL</t>
        </is>
      </c>
      <c r="C241" t="inlineStr">
        <is>
          <t>SHELVES</t>
        </is>
      </c>
      <c r="D241" t="inlineStr">
        <is>
          <t>CS2349 .L48 1987, v...</t>
        </is>
      </c>
      <c r="E241" t="inlineStr">
        <is>
          <t>0                      CS 2349000L  48          1987                                        v...</t>
        </is>
      </c>
      <c r="F241" t="inlineStr">
        <is>
          <t>A Lexicon of Greek personal names / edited by P.M. Fraser and E. Matthews.</t>
        </is>
      </c>
      <c r="G241" t="inlineStr">
        <is>
          <t>V. 1</t>
        </is>
      </c>
      <c r="H241" t="inlineStr">
        <is>
          <t>Yes</t>
        </is>
      </c>
      <c r="I241" t="inlineStr">
        <is>
          <t>1</t>
        </is>
      </c>
      <c r="J241" t="inlineStr">
        <is>
          <t>No</t>
        </is>
      </c>
      <c r="K241" t="inlineStr">
        <is>
          <t>No</t>
        </is>
      </c>
      <c r="L241" t="inlineStr">
        <is>
          <t>0</t>
        </is>
      </c>
      <c r="N241" t="inlineStr">
        <is>
          <t>Oxford [Oxfordshire] : Clarendon Press ; New York : Oxford University Press, 1987-</t>
        </is>
      </c>
      <c r="O241" t="inlineStr">
        <is>
          <t>1987</t>
        </is>
      </c>
      <c r="Q241" t="inlineStr">
        <is>
          <t>eng</t>
        </is>
      </c>
      <c r="R241" t="inlineStr">
        <is>
          <t>enk</t>
        </is>
      </c>
      <c r="T241" t="inlineStr">
        <is>
          <t xml:space="preserve">CS </t>
        </is>
      </c>
      <c r="U241" t="n">
        <v>0</v>
      </c>
      <c r="V241" t="n">
        <v>4</v>
      </c>
      <c r="W241" t="inlineStr">
        <is>
          <t>2005-07-05</t>
        </is>
      </c>
      <c r="X241" t="inlineStr">
        <is>
          <t>2007-03-21</t>
        </is>
      </c>
      <c r="Y241" t="inlineStr">
        <is>
          <t>1992-06-08</t>
        </is>
      </c>
      <c r="Z241" t="inlineStr">
        <is>
          <t>2005-07-25</t>
        </is>
      </c>
      <c r="AA241" t="n">
        <v>296</v>
      </c>
      <c r="AB241" t="n">
        <v>212</v>
      </c>
      <c r="AC241" t="n">
        <v>216</v>
      </c>
      <c r="AD241" t="n">
        <v>3</v>
      </c>
      <c r="AE241" t="n">
        <v>3</v>
      </c>
      <c r="AF241" t="n">
        <v>13</v>
      </c>
      <c r="AG241" t="n">
        <v>13</v>
      </c>
      <c r="AH241" t="n">
        <v>1</v>
      </c>
      <c r="AI241" t="n">
        <v>1</v>
      </c>
      <c r="AJ241" t="n">
        <v>5</v>
      </c>
      <c r="AK241" t="n">
        <v>5</v>
      </c>
      <c r="AL241" t="n">
        <v>8</v>
      </c>
      <c r="AM241" t="n">
        <v>8</v>
      </c>
      <c r="AN241" t="n">
        <v>2</v>
      </c>
      <c r="AO241" t="n">
        <v>2</v>
      </c>
      <c r="AP241" t="n">
        <v>0</v>
      </c>
      <c r="AQ241" t="n">
        <v>0</v>
      </c>
      <c r="AR241" t="inlineStr">
        <is>
          <t>No</t>
        </is>
      </c>
      <c r="AS241" t="inlineStr">
        <is>
          <t>Yes</t>
        </is>
      </c>
      <c r="AT241">
        <f>HYPERLINK("http://catalog.hathitrust.org/Record/000869785","HathiTrust Record")</f>
        <v/>
      </c>
      <c r="AU241">
        <f>HYPERLINK("https://creighton-primo.hosted.exlibrisgroup.com/primo-explore/search?tab=default_tab&amp;search_scope=EVERYTHING&amp;vid=01CRU&amp;lang=en_US&amp;offset=0&amp;query=any,contains,991001056519702656","Catalog Record")</f>
        <v/>
      </c>
      <c r="AV241">
        <f>HYPERLINK("http://www.worldcat.org/oclc/15696690","WorldCat Record")</f>
        <v/>
      </c>
      <c r="AW241" t="inlineStr">
        <is>
          <t>3372445154:eng</t>
        </is>
      </c>
      <c r="AX241" t="inlineStr">
        <is>
          <t>15696690</t>
        </is>
      </c>
      <c r="AY241" t="inlineStr">
        <is>
          <t>991001056519702656</t>
        </is>
      </c>
      <c r="AZ241" t="inlineStr">
        <is>
          <t>991001056519702656</t>
        </is>
      </c>
      <c r="BA241" t="inlineStr">
        <is>
          <t>2259982220002656</t>
        </is>
      </c>
      <c r="BB241" t="inlineStr">
        <is>
          <t>BOOK</t>
        </is>
      </c>
      <c r="BD241" t="inlineStr">
        <is>
          <t>9780198642220</t>
        </is>
      </c>
      <c r="BE241" t="inlineStr">
        <is>
          <t>32285001165181</t>
        </is>
      </c>
      <c r="BF241" t="inlineStr">
        <is>
          <t>893351764</t>
        </is>
      </c>
    </row>
    <row r="242">
      <c r="B242" t="inlineStr">
        <is>
          <t>CURAL</t>
        </is>
      </c>
      <c r="C242" t="inlineStr">
        <is>
          <t>SHELVES</t>
        </is>
      </c>
      <c r="D242" t="inlineStr">
        <is>
          <t>CS2375.G7 W5</t>
        </is>
      </c>
      <c r="E242" t="inlineStr">
        <is>
          <t>0                      CS 2375000G  7                  W  5</t>
        </is>
      </c>
      <c r="F242" t="inlineStr">
        <is>
          <t>The Oxford dictionary of English Christian names, compiled by E. G. Withycombe.</t>
        </is>
      </c>
      <c r="H242" t="inlineStr">
        <is>
          <t>No</t>
        </is>
      </c>
      <c r="I242" t="inlineStr">
        <is>
          <t>1</t>
        </is>
      </c>
      <c r="J242" t="inlineStr">
        <is>
          <t>No</t>
        </is>
      </c>
      <c r="K242" t="inlineStr">
        <is>
          <t>Yes</t>
        </is>
      </c>
      <c r="L242" t="inlineStr">
        <is>
          <t>0</t>
        </is>
      </c>
      <c r="M242" t="inlineStr">
        <is>
          <t>Withycombe, E. G. (Elizabeth Gidley), 1902-</t>
        </is>
      </c>
      <c r="N242" t="inlineStr">
        <is>
          <t>Oxford, The Clarendon Press, 1945.</t>
        </is>
      </c>
      <c r="O242" t="inlineStr">
        <is>
          <t>1945</t>
        </is>
      </c>
      <c r="Q242" t="inlineStr">
        <is>
          <t>eng</t>
        </is>
      </c>
      <c r="R242" t="inlineStr">
        <is>
          <t>enk</t>
        </is>
      </c>
      <c r="T242" t="inlineStr">
        <is>
          <t xml:space="preserve">CS </t>
        </is>
      </c>
      <c r="U242" t="n">
        <v>4</v>
      </c>
      <c r="V242" t="n">
        <v>4</v>
      </c>
      <c r="W242" t="inlineStr">
        <is>
          <t>1996-09-28</t>
        </is>
      </c>
      <c r="X242" t="inlineStr">
        <is>
          <t>1996-09-28</t>
        </is>
      </c>
      <c r="Y242" t="inlineStr">
        <is>
          <t>1996-08-21</t>
        </is>
      </c>
      <c r="Z242" t="inlineStr">
        <is>
          <t>1996-08-21</t>
        </is>
      </c>
      <c r="AA242" t="n">
        <v>95</v>
      </c>
      <c r="AB242" t="n">
        <v>49</v>
      </c>
      <c r="AC242" t="n">
        <v>1355</v>
      </c>
      <c r="AD242" t="n">
        <v>1</v>
      </c>
      <c r="AE242" t="n">
        <v>10</v>
      </c>
      <c r="AF242" t="n">
        <v>0</v>
      </c>
      <c r="AG242" t="n">
        <v>39</v>
      </c>
      <c r="AH242" t="n">
        <v>0</v>
      </c>
      <c r="AI242" t="n">
        <v>17</v>
      </c>
      <c r="AJ242" t="n">
        <v>0</v>
      </c>
      <c r="AK242" t="n">
        <v>9</v>
      </c>
      <c r="AL242" t="n">
        <v>0</v>
      </c>
      <c r="AM242" t="n">
        <v>21</v>
      </c>
      <c r="AN242" t="n">
        <v>0</v>
      </c>
      <c r="AO242" t="n">
        <v>3</v>
      </c>
      <c r="AP242" t="n">
        <v>0</v>
      </c>
      <c r="AQ242" t="n">
        <v>0</v>
      </c>
      <c r="AR242" t="inlineStr">
        <is>
          <t>No</t>
        </is>
      </c>
      <c r="AS242" t="inlineStr">
        <is>
          <t>Yes</t>
        </is>
      </c>
      <c r="AT242">
        <f>HYPERLINK("http://catalog.hathitrust.org/Record/001598173","HathiTrust Record")</f>
        <v/>
      </c>
      <c r="AU242">
        <f>HYPERLINK("https://creighton-primo.hosted.exlibrisgroup.com/primo-explore/search?tab=default_tab&amp;search_scope=EVERYTHING&amp;vid=01CRU&amp;lang=en_US&amp;offset=0&amp;query=any,contains,991004726349702656","Catalog Record")</f>
        <v/>
      </c>
      <c r="AV242">
        <f>HYPERLINK("http://www.worldcat.org/oclc/4815640","WorldCat Record")</f>
        <v/>
      </c>
      <c r="AW242" t="inlineStr">
        <is>
          <t>414437:eng</t>
        </is>
      </c>
      <c r="AX242" t="inlineStr">
        <is>
          <t>4815640</t>
        </is>
      </c>
      <c r="AY242" t="inlineStr">
        <is>
          <t>991004726349702656</t>
        </is>
      </c>
      <c r="AZ242" t="inlineStr">
        <is>
          <t>991004726349702656</t>
        </is>
      </c>
      <c r="BA242" t="inlineStr">
        <is>
          <t>2262279420002656</t>
        </is>
      </c>
      <c r="BB242" t="inlineStr">
        <is>
          <t>BOOK</t>
        </is>
      </c>
      <c r="BE242" t="inlineStr">
        <is>
          <t>32285002278710</t>
        </is>
      </c>
      <c r="BF242" t="inlineStr">
        <is>
          <t>893612695</t>
        </is>
      </c>
    </row>
    <row r="243">
      <c r="B243" t="inlineStr">
        <is>
          <t>CURAL</t>
        </is>
      </c>
      <c r="C243" t="inlineStr">
        <is>
          <t>SHELVES</t>
        </is>
      </c>
      <c r="D243" t="inlineStr">
        <is>
          <t>CS2385 .B6</t>
        </is>
      </c>
      <c r="E243" t="inlineStr">
        <is>
          <t>0                      CS 2385000B  6</t>
        </is>
      </c>
      <c r="F243" t="inlineStr">
        <is>
          <t>The story of surnames, by William Dodgson Bowman.</t>
        </is>
      </c>
      <c r="H243" t="inlineStr">
        <is>
          <t>No</t>
        </is>
      </c>
      <c r="I243" t="inlineStr">
        <is>
          <t>1</t>
        </is>
      </c>
      <c r="J243" t="inlineStr">
        <is>
          <t>No</t>
        </is>
      </c>
      <c r="K243" t="inlineStr">
        <is>
          <t>No</t>
        </is>
      </c>
      <c r="L243" t="inlineStr">
        <is>
          <t>0</t>
        </is>
      </c>
      <c r="M243" t="inlineStr">
        <is>
          <t>Bowman, William Dodgson.</t>
        </is>
      </c>
      <c r="N243" t="inlineStr">
        <is>
          <t>London, G. Routledge, 1931.</t>
        </is>
      </c>
      <c r="O243" t="inlineStr">
        <is>
          <t>1931</t>
        </is>
      </c>
      <c r="Q243" t="inlineStr">
        <is>
          <t>eng</t>
        </is>
      </c>
      <c r="R243" t="inlineStr">
        <is>
          <t>enk</t>
        </is>
      </c>
      <c r="T243" t="inlineStr">
        <is>
          <t xml:space="preserve">CS </t>
        </is>
      </c>
      <c r="U243" t="n">
        <v>1</v>
      </c>
      <c r="V243" t="n">
        <v>1</v>
      </c>
      <c r="W243" t="inlineStr">
        <is>
          <t>1999-10-03</t>
        </is>
      </c>
      <c r="X243" t="inlineStr">
        <is>
          <t>1999-10-03</t>
        </is>
      </c>
      <c r="Y243" t="inlineStr">
        <is>
          <t>1996-08-21</t>
        </is>
      </c>
      <c r="Z243" t="inlineStr">
        <is>
          <t>1996-08-21</t>
        </is>
      </c>
      <c r="AA243" t="n">
        <v>145</v>
      </c>
      <c r="AB243" t="n">
        <v>106</v>
      </c>
      <c r="AC243" t="n">
        <v>519</v>
      </c>
      <c r="AD243" t="n">
        <v>1</v>
      </c>
      <c r="AE243" t="n">
        <v>3</v>
      </c>
      <c r="AF243" t="n">
        <v>4</v>
      </c>
      <c r="AG243" t="n">
        <v>11</v>
      </c>
      <c r="AH243" t="n">
        <v>0</v>
      </c>
      <c r="AI243" t="n">
        <v>1</v>
      </c>
      <c r="AJ243" t="n">
        <v>1</v>
      </c>
      <c r="AK243" t="n">
        <v>2</v>
      </c>
      <c r="AL243" t="n">
        <v>4</v>
      </c>
      <c r="AM243" t="n">
        <v>9</v>
      </c>
      <c r="AN243" t="n">
        <v>0</v>
      </c>
      <c r="AO243" t="n">
        <v>2</v>
      </c>
      <c r="AP243" t="n">
        <v>0</v>
      </c>
      <c r="AQ243" t="n">
        <v>0</v>
      </c>
      <c r="AR243" t="inlineStr">
        <is>
          <t>No</t>
        </is>
      </c>
      <c r="AS243" t="inlineStr">
        <is>
          <t>No</t>
        </is>
      </c>
      <c r="AU243">
        <f>HYPERLINK("https://creighton-primo.hosted.exlibrisgroup.com/primo-explore/search?tab=default_tab&amp;search_scope=EVERYTHING&amp;vid=01CRU&amp;lang=en_US&amp;offset=0&amp;query=any,contains,991004443179702656","Catalog Record")</f>
        <v/>
      </c>
      <c r="AV243">
        <f>HYPERLINK("http://www.worldcat.org/oclc/3473910","WorldCat Record")</f>
        <v/>
      </c>
      <c r="AW243" t="inlineStr">
        <is>
          <t>468440:eng</t>
        </is>
      </c>
      <c r="AX243" t="inlineStr">
        <is>
          <t>3473910</t>
        </is>
      </c>
      <c r="AY243" t="inlineStr">
        <is>
          <t>991004443179702656</t>
        </is>
      </c>
      <c r="AZ243" t="inlineStr">
        <is>
          <t>991004443179702656</t>
        </is>
      </c>
      <c r="BA243" t="inlineStr">
        <is>
          <t>2269244440002656</t>
        </is>
      </c>
      <c r="BB243" t="inlineStr">
        <is>
          <t>BOOK</t>
        </is>
      </c>
      <c r="BE243" t="inlineStr">
        <is>
          <t>32285002278728</t>
        </is>
      </c>
      <c r="BF243" t="inlineStr">
        <is>
          <t>893353396</t>
        </is>
      </c>
    </row>
    <row r="244">
      <c r="B244" t="inlineStr">
        <is>
          <t>CURAL</t>
        </is>
      </c>
      <c r="C244" t="inlineStr">
        <is>
          <t>SHELVES</t>
        </is>
      </c>
      <c r="D244" t="inlineStr">
        <is>
          <t>CS2385 .R4</t>
        </is>
      </c>
      <c r="E244" t="inlineStr">
        <is>
          <t>0                      CS 2385000R  4</t>
        </is>
      </c>
      <c r="F244" t="inlineStr">
        <is>
          <t>A dictionary of British surnames.</t>
        </is>
      </c>
      <c r="H244" t="inlineStr">
        <is>
          <t>No</t>
        </is>
      </c>
      <c r="I244" t="inlineStr">
        <is>
          <t>1</t>
        </is>
      </c>
      <c r="J244" t="inlineStr">
        <is>
          <t>No</t>
        </is>
      </c>
      <c r="K244" t="inlineStr">
        <is>
          <t>No</t>
        </is>
      </c>
      <c r="L244" t="inlineStr">
        <is>
          <t>0</t>
        </is>
      </c>
      <c r="M244" t="inlineStr">
        <is>
          <t>Reaney, Percy H. (Percy Hide), 1880-1968.</t>
        </is>
      </c>
      <c r="N244" t="inlineStr">
        <is>
          <t>London, Routledge and Paul [1958]</t>
        </is>
      </c>
      <c r="O244" t="inlineStr">
        <is>
          <t>1958</t>
        </is>
      </c>
      <c r="Q244" t="inlineStr">
        <is>
          <t>eng</t>
        </is>
      </c>
      <c r="R244" t="inlineStr">
        <is>
          <t>enk</t>
        </is>
      </c>
      <c r="T244" t="inlineStr">
        <is>
          <t xml:space="preserve">CS </t>
        </is>
      </c>
      <c r="U244" t="n">
        <v>4</v>
      </c>
      <c r="V244" t="n">
        <v>4</v>
      </c>
      <c r="W244" t="inlineStr">
        <is>
          <t>1998-04-03</t>
        </is>
      </c>
      <c r="X244" t="inlineStr">
        <is>
          <t>1998-04-03</t>
        </is>
      </c>
      <c r="Y244" t="inlineStr">
        <is>
          <t>1996-08-21</t>
        </is>
      </c>
      <c r="Z244" t="inlineStr">
        <is>
          <t>1996-08-21</t>
        </is>
      </c>
      <c r="AA244" t="n">
        <v>456</v>
      </c>
      <c r="AB244" t="n">
        <v>331</v>
      </c>
      <c r="AC244" t="n">
        <v>710</v>
      </c>
      <c r="AD244" t="n">
        <v>3</v>
      </c>
      <c r="AE244" t="n">
        <v>3</v>
      </c>
      <c r="AF244" t="n">
        <v>12</v>
      </c>
      <c r="AG244" t="n">
        <v>19</v>
      </c>
      <c r="AH244" t="n">
        <v>2</v>
      </c>
      <c r="AI244" t="n">
        <v>5</v>
      </c>
      <c r="AJ244" t="n">
        <v>3</v>
      </c>
      <c r="AK244" t="n">
        <v>6</v>
      </c>
      <c r="AL244" t="n">
        <v>7</v>
      </c>
      <c r="AM244" t="n">
        <v>11</v>
      </c>
      <c r="AN244" t="n">
        <v>2</v>
      </c>
      <c r="AO244" t="n">
        <v>2</v>
      </c>
      <c r="AP244" t="n">
        <v>0</v>
      </c>
      <c r="AQ244" t="n">
        <v>0</v>
      </c>
      <c r="AR244" t="inlineStr">
        <is>
          <t>No</t>
        </is>
      </c>
      <c r="AS244" t="inlineStr">
        <is>
          <t>Yes</t>
        </is>
      </c>
      <c r="AT244">
        <f>HYPERLINK("http://catalog.hathitrust.org/Record/001598182","HathiTrust Record")</f>
        <v/>
      </c>
      <c r="AU244">
        <f>HYPERLINK("https://creighton-primo.hosted.exlibrisgroup.com/primo-explore/search?tab=default_tab&amp;search_scope=EVERYTHING&amp;vid=01CRU&amp;lang=en_US&amp;offset=0&amp;query=any,contains,991003855459702656","Catalog Record")</f>
        <v/>
      </c>
      <c r="AV244">
        <f>HYPERLINK("http://www.worldcat.org/oclc/1652830","WorldCat Record")</f>
        <v/>
      </c>
      <c r="AW244" t="inlineStr">
        <is>
          <t>2445872:eng</t>
        </is>
      </c>
      <c r="AX244" t="inlineStr">
        <is>
          <t>1652830</t>
        </is>
      </c>
      <c r="AY244" t="inlineStr">
        <is>
          <t>991003855459702656</t>
        </is>
      </c>
      <c r="AZ244" t="inlineStr">
        <is>
          <t>991003855459702656</t>
        </is>
      </c>
      <c r="BA244" t="inlineStr">
        <is>
          <t>2269213290002656</t>
        </is>
      </c>
      <c r="BB244" t="inlineStr">
        <is>
          <t>BOOK</t>
        </is>
      </c>
      <c r="BE244" t="inlineStr">
        <is>
          <t>32285002278736</t>
        </is>
      </c>
      <c r="BF244" t="inlineStr">
        <is>
          <t>893611543</t>
        </is>
      </c>
    </row>
    <row r="245">
      <c r="B245" t="inlineStr">
        <is>
          <t>CURAL</t>
        </is>
      </c>
      <c r="C245" t="inlineStr">
        <is>
          <t>SHELVES</t>
        </is>
      </c>
      <c r="D245" t="inlineStr">
        <is>
          <t>CS2411 .W6</t>
        </is>
      </c>
      <c r="E245" t="inlineStr">
        <is>
          <t>0                      CS 2411000W  6</t>
        </is>
      </c>
      <c r="F245" t="inlineStr">
        <is>
          <t>Irish names and surnames : Sloinnte Gaedheal is Gall / collected and edited with explanatory and historical notes by Patrick Woulfe.</t>
        </is>
      </c>
      <c r="H245" t="inlineStr">
        <is>
          <t>No</t>
        </is>
      </c>
      <c r="I245" t="inlineStr">
        <is>
          <t>1</t>
        </is>
      </c>
      <c r="J245" t="inlineStr">
        <is>
          <t>No</t>
        </is>
      </c>
      <c r="K245" t="inlineStr">
        <is>
          <t>No</t>
        </is>
      </c>
      <c r="L245" t="inlineStr">
        <is>
          <t>0</t>
        </is>
      </c>
      <c r="M245" t="inlineStr">
        <is>
          <t>Woulfe, Patrick, -1933.</t>
        </is>
      </c>
      <c r="N245" t="inlineStr">
        <is>
          <t>Dublin : M. H. Gill &amp; son, 1923.</t>
        </is>
      </c>
      <c r="O245" t="inlineStr">
        <is>
          <t>1923</t>
        </is>
      </c>
      <c r="Q245" t="inlineStr">
        <is>
          <t>eng</t>
        </is>
      </c>
      <c r="R245" t="inlineStr">
        <is>
          <t xml:space="preserve">ie </t>
        </is>
      </c>
      <c r="T245" t="inlineStr">
        <is>
          <t xml:space="preserve">CS </t>
        </is>
      </c>
      <c r="U245" t="n">
        <v>20</v>
      </c>
      <c r="V245" t="n">
        <v>20</v>
      </c>
      <c r="W245" t="inlineStr">
        <is>
          <t>2003-09-04</t>
        </is>
      </c>
      <c r="X245" t="inlineStr">
        <is>
          <t>2003-09-04</t>
        </is>
      </c>
      <c r="Y245" t="inlineStr">
        <is>
          <t>1990-02-26</t>
        </is>
      </c>
      <c r="Z245" t="inlineStr">
        <is>
          <t>1990-02-26</t>
        </is>
      </c>
      <c r="AA245" t="n">
        <v>119</v>
      </c>
      <c r="AB245" t="n">
        <v>86</v>
      </c>
      <c r="AC245" t="n">
        <v>230</v>
      </c>
      <c r="AD245" t="n">
        <v>2</v>
      </c>
      <c r="AE245" t="n">
        <v>4</v>
      </c>
      <c r="AF245" t="n">
        <v>12</v>
      </c>
      <c r="AG245" t="n">
        <v>16</v>
      </c>
      <c r="AH245" t="n">
        <v>2</v>
      </c>
      <c r="AI245" t="n">
        <v>3</v>
      </c>
      <c r="AJ245" t="n">
        <v>1</v>
      </c>
      <c r="AK245" t="n">
        <v>2</v>
      </c>
      <c r="AL245" t="n">
        <v>11</v>
      </c>
      <c r="AM245" t="n">
        <v>13</v>
      </c>
      <c r="AN245" t="n">
        <v>0</v>
      </c>
      <c r="AO245" t="n">
        <v>1</v>
      </c>
      <c r="AP245" t="n">
        <v>0</v>
      </c>
      <c r="AQ245" t="n">
        <v>0</v>
      </c>
      <c r="AR245" t="inlineStr">
        <is>
          <t>Yes</t>
        </is>
      </c>
      <c r="AS245" t="inlineStr">
        <is>
          <t>No</t>
        </is>
      </c>
      <c r="AT245">
        <f>HYPERLINK("http://catalog.hathitrust.org/Record/002594721","HathiTrust Record")</f>
        <v/>
      </c>
      <c r="AU245">
        <f>HYPERLINK("https://creighton-primo.hosted.exlibrisgroup.com/primo-explore/search?tab=default_tab&amp;search_scope=EVERYTHING&amp;vid=01CRU&amp;lang=en_US&amp;offset=0&amp;query=any,contains,991003729669702656","Catalog Record")</f>
        <v/>
      </c>
      <c r="AV245">
        <f>HYPERLINK("http://www.worldcat.org/oclc/1380109","WorldCat Record")</f>
        <v/>
      </c>
      <c r="AW245" t="inlineStr">
        <is>
          <t>4917534199:eng</t>
        </is>
      </c>
      <c r="AX245" t="inlineStr">
        <is>
          <t>1380109</t>
        </is>
      </c>
      <c r="AY245" t="inlineStr">
        <is>
          <t>991003729669702656</t>
        </is>
      </c>
      <c r="AZ245" t="inlineStr">
        <is>
          <t>991003729669702656</t>
        </is>
      </c>
      <c r="BA245" t="inlineStr">
        <is>
          <t>2260388840002656</t>
        </is>
      </c>
      <c r="BB245" t="inlineStr">
        <is>
          <t>BOOK</t>
        </is>
      </c>
      <c r="BE245" t="inlineStr">
        <is>
          <t>32285000062769</t>
        </is>
      </c>
      <c r="BF245" t="inlineStr">
        <is>
          <t>893894045</t>
        </is>
      </c>
    </row>
    <row r="246">
      <c r="B246" t="inlineStr">
        <is>
          <t>CURAL</t>
        </is>
      </c>
      <c r="C246" t="inlineStr">
        <is>
          <t>SHELVES</t>
        </is>
      </c>
      <c r="D246" t="inlineStr">
        <is>
          <t>CS2415.K4 S3</t>
        </is>
      </c>
      <c r="E246" t="inlineStr">
        <is>
          <t>0                      CS 2415000K  4                  S  3</t>
        </is>
      </c>
      <c r="F246" t="inlineStr">
        <is>
          <t>A bio-bibliography of the Kennedy family, by Martin H. Sable.</t>
        </is>
      </c>
      <c r="H246" t="inlineStr">
        <is>
          <t>No</t>
        </is>
      </c>
      <c r="I246" t="inlineStr">
        <is>
          <t>1</t>
        </is>
      </c>
      <c r="J246" t="inlineStr">
        <is>
          <t>No</t>
        </is>
      </c>
      <c r="K246" t="inlineStr">
        <is>
          <t>No</t>
        </is>
      </c>
      <c r="L246" t="inlineStr">
        <is>
          <t>0</t>
        </is>
      </c>
      <c r="M246" t="inlineStr">
        <is>
          <t>Sable, Martin Howard.</t>
        </is>
      </c>
      <c r="N246" t="inlineStr">
        <is>
          <t>Metuchen, N.J., Scarecrow Press, 1969.</t>
        </is>
      </c>
      <c r="O246" t="inlineStr">
        <is>
          <t>1969</t>
        </is>
      </c>
      <c r="Q246" t="inlineStr">
        <is>
          <t>eng</t>
        </is>
      </c>
      <c r="R246" t="inlineStr">
        <is>
          <t>nju</t>
        </is>
      </c>
      <c r="T246" t="inlineStr">
        <is>
          <t xml:space="preserve">CS </t>
        </is>
      </c>
      <c r="U246" t="n">
        <v>3</v>
      </c>
      <c r="V246" t="n">
        <v>3</v>
      </c>
      <c r="W246" t="inlineStr">
        <is>
          <t>1999-10-05</t>
        </is>
      </c>
      <c r="X246" t="inlineStr">
        <is>
          <t>1999-10-05</t>
        </is>
      </c>
      <c r="Y246" t="inlineStr">
        <is>
          <t>1996-08-21</t>
        </is>
      </c>
      <c r="Z246" t="inlineStr">
        <is>
          <t>1996-08-21</t>
        </is>
      </c>
      <c r="AA246" t="n">
        <v>359</v>
      </c>
      <c r="AB246" t="n">
        <v>324</v>
      </c>
      <c r="AC246" t="n">
        <v>332</v>
      </c>
      <c r="AD246" t="n">
        <v>2</v>
      </c>
      <c r="AE246" t="n">
        <v>2</v>
      </c>
      <c r="AF246" t="n">
        <v>12</v>
      </c>
      <c r="AG246" t="n">
        <v>12</v>
      </c>
      <c r="AH246" t="n">
        <v>3</v>
      </c>
      <c r="AI246" t="n">
        <v>3</v>
      </c>
      <c r="AJ246" t="n">
        <v>3</v>
      </c>
      <c r="AK246" t="n">
        <v>3</v>
      </c>
      <c r="AL246" t="n">
        <v>7</v>
      </c>
      <c r="AM246" t="n">
        <v>7</v>
      </c>
      <c r="AN246" t="n">
        <v>1</v>
      </c>
      <c r="AO246" t="n">
        <v>1</v>
      </c>
      <c r="AP246" t="n">
        <v>0</v>
      </c>
      <c r="AQ246" t="n">
        <v>0</v>
      </c>
      <c r="AR246" t="inlineStr">
        <is>
          <t>No</t>
        </is>
      </c>
      <c r="AS246" t="inlineStr">
        <is>
          <t>Yes</t>
        </is>
      </c>
      <c r="AT246">
        <f>HYPERLINK("http://catalog.hathitrust.org/Record/001764452","HathiTrust Record")</f>
        <v/>
      </c>
      <c r="AU246">
        <f>HYPERLINK("https://creighton-primo.hosted.exlibrisgroup.com/primo-explore/search?tab=default_tab&amp;search_scope=EVERYTHING&amp;vid=01CRU&amp;lang=en_US&amp;offset=0&amp;query=any,contains,991000084809702656","Catalog Record")</f>
        <v/>
      </c>
      <c r="AV246">
        <f>HYPERLINK("http://www.worldcat.org/oclc/33346","WorldCat Record")</f>
        <v/>
      </c>
      <c r="AW246" t="inlineStr">
        <is>
          <t>1189337:eng</t>
        </is>
      </c>
      <c r="AX246" t="inlineStr">
        <is>
          <t>33346</t>
        </is>
      </c>
      <c r="AY246" t="inlineStr">
        <is>
          <t>991000084809702656</t>
        </is>
      </c>
      <c r="AZ246" t="inlineStr">
        <is>
          <t>991000084809702656</t>
        </is>
      </c>
      <c r="BA246" t="inlineStr">
        <is>
          <t>2261286400002656</t>
        </is>
      </c>
      <c r="BB246" t="inlineStr">
        <is>
          <t>BOOK</t>
        </is>
      </c>
      <c r="BD246" t="inlineStr">
        <is>
          <t>9780810802476</t>
        </is>
      </c>
      <c r="BE246" t="inlineStr">
        <is>
          <t>32285002278744</t>
        </is>
      </c>
      <c r="BF246" t="inlineStr">
        <is>
          <t>893255163</t>
        </is>
      </c>
    </row>
    <row r="247">
      <c r="B247" t="inlineStr">
        <is>
          <t>CURAL</t>
        </is>
      </c>
      <c r="C247" t="inlineStr">
        <is>
          <t>SHELVES</t>
        </is>
      </c>
      <c r="D247" t="inlineStr">
        <is>
          <t>CS2435 .S5 1968</t>
        </is>
      </c>
      <c r="E247" t="inlineStr">
        <is>
          <t>0                      CS 2435000S  5           1968</t>
        </is>
      </c>
      <c r="F247" t="inlineStr">
        <is>
          <t>The origin and signification of Scottish surnames, with a vocabulary of Christian names.</t>
        </is>
      </c>
      <c r="H247" t="inlineStr">
        <is>
          <t>No</t>
        </is>
      </c>
      <c r="I247" t="inlineStr">
        <is>
          <t>1</t>
        </is>
      </c>
      <c r="J247" t="inlineStr">
        <is>
          <t>No</t>
        </is>
      </c>
      <c r="K247" t="inlineStr">
        <is>
          <t>No</t>
        </is>
      </c>
      <c r="L247" t="inlineStr">
        <is>
          <t>0</t>
        </is>
      </c>
      <c r="M247" t="inlineStr">
        <is>
          <t>Sims, Clifford Stanley, 1839-1896.</t>
        </is>
      </c>
      <c r="N247" t="inlineStr">
        <is>
          <t>Baltimore, Genealogical Pub. Co., 1968.</t>
        </is>
      </c>
      <c r="O247" t="inlineStr">
        <is>
          <t>1968</t>
        </is>
      </c>
      <c r="Q247" t="inlineStr">
        <is>
          <t>eng</t>
        </is>
      </c>
      <c r="R247" t="inlineStr">
        <is>
          <t>mdu</t>
        </is>
      </c>
      <c r="T247" t="inlineStr">
        <is>
          <t xml:space="preserve">CS </t>
        </is>
      </c>
      <c r="U247" t="n">
        <v>1</v>
      </c>
      <c r="V247" t="n">
        <v>1</v>
      </c>
      <c r="W247" t="inlineStr">
        <is>
          <t>2001-01-23</t>
        </is>
      </c>
      <c r="X247" t="inlineStr">
        <is>
          <t>2001-01-23</t>
        </is>
      </c>
      <c r="Y247" t="inlineStr">
        <is>
          <t>1996-08-21</t>
        </is>
      </c>
      <c r="Z247" t="inlineStr">
        <is>
          <t>1996-08-21</t>
        </is>
      </c>
      <c r="AA247" t="n">
        <v>153</v>
      </c>
      <c r="AB247" t="n">
        <v>137</v>
      </c>
      <c r="AC247" t="n">
        <v>894</v>
      </c>
      <c r="AD247" t="n">
        <v>2</v>
      </c>
      <c r="AE247" t="n">
        <v>10</v>
      </c>
      <c r="AF247" t="n">
        <v>4</v>
      </c>
      <c r="AG247" t="n">
        <v>16</v>
      </c>
      <c r="AH247" t="n">
        <v>3</v>
      </c>
      <c r="AI247" t="n">
        <v>6</v>
      </c>
      <c r="AJ247" t="n">
        <v>0</v>
      </c>
      <c r="AK247" t="n">
        <v>3</v>
      </c>
      <c r="AL247" t="n">
        <v>1</v>
      </c>
      <c r="AM247" t="n">
        <v>5</v>
      </c>
      <c r="AN247" t="n">
        <v>1</v>
      </c>
      <c r="AO247" t="n">
        <v>4</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HYPERLINK("https://creighton-primo.hosted.exlibrisgroup.com/primo-explore/search?tab=default_tab&amp;search_scope=EVERYTHING&amp;vid=01CRU&amp;lang=en_US&amp;offset=0&amp;query=any,contains,991002809019702656","Catalog Record")</f>
        <v/>
      </c>
      <c r="AV247">
        <f>HYPERLINK("http://www.worldcat.org/oclc/451600","WorldCat Record")</f>
        <v/>
      </c>
      <c r="AW247" t="inlineStr">
        <is>
          <t>1167246:eng</t>
        </is>
      </c>
      <c r="AX247" t="inlineStr">
        <is>
          <t>451600</t>
        </is>
      </c>
      <c r="AY247" t="inlineStr">
        <is>
          <t>991002809019702656</t>
        </is>
      </c>
      <c r="AZ247" t="inlineStr">
        <is>
          <t>991002809019702656</t>
        </is>
      </c>
      <c r="BA247" t="inlineStr">
        <is>
          <t>2261219360002656</t>
        </is>
      </c>
      <c r="BB247" t="inlineStr">
        <is>
          <t>BOOK</t>
        </is>
      </c>
      <c r="BE247" t="inlineStr">
        <is>
          <t>32285002278751</t>
        </is>
      </c>
      <c r="BF247" t="inlineStr">
        <is>
          <t>893805066</t>
        </is>
      </c>
    </row>
    <row r="248">
      <c r="B248" t="inlineStr">
        <is>
          <t>CURAL</t>
        </is>
      </c>
      <c r="C248" t="inlineStr">
        <is>
          <t>SHELVES</t>
        </is>
      </c>
      <c r="D248" t="inlineStr">
        <is>
          <t>CS2487 .J66 1990</t>
        </is>
      </c>
      <c r="E248" t="inlineStr">
        <is>
          <t>0                      CS 2487000J  66          1990</t>
        </is>
      </c>
      <c r="F248" t="inlineStr">
        <is>
          <t>German-American names / George F. Jones.</t>
        </is>
      </c>
      <c r="H248" t="inlineStr">
        <is>
          <t>No</t>
        </is>
      </c>
      <c r="I248" t="inlineStr">
        <is>
          <t>1</t>
        </is>
      </c>
      <c r="J248" t="inlineStr">
        <is>
          <t>No</t>
        </is>
      </c>
      <c r="K248" t="inlineStr">
        <is>
          <t>No</t>
        </is>
      </c>
      <c r="L248" t="inlineStr">
        <is>
          <t>0</t>
        </is>
      </c>
      <c r="M248" t="inlineStr">
        <is>
          <t>Jones, George Fenwick, 1916-2010.</t>
        </is>
      </c>
      <c r="N248" t="inlineStr">
        <is>
          <t>Baltimore, Md. : Genealogical Pub. Co., c1990.</t>
        </is>
      </c>
      <c r="O248" t="inlineStr">
        <is>
          <t>1990</t>
        </is>
      </c>
      <c r="Q248" t="inlineStr">
        <is>
          <t>eng</t>
        </is>
      </c>
      <c r="R248" t="inlineStr">
        <is>
          <t>mdu</t>
        </is>
      </c>
      <c r="T248" t="inlineStr">
        <is>
          <t xml:space="preserve">CS </t>
        </is>
      </c>
      <c r="U248" t="n">
        <v>3</v>
      </c>
      <c r="V248" t="n">
        <v>3</v>
      </c>
      <c r="W248" t="inlineStr">
        <is>
          <t>1999-10-03</t>
        </is>
      </c>
      <c r="X248" t="inlineStr">
        <is>
          <t>1999-10-03</t>
        </is>
      </c>
      <c r="Y248" t="inlineStr">
        <is>
          <t>1992-01-16</t>
        </is>
      </c>
      <c r="Z248" t="inlineStr">
        <is>
          <t>1992-01-16</t>
        </is>
      </c>
      <c r="AA248" t="n">
        <v>724</v>
      </c>
      <c r="AB248" t="n">
        <v>700</v>
      </c>
      <c r="AC248" t="n">
        <v>964</v>
      </c>
      <c r="AD248" t="n">
        <v>9</v>
      </c>
      <c r="AE248" t="n">
        <v>10</v>
      </c>
      <c r="AF248" t="n">
        <v>7</v>
      </c>
      <c r="AG248" t="n">
        <v>7</v>
      </c>
      <c r="AH248" t="n">
        <v>4</v>
      </c>
      <c r="AI248" t="n">
        <v>4</v>
      </c>
      <c r="AJ248" t="n">
        <v>2</v>
      </c>
      <c r="AK248" t="n">
        <v>2</v>
      </c>
      <c r="AL248" t="n">
        <v>3</v>
      </c>
      <c r="AM248" t="n">
        <v>3</v>
      </c>
      <c r="AN248" t="n">
        <v>0</v>
      </c>
      <c r="AO248" t="n">
        <v>0</v>
      </c>
      <c r="AP248" t="n">
        <v>0</v>
      </c>
      <c r="AQ248" t="n">
        <v>0</v>
      </c>
      <c r="AR248" t="inlineStr">
        <is>
          <t>No</t>
        </is>
      </c>
      <c r="AS248" t="inlineStr">
        <is>
          <t>Yes</t>
        </is>
      </c>
      <c r="AT248">
        <f>HYPERLINK("http://catalog.hathitrust.org/Record/002428027","HathiTrust Record")</f>
        <v/>
      </c>
      <c r="AU248">
        <f>HYPERLINK("https://creighton-primo.hosted.exlibrisgroup.com/primo-explore/search?tab=default_tab&amp;search_scope=EVERYTHING&amp;vid=01CRU&amp;lang=en_US&amp;offset=0&amp;query=any,contains,991001656599702656","Catalog Record")</f>
        <v/>
      </c>
      <c r="AV248">
        <f>HYPERLINK("http://www.worldcat.org/oclc/21145316","WorldCat Record")</f>
        <v/>
      </c>
      <c r="AW248" t="inlineStr">
        <is>
          <t>961069:eng</t>
        </is>
      </c>
      <c r="AX248" t="inlineStr">
        <is>
          <t>21145316</t>
        </is>
      </c>
      <c r="AY248" t="inlineStr">
        <is>
          <t>991001656599702656</t>
        </is>
      </c>
      <c r="AZ248" t="inlineStr">
        <is>
          <t>991001656599702656</t>
        </is>
      </c>
      <c r="BA248" t="inlineStr">
        <is>
          <t>2266809570002656</t>
        </is>
      </c>
      <c r="BB248" t="inlineStr">
        <is>
          <t>BOOK</t>
        </is>
      </c>
      <c r="BD248" t="inlineStr">
        <is>
          <t>9780806312712</t>
        </is>
      </c>
      <c r="BE248" t="inlineStr">
        <is>
          <t>32285000864396</t>
        </is>
      </c>
      <c r="BF248" t="inlineStr">
        <is>
          <t>893334460</t>
        </is>
      </c>
    </row>
    <row r="249">
      <c r="B249" t="inlineStr">
        <is>
          <t>CURAL</t>
        </is>
      </c>
      <c r="C249" t="inlineStr">
        <is>
          <t>SHELVES</t>
        </is>
      </c>
      <c r="D249" t="inlineStr">
        <is>
          <t>CS2501 .B3 1968b</t>
        </is>
      </c>
      <c r="E249" t="inlineStr">
        <is>
          <t>0                      CS 2501000B  3           1968b</t>
        </is>
      </c>
      <c r="F249" t="inlineStr">
        <is>
          <t>British family names; their origin and meaning, with lists of Scandinavian, Frisian, Anglo-Saxon, and Norman names.</t>
        </is>
      </c>
      <c r="H249" t="inlineStr">
        <is>
          <t>No</t>
        </is>
      </c>
      <c r="I249" t="inlineStr">
        <is>
          <t>1</t>
        </is>
      </c>
      <c r="J249" t="inlineStr">
        <is>
          <t>No</t>
        </is>
      </c>
      <c r="K249" t="inlineStr">
        <is>
          <t>No</t>
        </is>
      </c>
      <c r="L249" t="inlineStr">
        <is>
          <t>0</t>
        </is>
      </c>
      <c r="M249" t="inlineStr">
        <is>
          <t>Barber, Henry.</t>
        </is>
      </c>
      <c r="N249" t="inlineStr">
        <is>
          <t>Baltimore, Genealogical Pub. Co., 1968.</t>
        </is>
      </c>
      <c r="O249" t="inlineStr">
        <is>
          <t>1968</t>
        </is>
      </c>
      <c r="Q249" t="inlineStr">
        <is>
          <t>eng</t>
        </is>
      </c>
      <c r="R249" t="inlineStr">
        <is>
          <t>mdu</t>
        </is>
      </c>
      <c r="T249" t="inlineStr">
        <is>
          <t xml:space="preserve">CS </t>
        </is>
      </c>
      <c r="U249" t="n">
        <v>1</v>
      </c>
      <c r="V249" t="n">
        <v>1</v>
      </c>
      <c r="W249" t="inlineStr">
        <is>
          <t>2005-10-13</t>
        </is>
      </c>
      <c r="X249" t="inlineStr">
        <is>
          <t>2005-10-13</t>
        </is>
      </c>
      <c r="Y249" t="inlineStr">
        <is>
          <t>1996-08-21</t>
        </is>
      </c>
      <c r="Z249" t="inlineStr">
        <is>
          <t>1996-08-21</t>
        </is>
      </c>
      <c r="AA249" t="n">
        <v>142</v>
      </c>
      <c r="AB249" t="n">
        <v>138</v>
      </c>
      <c r="AC249" t="n">
        <v>522</v>
      </c>
      <c r="AD249" t="n">
        <v>2</v>
      </c>
      <c r="AE249" t="n">
        <v>4</v>
      </c>
      <c r="AF249" t="n">
        <v>3</v>
      </c>
      <c r="AG249" t="n">
        <v>10</v>
      </c>
      <c r="AH249" t="n">
        <v>1</v>
      </c>
      <c r="AI249" t="n">
        <v>3</v>
      </c>
      <c r="AJ249" t="n">
        <v>0</v>
      </c>
      <c r="AK249" t="n">
        <v>0</v>
      </c>
      <c r="AL249" t="n">
        <v>1</v>
      </c>
      <c r="AM249" t="n">
        <v>5</v>
      </c>
      <c r="AN249" t="n">
        <v>1</v>
      </c>
      <c r="AO249" t="n">
        <v>3</v>
      </c>
      <c r="AP249" t="n">
        <v>0</v>
      </c>
      <c r="AQ249" t="n">
        <v>0</v>
      </c>
      <c r="AR249" t="inlineStr">
        <is>
          <t>No</t>
        </is>
      </c>
      <c r="AS249" t="inlineStr">
        <is>
          <t>Yes</t>
        </is>
      </c>
      <c r="AT249">
        <f>HYPERLINK("http://catalog.hathitrust.org/Record/012239873","HathiTrust Record")</f>
        <v/>
      </c>
      <c r="AU249">
        <f>HYPERLINK("https://creighton-primo.hosted.exlibrisgroup.com/primo-explore/search?tab=default_tab&amp;search_scope=EVERYTHING&amp;vid=01CRU&amp;lang=en_US&amp;offset=0&amp;query=any,contains,991005434209702656","Catalog Record")</f>
        <v/>
      </c>
      <c r="AV249">
        <f>HYPERLINK("http://www.worldcat.org/oclc/2340","WorldCat Record")</f>
        <v/>
      </c>
      <c r="AW249" t="inlineStr">
        <is>
          <t>1417076:eng</t>
        </is>
      </c>
      <c r="AX249" t="inlineStr">
        <is>
          <t>2340</t>
        </is>
      </c>
      <c r="AY249" t="inlineStr">
        <is>
          <t>991005434209702656</t>
        </is>
      </c>
      <c r="AZ249" t="inlineStr">
        <is>
          <t>991005434209702656</t>
        </is>
      </c>
      <c r="BA249" t="inlineStr">
        <is>
          <t>2262815990002656</t>
        </is>
      </c>
      <c r="BB249" t="inlineStr">
        <is>
          <t>BOOK</t>
        </is>
      </c>
      <c r="BE249" t="inlineStr">
        <is>
          <t>32285002278769</t>
        </is>
      </c>
      <c r="BF249" t="inlineStr">
        <is>
          <t>893412893</t>
        </is>
      </c>
    </row>
    <row r="250">
      <c r="B250" t="inlineStr">
        <is>
          <t>CURAL</t>
        </is>
      </c>
      <c r="C250" t="inlineStr">
        <is>
          <t>SHELVES</t>
        </is>
      </c>
      <c r="D250" t="inlineStr">
        <is>
          <t>CS2505 .G85 1968</t>
        </is>
      </c>
      <c r="E250" t="inlineStr">
        <is>
          <t>0                      CS 2505000G  85          1968</t>
        </is>
      </c>
      <c r="F250" t="inlineStr">
        <is>
          <t>Homes of family names in Great Britain.</t>
        </is>
      </c>
      <c r="H250" t="inlineStr">
        <is>
          <t>No</t>
        </is>
      </c>
      <c r="I250" t="inlineStr">
        <is>
          <t>1</t>
        </is>
      </c>
      <c r="J250" t="inlineStr">
        <is>
          <t>No</t>
        </is>
      </c>
      <c r="K250" t="inlineStr">
        <is>
          <t>No</t>
        </is>
      </c>
      <c r="L250" t="inlineStr">
        <is>
          <t>0</t>
        </is>
      </c>
      <c r="M250" t="inlineStr">
        <is>
          <t>Guppy, H. B. (Henry Brougham), 1854-1926.</t>
        </is>
      </c>
      <c r="N250" t="inlineStr">
        <is>
          <t>Baltimore : Genealogical Pub. Co., 1968.</t>
        </is>
      </c>
      <c r="O250" t="inlineStr">
        <is>
          <t>1968</t>
        </is>
      </c>
      <c r="Q250" t="inlineStr">
        <is>
          <t>eng</t>
        </is>
      </c>
      <c r="R250" t="inlineStr">
        <is>
          <t>mdu</t>
        </is>
      </c>
      <c r="T250" t="inlineStr">
        <is>
          <t xml:space="preserve">CS </t>
        </is>
      </c>
      <c r="U250" t="n">
        <v>2</v>
      </c>
      <c r="V250" t="n">
        <v>2</v>
      </c>
      <c r="W250" t="inlineStr">
        <is>
          <t>1999-03-19</t>
        </is>
      </c>
      <c r="X250" t="inlineStr">
        <is>
          <t>1999-03-19</t>
        </is>
      </c>
      <c r="Y250" t="inlineStr">
        <is>
          <t>1992-02-25</t>
        </is>
      </c>
      <c r="Z250" t="inlineStr">
        <is>
          <t>1992-02-25</t>
        </is>
      </c>
      <c r="AA250" t="n">
        <v>157</v>
      </c>
      <c r="AB250" t="n">
        <v>147</v>
      </c>
      <c r="AC250" t="n">
        <v>263</v>
      </c>
      <c r="AD250" t="n">
        <v>2</v>
      </c>
      <c r="AE250" t="n">
        <v>2</v>
      </c>
      <c r="AF250" t="n">
        <v>4</v>
      </c>
      <c r="AG250" t="n">
        <v>4</v>
      </c>
      <c r="AH250" t="n">
        <v>2</v>
      </c>
      <c r="AI250" t="n">
        <v>2</v>
      </c>
      <c r="AJ250" t="n">
        <v>0</v>
      </c>
      <c r="AK250" t="n">
        <v>0</v>
      </c>
      <c r="AL250" t="n">
        <v>1</v>
      </c>
      <c r="AM250" t="n">
        <v>1</v>
      </c>
      <c r="AN250" t="n">
        <v>1</v>
      </c>
      <c r="AO250" t="n">
        <v>1</v>
      </c>
      <c r="AP250" t="n">
        <v>0</v>
      </c>
      <c r="AQ250" t="n">
        <v>0</v>
      </c>
      <c r="AR250" t="inlineStr">
        <is>
          <t>No</t>
        </is>
      </c>
      <c r="AS250" t="inlineStr">
        <is>
          <t>Yes</t>
        </is>
      </c>
      <c r="AT250">
        <f>HYPERLINK("http://catalog.hathitrust.org/Record/011441395","HathiTrust Record")</f>
        <v/>
      </c>
      <c r="AU250">
        <f>HYPERLINK("https://creighton-primo.hosted.exlibrisgroup.com/primo-explore/search?tab=default_tab&amp;search_scope=EVERYTHING&amp;vid=01CRU&amp;lang=en_US&amp;offset=0&amp;query=any,contains,991002808689702656","Catalog Record")</f>
        <v/>
      </c>
      <c r="AV250">
        <f>HYPERLINK("http://www.worldcat.org/oclc/451534","WorldCat Record")</f>
        <v/>
      </c>
      <c r="AW250" t="inlineStr">
        <is>
          <t>1436348:eng</t>
        </is>
      </c>
      <c r="AX250" t="inlineStr">
        <is>
          <t>451534</t>
        </is>
      </c>
      <c r="AY250" t="inlineStr">
        <is>
          <t>991002808689702656</t>
        </is>
      </c>
      <c r="AZ250" t="inlineStr">
        <is>
          <t>991002808689702656</t>
        </is>
      </c>
      <c r="BA250" t="inlineStr">
        <is>
          <t>2261187020002656</t>
        </is>
      </c>
      <c r="BB250" t="inlineStr">
        <is>
          <t>BOOK</t>
        </is>
      </c>
      <c r="BE250" t="inlineStr">
        <is>
          <t>32285000974435</t>
        </is>
      </c>
      <c r="BF250" t="inlineStr">
        <is>
          <t>893262482</t>
        </is>
      </c>
    </row>
    <row r="251">
      <c r="B251" t="inlineStr">
        <is>
          <t>CURAL</t>
        </is>
      </c>
      <c r="C251" t="inlineStr">
        <is>
          <t>SHELVES</t>
        </is>
      </c>
      <c r="D251" t="inlineStr">
        <is>
          <t>CS2508.S6 S54 1979</t>
        </is>
      </c>
      <c r="E251" t="inlineStr">
        <is>
          <t>0                      CS 2508000S  6                  S  54          1979</t>
        </is>
      </c>
      <c r="F251" t="inlineStr">
        <is>
          <t>The book of Smith / by Elsdon C. Smith ; illustrated by Frank Baginski ; edited by Stephen C. Brice.</t>
        </is>
      </c>
      <c r="H251" t="inlineStr">
        <is>
          <t>No</t>
        </is>
      </c>
      <c r="I251" t="inlineStr">
        <is>
          <t>1</t>
        </is>
      </c>
      <c r="J251" t="inlineStr">
        <is>
          <t>No</t>
        </is>
      </c>
      <c r="K251" t="inlineStr">
        <is>
          <t>No</t>
        </is>
      </c>
      <c r="L251" t="inlineStr">
        <is>
          <t>0</t>
        </is>
      </c>
      <c r="M251" t="inlineStr">
        <is>
          <t>Smith, Elsdon C. (Elsdon Coles), 1903-1996.</t>
        </is>
      </c>
      <c r="N251" t="inlineStr">
        <is>
          <t>New York : Putnam, [1979] c1978.</t>
        </is>
      </c>
      <c r="O251" t="inlineStr">
        <is>
          <t>1979</t>
        </is>
      </c>
      <c r="Q251" t="inlineStr">
        <is>
          <t>eng</t>
        </is>
      </c>
      <c r="R251" t="inlineStr">
        <is>
          <t>nyu</t>
        </is>
      </c>
      <c r="S251" t="inlineStr">
        <is>
          <t>A Paragon book</t>
        </is>
      </c>
      <c r="T251" t="inlineStr">
        <is>
          <t xml:space="preserve">CS </t>
        </is>
      </c>
      <c r="U251" t="n">
        <v>4</v>
      </c>
      <c r="V251" t="n">
        <v>4</v>
      </c>
      <c r="W251" t="inlineStr">
        <is>
          <t>2004-09-23</t>
        </is>
      </c>
      <c r="X251" t="inlineStr">
        <is>
          <t>2004-09-23</t>
        </is>
      </c>
      <c r="Y251" t="inlineStr">
        <is>
          <t>1992-06-08</t>
        </is>
      </c>
      <c r="Z251" t="inlineStr">
        <is>
          <t>1992-06-08</t>
        </is>
      </c>
      <c r="AA251" t="n">
        <v>35</v>
      </c>
      <c r="AB251" t="n">
        <v>29</v>
      </c>
      <c r="AC251" t="n">
        <v>103</v>
      </c>
      <c r="AD251" t="n">
        <v>2</v>
      </c>
      <c r="AE251" t="n">
        <v>2</v>
      </c>
      <c r="AF251" t="n">
        <v>1</v>
      </c>
      <c r="AG251" t="n">
        <v>1</v>
      </c>
      <c r="AH251" t="n">
        <v>0</v>
      </c>
      <c r="AI251" t="n">
        <v>0</v>
      </c>
      <c r="AJ251" t="n">
        <v>0</v>
      </c>
      <c r="AK251" t="n">
        <v>0</v>
      </c>
      <c r="AL251" t="n">
        <v>0</v>
      </c>
      <c r="AM251" t="n">
        <v>0</v>
      </c>
      <c r="AN251" t="n">
        <v>1</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HYPERLINK("https://creighton-primo.hosted.exlibrisgroup.com/primo-explore/search?tab=default_tab&amp;search_scope=EVERYTHING&amp;vid=01CRU&amp;lang=en_US&amp;offset=0&amp;query=any,contains,991004721089702656","Catalog Record")</f>
        <v/>
      </c>
      <c r="AV251">
        <f>HYPERLINK("http://www.worldcat.org/oclc/4804527","WorldCat Record")</f>
        <v/>
      </c>
      <c r="AW251" t="inlineStr">
        <is>
          <t>58193852:eng</t>
        </is>
      </c>
      <c r="AX251" t="inlineStr">
        <is>
          <t>4804527</t>
        </is>
      </c>
      <c r="AY251" t="inlineStr">
        <is>
          <t>991004721089702656</t>
        </is>
      </c>
      <c r="AZ251" t="inlineStr">
        <is>
          <t>991004721089702656</t>
        </is>
      </c>
      <c r="BA251" t="inlineStr">
        <is>
          <t>2270308670002656</t>
        </is>
      </c>
      <c r="BB251" t="inlineStr">
        <is>
          <t>BOOK</t>
        </is>
      </c>
      <c r="BD251" t="inlineStr">
        <is>
          <t>9780399503931</t>
        </is>
      </c>
      <c r="BE251" t="inlineStr">
        <is>
          <t>32285001165215</t>
        </is>
      </c>
      <c r="BF251" t="inlineStr">
        <is>
          <t>893895399</t>
        </is>
      </c>
    </row>
    <row r="252">
      <c r="B252" t="inlineStr">
        <is>
          <t>CURAL</t>
        </is>
      </c>
      <c r="C252" t="inlineStr">
        <is>
          <t>SHELVES</t>
        </is>
      </c>
      <c r="D252" t="inlineStr">
        <is>
          <t>CS2545 .B74 1957</t>
        </is>
      </c>
      <c r="E252" t="inlineStr">
        <is>
          <t>0                      CS 2545000B  74          1957</t>
        </is>
      </c>
      <c r="F252" t="inlineStr">
        <is>
          <t>Etymologisches Wörterbuch der deutschen familiennamen : 2te., von Grund aus neugearbeitete Aufl. der "Deutschen Sippennamen." / Josef Karlmann Brechenmacher</t>
        </is>
      </c>
      <c r="G252" t="inlineStr">
        <is>
          <t>V.2</t>
        </is>
      </c>
      <c r="H252" t="inlineStr">
        <is>
          <t>Yes</t>
        </is>
      </c>
      <c r="I252" t="inlineStr">
        <is>
          <t>1</t>
        </is>
      </c>
      <c r="J252" t="inlineStr">
        <is>
          <t>No</t>
        </is>
      </c>
      <c r="K252" t="inlineStr">
        <is>
          <t>No</t>
        </is>
      </c>
      <c r="L252" t="inlineStr">
        <is>
          <t>0</t>
        </is>
      </c>
      <c r="M252" t="inlineStr">
        <is>
          <t>Brechenmacher, Josef Karlmann, 1877-1960.</t>
        </is>
      </c>
      <c r="N252" t="inlineStr">
        <is>
          <t>Limburg a. d. Lahn : C. A. Starke, 1957.</t>
        </is>
      </c>
      <c r="O252" t="inlineStr">
        <is>
          <t>1957</t>
        </is>
      </c>
      <c r="Q252" t="inlineStr">
        <is>
          <t>ger</t>
        </is>
      </c>
      <c r="R252" t="inlineStr">
        <is>
          <t>___</t>
        </is>
      </c>
      <c r="T252" t="inlineStr">
        <is>
          <t xml:space="preserve">CS </t>
        </is>
      </c>
      <c r="U252" t="n">
        <v>5</v>
      </c>
      <c r="V252" t="n">
        <v>10</v>
      </c>
      <c r="W252" t="inlineStr">
        <is>
          <t>1999-01-12</t>
        </is>
      </c>
      <c r="X252" t="inlineStr">
        <is>
          <t>1999-01-12</t>
        </is>
      </c>
      <c r="Y252" t="inlineStr">
        <is>
          <t>1992-06-08</t>
        </is>
      </c>
      <c r="Z252" t="inlineStr">
        <is>
          <t>1992-06-08</t>
        </is>
      </c>
      <c r="AA252" t="n">
        <v>73</v>
      </c>
      <c r="AB252" t="n">
        <v>65</v>
      </c>
      <c r="AC252" t="n">
        <v>68</v>
      </c>
      <c r="AD252" t="n">
        <v>2</v>
      </c>
      <c r="AE252" t="n">
        <v>2</v>
      </c>
      <c r="AF252" t="n">
        <v>2</v>
      </c>
      <c r="AG252" t="n">
        <v>2</v>
      </c>
      <c r="AH252" t="n">
        <v>0</v>
      </c>
      <c r="AI252" t="n">
        <v>0</v>
      </c>
      <c r="AJ252" t="n">
        <v>1</v>
      </c>
      <c r="AK252" t="n">
        <v>1</v>
      </c>
      <c r="AL252" t="n">
        <v>0</v>
      </c>
      <c r="AM252" t="n">
        <v>0</v>
      </c>
      <c r="AN252" t="n">
        <v>1</v>
      </c>
      <c r="AO252" t="n">
        <v>1</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HYPERLINK("https://creighton-primo.hosted.exlibrisgroup.com/primo-explore/search?tab=default_tab&amp;search_scope=EVERYTHING&amp;vid=01CRU&amp;lang=en_US&amp;offset=0&amp;query=any,contains,991002983199702656","Catalog Record")</f>
        <v/>
      </c>
      <c r="AV252">
        <f>HYPERLINK("http://www.worldcat.org/oclc/556080","WorldCat Record")</f>
        <v/>
      </c>
      <c r="AW252" t="inlineStr">
        <is>
          <t>10388197967:ger</t>
        </is>
      </c>
      <c r="AX252" t="inlineStr">
        <is>
          <t>556080</t>
        </is>
      </c>
      <c r="AY252" t="inlineStr">
        <is>
          <t>991002983199702656</t>
        </is>
      </c>
      <c r="AZ252" t="inlineStr">
        <is>
          <t>991002983199702656</t>
        </is>
      </c>
      <c r="BA252" t="inlineStr">
        <is>
          <t>2259847830002656</t>
        </is>
      </c>
      <c r="BB252" t="inlineStr">
        <is>
          <t>BOOK</t>
        </is>
      </c>
      <c r="BE252" t="inlineStr">
        <is>
          <t>32285001165231</t>
        </is>
      </c>
      <c r="BF252" t="inlineStr">
        <is>
          <t>893805297</t>
        </is>
      </c>
    </row>
    <row r="253">
      <c r="B253" t="inlineStr">
        <is>
          <t>CURAL</t>
        </is>
      </c>
      <c r="C253" t="inlineStr">
        <is>
          <t>SHELVES</t>
        </is>
      </c>
      <c r="D253" t="inlineStr">
        <is>
          <t>CS2545 .B74 1957</t>
        </is>
      </c>
      <c r="E253" t="inlineStr">
        <is>
          <t>0                      CS 2545000B  74          1957</t>
        </is>
      </c>
      <c r="F253" t="inlineStr">
        <is>
          <t>Etymologisches Wörterbuch der deutschen familiennamen : 2te., von Grund aus neugearbeitete Aufl. der "Deutschen Sippennamen." / Josef Karlmann Brechenmacher</t>
        </is>
      </c>
      <c r="G253" t="inlineStr">
        <is>
          <t>V.1</t>
        </is>
      </c>
      <c r="H253" t="inlineStr">
        <is>
          <t>Yes</t>
        </is>
      </c>
      <c r="I253" t="inlineStr">
        <is>
          <t>1</t>
        </is>
      </c>
      <c r="J253" t="inlineStr">
        <is>
          <t>No</t>
        </is>
      </c>
      <c r="K253" t="inlineStr">
        <is>
          <t>No</t>
        </is>
      </c>
      <c r="L253" t="inlineStr">
        <is>
          <t>0</t>
        </is>
      </c>
      <c r="M253" t="inlineStr">
        <is>
          <t>Brechenmacher, Josef Karlmann, 1877-1960.</t>
        </is>
      </c>
      <c r="N253" t="inlineStr">
        <is>
          <t>Limburg a. d. Lahn : C. A. Starke, 1957.</t>
        </is>
      </c>
      <c r="O253" t="inlineStr">
        <is>
          <t>1957</t>
        </is>
      </c>
      <c r="Q253" t="inlineStr">
        <is>
          <t>ger</t>
        </is>
      </c>
      <c r="R253" t="inlineStr">
        <is>
          <t>___</t>
        </is>
      </c>
      <c r="T253" t="inlineStr">
        <is>
          <t xml:space="preserve">CS </t>
        </is>
      </c>
      <c r="U253" t="n">
        <v>5</v>
      </c>
      <c r="V253" t="n">
        <v>10</v>
      </c>
      <c r="W253" t="inlineStr">
        <is>
          <t>1999-01-12</t>
        </is>
      </c>
      <c r="X253" t="inlineStr">
        <is>
          <t>1999-01-12</t>
        </is>
      </c>
      <c r="Y253" t="inlineStr">
        <is>
          <t>1992-06-08</t>
        </is>
      </c>
      <c r="Z253" t="inlineStr">
        <is>
          <t>1992-06-08</t>
        </is>
      </c>
      <c r="AA253" t="n">
        <v>73</v>
      </c>
      <c r="AB253" t="n">
        <v>65</v>
      </c>
      <c r="AC253" t="n">
        <v>68</v>
      </c>
      <c r="AD253" t="n">
        <v>2</v>
      </c>
      <c r="AE253" t="n">
        <v>2</v>
      </c>
      <c r="AF253" t="n">
        <v>2</v>
      </c>
      <c r="AG253" t="n">
        <v>2</v>
      </c>
      <c r="AH253" t="n">
        <v>0</v>
      </c>
      <c r="AI253" t="n">
        <v>0</v>
      </c>
      <c r="AJ253" t="n">
        <v>1</v>
      </c>
      <c r="AK253" t="n">
        <v>1</v>
      </c>
      <c r="AL253" t="n">
        <v>0</v>
      </c>
      <c r="AM253" t="n">
        <v>0</v>
      </c>
      <c r="AN253" t="n">
        <v>1</v>
      </c>
      <c r="AO253" t="n">
        <v>1</v>
      </c>
      <c r="AP253" t="n">
        <v>0</v>
      </c>
      <c r="AQ253" t="n">
        <v>0</v>
      </c>
      <c r="AR253" t="inlineStr">
        <is>
          <t>No</t>
        </is>
      </c>
      <c r="AS253" t="inlineStr">
        <is>
          <t>No</t>
        </is>
      </c>
      <c r="AU253">
        <f>HYPERLINK("https://creighton-primo.hosted.exlibrisgroup.com/primo-explore/search?tab=default_tab&amp;search_scope=EVERYTHING&amp;vid=01CRU&amp;lang=en_US&amp;offset=0&amp;query=any,contains,991002983199702656","Catalog Record")</f>
        <v/>
      </c>
      <c r="AV253">
        <f>HYPERLINK("http://www.worldcat.org/oclc/556080","WorldCat Record")</f>
        <v/>
      </c>
      <c r="AW253" t="inlineStr">
        <is>
          <t>10388197967:ger</t>
        </is>
      </c>
      <c r="AX253" t="inlineStr">
        <is>
          <t>556080</t>
        </is>
      </c>
      <c r="AY253" t="inlineStr">
        <is>
          <t>991002983199702656</t>
        </is>
      </c>
      <c r="AZ253" t="inlineStr">
        <is>
          <t>991002983199702656</t>
        </is>
      </c>
      <c r="BA253" t="inlineStr">
        <is>
          <t>2259847830002656</t>
        </is>
      </c>
      <c r="BB253" t="inlineStr">
        <is>
          <t>BOOK</t>
        </is>
      </c>
      <c r="BE253" t="inlineStr">
        <is>
          <t>32285001165223</t>
        </is>
      </c>
      <c r="BF253" t="inlineStr">
        <is>
          <t>893809769</t>
        </is>
      </c>
    </row>
    <row r="254">
      <c r="B254" t="inlineStr">
        <is>
          <t>CURAL</t>
        </is>
      </c>
      <c r="C254" t="inlineStr">
        <is>
          <t>SHELVES</t>
        </is>
      </c>
      <c r="D254" t="inlineStr">
        <is>
          <t>CS2545 .G6 1971</t>
        </is>
      </c>
      <c r="E254" t="inlineStr">
        <is>
          <t>0                      CS 2545000G  6           1971</t>
        </is>
      </c>
      <c r="F254" t="inlineStr">
        <is>
          <t>Deutsche Namenkunde. Unsere Familiennamen nach ihrer Entstehung und Bedeutung.</t>
        </is>
      </c>
      <c r="H254" t="inlineStr">
        <is>
          <t>No</t>
        </is>
      </c>
      <c r="I254" t="inlineStr">
        <is>
          <t>1</t>
        </is>
      </c>
      <c r="J254" t="inlineStr">
        <is>
          <t>No</t>
        </is>
      </c>
      <c r="K254" t="inlineStr">
        <is>
          <t>No</t>
        </is>
      </c>
      <c r="L254" t="inlineStr">
        <is>
          <t>0</t>
        </is>
      </c>
      <c r="M254" t="inlineStr">
        <is>
          <t>Gottschald, Max.</t>
        </is>
      </c>
      <c r="N254" t="inlineStr">
        <is>
          <t>Berlin, de Gruyter, 1971.</t>
        </is>
      </c>
      <c r="O254" t="inlineStr">
        <is>
          <t>1971</t>
        </is>
      </c>
      <c r="P254" t="inlineStr">
        <is>
          <t>4. Aufl. Mit einem Nachwort und einem bibliographischen Nachtrag von Rudolf Schützeichel.</t>
        </is>
      </c>
      <c r="Q254" t="inlineStr">
        <is>
          <t>ger</t>
        </is>
      </c>
      <c r="R254" t="inlineStr">
        <is>
          <t xml:space="preserve">xx </t>
        </is>
      </c>
      <c r="T254" t="inlineStr">
        <is>
          <t xml:space="preserve">CS </t>
        </is>
      </c>
      <c r="U254" t="n">
        <v>2</v>
      </c>
      <c r="V254" t="n">
        <v>2</v>
      </c>
      <c r="W254" t="inlineStr">
        <is>
          <t>1999-01-12</t>
        </is>
      </c>
      <c r="X254" t="inlineStr">
        <is>
          <t>1999-01-12</t>
        </is>
      </c>
      <c r="Y254" t="inlineStr">
        <is>
          <t>1996-08-21</t>
        </is>
      </c>
      <c r="Z254" t="inlineStr">
        <is>
          <t>1996-08-21</t>
        </is>
      </c>
      <c r="AA254" t="n">
        <v>104</v>
      </c>
      <c r="AB254" t="n">
        <v>63</v>
      </c>
      <c r="AC254" t="n">
        <v>214</v>
      </c>
      <c r="AD254" t="n">
        <v>3</v>
      </c>
      <c r="AE254" t="n">
        <v>3</v>
      </c>
      <c r="AF254" t="n">
        <v>6</v>
      </c>
      <c r="AG254" t="n">
        <v>12</v>
      </c>
      <c r="AH254" t="n">
        <v>2</v>
      </c>
      <c r="AI254" t="n">
        <v>5</v>
      </c>
      <c r="AJ254" t="n">
        <v>1</v>
      </c>
      <c r="AK254" t="n">
        <v>2</v>
      </c>
      <c r="AL254" t="n">
        <v>3</v>
      </c>
      <c r="AM254" t="n">
        <v>6</v>
      </c>
      <c r="AN254" t="n">
        <v>2</v>
      </c>
      <c r="AO254" t="n">
        <v>2</v>
      </c>
      <c r="AP254" t="n">
        <v>0</v>
      </c>
      <c r="AQ254" t="n">
        <v>0</v>
      </c>
      <c r="AR254" t="inlineStr">
        <is>
          <t>No</t>
        </is>
      </c>
      <c r="AS254" t="inlineStr">
        <is>
          <t>Yes</t>
        </is>
      </c>
      <c r="AT254">
        <f>HYPERLINK("http://catalog.hathitrust.org/Record/000015721","HathiTrust Record")</f>
        <v/>
      </c>
      <c r="AU254">
        <f>HYPERLINK("https://creighton-primo.hosted.exlibrisgroup.com/primo-explore/search?tab=default_tab&amp;search_scope=EVERYTHING&amp;vid=01CRU&amp;lang=en_US&amp;offset=0&amp;query=any,contains,991003438909702656","Catalog Record")</f>
        <v/>
      </c>
      <c r="AV254">
        <f>HYPERLINK("http://www.worldcat.org/oclc/974735","WorldCat Record")</f>
        <v/>
      </c>
      <c r="AW254" t="inlineStr">
        <is>
          <t>1720515:ger</t>
        </is>
      </c>
      <c r="AX254" t="inlineStr">
        <is>
          <t>974735</t>
        </is>
      </c>
      <c r="AY254" t="inlineStr">
        <is>
          <t>991003438909702656</t>
        </is>
      </c>
      <c r="AZ254" t="inlineStr">
        <is>
          <t>991003438909702656</t>
        </is>
      </c>
      <c r="BA254" t="inlineStr">
        <is>
          <t>2257600070002656</t>
        </is>
      </c>
      <c r="BB254" t="inlineStr">
        <is>
          <t>BOOK</t>
        </is>
      </c>
      <c r="BE254" t="inlineStr">
        <is>
          <t>32285002278819</t>
        </is>
      </c>
      <c r="BF254" t="inlineStr">
        <is>
          <t>893330300</t>
        </is>
      </c>
    </row>
    <row r="255">
      <c r="B255" t="inlineStr">
        <is>
          <t>CURAL</t>
        </is>
      </c>
      <c r="C255" t="inlineStr">
        <is>
          <t>SHELVES</t>
        </is>
      </c>
      <c r="D255" t="inlineStr">
        <is>
          <t>CS261.D6 E86 1997</t>
        </is>
      </c>
      <c r="E255" t="inlineStr">
        <is>
          <t>0                      CS 0261000D  6                  E  86          1997</t>
        </is>
      </c>
      <c r="F255" t="inlineStr">
        <is>
          <t>Vínculos : la rueda más hermosa : crónica de dos familias dominicanas en los albores del siglo veinte / Ligia Espinal Mota.</t>
        </is>
      </c>
      <c r="H255" t="inlineStr">
        <is>
          <t>No</t>
        </is>
      </c>
      <c r="I255" t="inlineStr">
        <is>
          <t>1</t>
        </is>
      </c>
      <c r="J255" t="inlineStr">
        <is>
          <t>No</t>
        </is>
      </c>
      <c r="K255" t="inlineStr">
        <is>
          <t>No</t>
        </is>
      </c>
      <c r="L255" t="inlineStr">
        <is>
          <t>0</t>
        </is>
      </c>
      <c r="M255" t="inlineStr">
        <is>
          <t>Espinal Mota, Ligia.</t>
        </is>
      </c>
      <c r="N255" t="inlineStr">
        <is>
          <t>Bussum, Holanda : First Hand Publications, c1997.</t>
        </is>
      </c>
      <c r="O255" t="inlineStr">
        <is>
          <t>1997</t>
        </is>
      </c>
      <c r="Q255" t="inlineStr">
        <is>
          <t>spa</t>
        </is>
      </c>
      <c r="R255" t="inlineStr">
        <is>
          <t xml:space="preserve">dr </t>
        </is>
      </c>
      <c r="T255" t="inlineStr">
        <is>
          <t xml:space="preserve">CS </t>
        </is>
      </c>
      <c r="U255" t="n">
        <v>1</v>
      </c>
      <c r="V255" t="n">
        <v>1</v>
      </c>
      <c r="W255" t="inlineStr">
        <is>
          <t>1999-07-12</t>
        </is>
      </c>
      <c r="X255" t="inlineStr">
        <is>
          <t>1999-07-12</t>
        </is>
      </c>
      <c r="Y255" t="inlineStr">
        <is>
          <t>1999-01-27</t>
        </is>
      </c>
      <c r="Z255" t="inlineStr">
        <is>
          <t>1999-01-27</t>
        </is>
      </c>
      <c r="AA255" t="n">
        <v>8</v>
      </c>
      <c r="AB255" t="n">
        <v>8</v>
      </c>
      <c r="AC255" t="n">
        <v>8</v>
      </c>
      <c r="AD255" t="n">
        <v>1</v>
      </c>
      <c r="AE255" t="n">
        <v>1</v>
      </c>
      <c r="AF255" t="n">
        <v>1</v>
      </c>
      <c r="AG255" t="n">
        <v>1</v>
      </c>
      <c r="AH255" t="n">
        <v>0</v>
      </c>
      <c r="AI255" t="n">
        <v>0</v>
      </c>
      <c r="AJ255" t="n">
        <v>1</v>
      </c>
      <c r="AK255" t="n">
        <v>1</v>
      </c>
      <c r="AL255" t="n">
        <v>0</v>
      </c>
      <c r="AM255" t="n">
        <v>0</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HYPERLINK("https://creighton-primo.hosted.exlibrisgroup.com/primo-explore/search?tab=default_tab&amp;search_scope=EVERYTHING&amp;vid=01CRU&amp;lang=en_US&amp;offset=0&amp;query=any,contains,991002989149702656","Catalog Record")</f>
        <v/>
      </c>
      <c r="AV255">
        <f>HYPERLINK("http://www.worldcat.org/oclc/40334280","WorldCat Record")</f>
        <v/>
      </c>
      <c r="AW255" t="inlineStr">
        <is>
          <t>25796489:spa</t>
        </is>
      </c>
      <c r="AX255" t="inlineStr">
        <is>
          <t>40334280</t>
        </is>
      </c>
      <c r="AY255" t="inlineStr">
        <is>
          <t>991002989149702656</t>
        </is>
      </c>
      <c r="AZ255" t="inlineStr">
        <is>
          <t>991002989149702656</t>
        </is>
      </c>
      <c r="BA255" t="inlineStr">
        <is>
          <t>2255601950002656</t>
        </is>
      </c>
      <c r="BB255" t="inlineStr">
        <is>
          <t>BOOK</t>
        </is>
      </c>
      <c r="BD255" t="inlineStr">
        <is>
          <t>9789076076010</t>
        </is>
      </c>
      <c r="BE255" t="inlineStr">
        <is>
          <t>32285003516803</t>
        </is>
      </c>
      <c r="BF255" t="inlineStr">
        <is>
          <t>893710930</t>
        </is>
      </c>
    </row>
    <row r="256">
      <c r="B256" t="inlineStr">
        <is>
          <t>CURAL</t>
        </is>
      </c>
      <c r="C256" t="inlineStr">
        <is>
          <t>SHELVES</t>
        </is>
      </c>
      <c r="D256" t="inlineStr">
        <is>
          <t>CS261.D62 T56 2001</t>
        </is>
      </c>
      <c r="E256" t="inlineStr">
        <is>
          <t>0                      CS 0261000D  62                 T  56          2001</t>
        </is>
      </c>
      <c r="F256" t="inlineStr">
        <is>
          <t>La familia Tió en el Caribe : orígenes y procedencia / Héctor Gerardo M. Brea Tió.</t>
        </is>
      </c>
      <c r="H256" t="inlineStr">
        <is>
          <t>No</t>
        </is>
      </c>
      <c r="I256" t="inlineStr">
        <is>
          <t>1</t>
        </is>
      </c>
      <c r="J256" t="inlineStr">
        <is>
          <t>No</t>
        </is>
      </c>
      <c r="K256" t="inlineStr">
        <is>
          <t>No</t>
        </is>
      </c>
      <c r="L256" t="inlineStr">
        <is>
          <t>0</t>
        </is>
      </c>
      <c r="M256" t="inlineStr">
        <is>
          <t>Brea Tió, Héctor, 1953-</t>
        </is>
      </c>
      <c r="N256" t="inlineStr">
        <is>
          <t>Santo Domingo, R.D. : Editora Corripio, [2001]</t>
        </is>
      </c>
      <c r="O256" t="inlineStr">
        <is>
          <t>2001</t>
        </is>
      </c>
      <c r="P256" t="inlineStr">
        <is>
          <t>1. ed.</t>
        </is>
      </c>
      <c r="Q256" t="inlineStr">
        <is>
          <t>spa</t>
        </is>
      </c>
      <c r="R256" t="inlineStr">
        <is>
          <t xml:space="preserve">dr </t>
        </is>
      </c>
      <c r="T256" t="inlineStr">
        <is>
          <t xml:space="preserve">CS </t>
        </is>
      </c>
      <c r="U256" t="n">
        <v>2</v>
      </c>
      <c r="V256" t="n">
        <v>2</v>
      </c>
      <c r="W256" t="inlineStr">
        <is>
          <t>2005-09-26</t>
        </is>
      </c>
      <c r="X256" t="inlineStr">
        <is>
          <t>2005-09-26</t>
        </is>
      </c>
      <c r="Y256" t="inlineStr">
        <is>
          <t>2005-09-26</t>
        </is>
      </c>
      <c r="Z256" t="inlineStr">
        <is>
          <t>2005-09-26</t>
        </is>
      </c>
      <c r="AA256" t="n">
        <v>17</v>
      </c>
      <c r="AB256" t="n">
        <v>15</v>
      </c>
      <c r="AC256" t="n">
        <v>17</v>
      </c>
      <c r="AD256" t="n">
        <v>1</v>
      </c>
      <c r="AE256" t="n">
        <v>1</v>
      </c>
      <c r="AF256" t="n">
        <v>1</v>
      </c>
      <c r="AG256" t="n">
        <v>1</v>
      </c>
      <c r="AH256" t="n">
        <v>0</v>
      </c>
      <c r="AI256" t="n">
        <v>0</v>
      </c>
      <c r="AJ256" t="n">
        <v>1</v>
      </c>
      <c r="AK256" t="n">
        <v>1</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HYPERLINK("https://creighton-primo.hosted.exlibrisgroup.com/primo-explore/search?tab=default_tab&amp;search_scope=EVERYTHING&amp;vid=01CRU&amp;lang=en_US&amp;offset=0&amp;query=any,contains,991004663799702656","Catalog Record")</f>
        <v/>
      </c>
      <c r="AV256">
        <f>HYPERLINK("http://www.worldcat.org/oclc/50923572","WorldCat Record")</f>
        <v/>
      </c>
      <c r="AW256" t="inlineStr">
        <is>
          <t>146107306:spa</t>
        </is>
      </c>
      <c r="AX256" t="inlineStr">
        <is>
          <t>50923572</t>
        </is>
      </c>
      <c r="AY256" t="inlineStr">
        <is>
          <t>991004663799702656</t>
        </is>
      </c>
      <c r="AZ256" t="inlineStr">
        <is>
          <t>991004663799702656</t>
        </is>
      </c>
      <c r="BA256" t="inlineStr">
        <is>
          <t>2271647130002656</t>
        </is>
      </c>
      <c r="BB256" t="inlineStr">
        <is>
          <t>BOOK</t>
        </is>
      </c>
      <c r="BD256" t="inlineStr">
        <is>
          <t>9789993455011</t>
        </is>
      </c>
      <c r="BE256" t="inlineStr">
        <is>
          <t>32285004691266</t>
        </is>
      </c>
      <c r="BF256" t="inlineStr">
        <is>
          <t>893331878</t>
        </is>
      </c>
    </row>
    <row r="257">
      <c r="B257" t="inlineStr">
        <is>
          <t>CURAL</t>
        </is>
      </c>
      <c r="C257" t="inlineStr">
        <is>
          <t>SHELVES</t>
        </is>
      </c>
      <c r="D257" t="inlineStr">
        <is>
          <t>CS261.D65 E87 2003</t>
        </is>
      </c>
      <c r="E257" t="inlineStr">
        <is>
          <t>0                      CS 0261000D  65                 E  87          2003</t>
        </is>
      </c>
      <c r="F257" t="inlineStr">
        <is>
          <t>De mi quehacer genealógico : recopilación de mis 25 charlas genealógicas presentadas en diferentes foros nacionales durante mis últimos diez años / Edwin Espinal Hernández.</t>
        </is>
      </c>
      <c r="H257" t="inlineStr">
        <is>
          <t>No</t>
        </is>
      </c>
      <c r="I257" t="inlineStr">
        <is>
          <t>1</t>
        </is>
      </c>
      <c r="J257" t="inlineStr">
        <is>
          <t>No</t>
        </is>
      </c>
      <c r="K257" t="inlineStr">
        <is>
          <t>No</t>
        </is>
      </c>
      <c r="L257" t="inlineStr">
        <is>
          <t>0</t>
        </is>
      </c>
      <c r="M257" t="inlineStr">
        <is>
          <t>Espinal Hernández, Edwin.</t>
        </is>
      </c>
      <c r="N257" t="inlineStr">
        <is>
          <t>Santiago Domingo, República Domingo : Círculo del Libro, [2003]</t>
        </is>
      </c>
      <c r="O257" t="inlineStr">
        <is>
          <t>2003</t>
        </is>
      </c>
      <c r="Q257" t="inlineStr">
        <is>
          <t>spa</t>
        </is>
      </c>
      <c r="R257" t="inlineStr">
        <is>
          <t xml:space="preserve">dr </t>
        </is>
      </c>
      <c r="S257" t="inlineStr">
        <is>
          <t>Serie Charlas genealógicas ; v. 1</t>
        </is>
      </c>
      <c r="T257" t="inlineStr">
        <is>
          <t xml:space="preserve">CS </t>
        </is>
      </c>
      <c r="U257" t="n">
        <v>1</v>
      </c>
      <c r="V257" t="n">
        <v>1</v>
      </c>
      <c r="W257" t="inlineStr">
        <is>
          <t>2008-02-18</t>
        </is>
      </c>
      <c r="X257" t="inlineStr">
        <is>
          <t>2008-02-18</t>
        </is>
      </c>
      <c r="Y257" t="inlineStr">
        <is>
          <t>2005-02-22</t>
        </is>
      </c>
      <c r="Z257" t="inlineStr">
        <is>
          <t>2005-02-22</t>
        </is>
      </c>
      <c r="AA257" t="n">
        <v>4</v>
      </c>
      <c r="AB257" t="n">
        <v>4</v>
      </c>
      <c r="AC257" t="n">
        <v>4</v>
      </c>
      <c r="AD257" t="n">
        <v>1</v>
      </c>
      <c r="AE257" t="n">
        <v>1</v>
      </c>
      <c r="AF257" t="n">
        <v>1</v>
      </c>
      <c r="AG257" t="n">
        <v>1</v>
      </c>
      <c r="AH257" t="n">
        <v>0</v>
      </c>
      <c r="AI257" t="n">
        <v>0</v>
      </c>
      <c r="AJ257" t="n">
        <v>1</v>
      </c>
      <c r="AK257" t="n">
        <v>1</v>
      </c>
      <c r="AL257" t="n">
        <v>0</v>
      </c>
      <c r="AM257" t="n">
        <v>0</v>
      </c>
      <c r="AN257" t="n">
        <v>0</v>
      </c>
      <c r="AO257" t="n">
        <v>0</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HYPERLINK("https://creighton-primo.hosted.exlibrisgroup.com/primo-explore/search?tab=default_tab&amp;search_scope=EVERYTHING&amp;vid=01CRU&amp;lang=en_US&amp;offset=0&amp;query=any,contains,991004210129702656","Catalog Record")</f>
        <v/>
      </c>
      <c r="AV257">
        <f>HYPERLINK("http://www.worldcat.org/oclc/57254774","WorldCat Record")</f>
        <v/>
      </c>
      <c r="AW257" t="inlineStr">
        <is>
          <t>17151470:spa</t>
        </is>
      </c>
      <c r="AX257" t="inlineStr">
        <is>
          <t>57254774</t>
        </is>
      </c>
      <c r="AY257" t="inlineStr">
        <is>
          <t>991004210129702656</t>
        </is>
      </c>
      <c r="AZ257" t="inlineStr">
        <is>
          <t>991004210129702656</t>
        </is>
      </c>
      <c r="BA257" t="inlineStr">
        <is>
          <t>2270581370002656</t>
        </is>
      </c>
      <c r="BB257" t="inlineStr">
        <is>
          <t>BOOK</t>
        </is>
      </c>
      <c r="BE257" t="inlineStr">
        <is>
          <t>32285005025449</t>
        </is>
      </c>
      <c r="BF257" t="inlineStr">
        <is>
          <t>893259459</t>
        </is>
      </c>
    </row>
    <row r="258">
      <c r="B258" t="inlineStr">
        <is>
          <t>CURAL</t>
        </is>
      </c>
      <c r="C258" t="inlineStr">
        <is>
          <t>SHELVES</t>
        </is>
      </c>
      <c r="D258" t="inlineStr">
        <is>
          <t>CS2950 .D58 1993</t>
        </is>
      </c>
      <c r="E258" t="inlineStr">
        <is>
          <t>0                      CS 2950000D  58          1993</t>
        </is>
      </c>
      <c r="F258" t="inlineStr">
        <is>
          <t>Studies in third millennium Sumerian and Akkadian personal names : the designation and conception of the personal god / Robert A. Di Vito.</t>
        </is>
      </c>
      <c r="H258" t="inlineStr">
        <is>
          <t>No</t>
        </is>
      </c>
      <c r="I258" t="inlineStr">
        <is>
          <t>1</t>
        </is>
      </c>
      <c r="J258" t="inlineStr">
        <is>
          <t>No</t>
        </is>
      </c>
      <c r="K258" t="inlineStr">
        <is>
          <t>No</t>
        </is>
      </c>
      <c r="L258" t="inlineStr">
        <is>
          <t>0</t>
        </is>
      </c>
      <c r="M258" t="inlineStr">
        <is>
          <t>Di Vito, Robert A.</t>
        </is>
      </c>
      <c r="N258" t="inlineStr">
        <is>
          <t>Roma : Pontificio Istituto biblico, 1993.</t>
        </is>
      </c>
      <c r="O258" t="inlineStr">
        <is>
          <t>1993</t>
        </is>
      </c>
      <c r="Q258" t="inlineStr">
        <is>
          <t>eng</t>
        </is>
      </c>
      <c r="R258" t="inlineStr">
        <is>
          <t xml:space="preserve">it </t>
        </is>
      </c>
      <c r="S258" t="inlineStr">
        <is>
          <t>Studia Pohl. Series maior ; 16</t>
        </is>
      </c>
      <c r="T258" t="inlineStr">
        <is>
          <t xml:space="preserve">CS </t>
        </is>
      </c>
      <c r="U258" t="n">
        <v>0</v>
      </c>
      <c r="V258" t="n">
        <v>0</v>
      </c>
      <c r="W258" t="inlineStr">
        <is>
          <t>2008-03-26</t>
        </is>
      </c>
      <c r="X258" t="inlineStr">
        <is>
          <t>2008-03-26</t>
        </is>
      </c>
      <c r="Y258" t="inlineStr">
        <is>
          <t>1996-01-02</t>
        </is>
      </c>
      <c r="Z258" t="inlineStr">
        <is>
          <t>1996-01-02</t>
        </is>
      </c>
      <c r="AA258" t="n">
        <v>103</v>
      </c>
      <c r="AB258" t="n">
        <v>65</v>
      </c>
      <c r="AC258" t="n">
        <v>67</v>
      </c>
      <c r="AD258" t="n">
        <v>1</v>
      </c>
      <c r="AE258" t="n">
        <v>1</v>
      </c>
      <c r="AF258" t="n">
        <v>3</v>
      </c>
      <c r="AG258" t="n">
        <v>3</v>
      </c>
      <c r="AH258" t="n">
        <v>0</v>
      </c>
      <c r="AI258" t="n">
        <v>0</v>
      </c>
      <c r="AJ258" t="n">
        <v>0</v>
      </c>
      <c r="AK258" t="n">
        <v>0</v>
      </c>
      <c r="AL258" t="n">
        <v>3</v>
      </c>
      <c r="AM258" t="n">
        <v>3</v>
      </c>
      <c r="AN258" t="n">
        <v>0</v>
      </c>
      <c r="AO258" t="n">
        <v>0</v>
      </c>
      <c r="AP258" t="n">
        <v>0</v>
      </c>
      <c r="AQ258" t="n">
        <v>0</v>
      </c>
      <c r="AR258" t="inlineStr">
        <is>
          <t>No</t>
        </is>
      </c>
      <c r="AS258" t="inlineStr">
        <is>
          <t>Yes</t>
        </is>
      </c>
      <c r="AT258">
        <f>HYPERLINK("http://catalog.hathitrust.org/Record/003002158","HathiTrust Record")</f>
        <v/>
      </c>
      <c r="AU258">
        <f>HYPERLINK("https://creighton-primo.hosted.exlibrisgroup.com/primo-explore/search?tab=default_tab&amp;search_scope=EVERYTHING&amp;vid=01CRU&amp;lang=en_US&amp;offset=0&amp;query=any,contains,991002221459702656","Catalog Record")</f>
        <v/>
      </c>
      <c r="AV258">
        <f>HYPERLINK("http://www.worldcat.org/oclc/28619845","WorldCat Record")</f>
        <v/>
      </c>
      <c r="AW258" t="inlineStr">
        <is>
          <t>473766046:eng</t>
        </is>
      </c>
      <c r="AX258" t="inlineStr">
        <is>
          <t>28619845</t>
        </is>
      </c>
      <c r="AY258" t="inlineStr">
        <is>
          <t>991002221459702656</t>
        </is>
      </c>
      <c r="AZ258" t="inlineStr">
        <is>
          <t>991002221459702656</t>
        </is>
      </c>
      <c r="BA258" t="inlineStr">
        <is>
          <t>2265734290002656</t>
        </is>
      </c>
      <c r="BB258" t="inlineStr">
        <is>
          <t>BOOK</t>
        </is>
      </c>
      <c r="BD258" t="inlineStr">
        <is>
          <t>9788876536014</t>
        </is>
      </c>
      <c r="BE258" t="inlineStr">
        <is>
          <t>32285002114485</t>
        </is>
      </c>
      <c r="BF258" t="inlineStr">
        <is>
          <t>893691343</t>
        </is>
      </c>
    </row>
    <row r="259">
      <c r="B259" t="inlineStr">
        <is>
          <t>CURAL</t>
        </is>
      </c>
      <c r="C259" t="inlineStr">
        <is>
          <t>SHELVES</t>
        </is>
      </c>
      <c r="D259" t="inlineStr">
        <is>
          <t>CS403 .B39 1985</t>
        </is>
      </c>
      <c r="E259" t="inlineStr">
        <is>
          <t>0                      CS 0403000B  39          1985</t>
        </is>
      </c>
      <c r="F259" t="inlineStr">
        <is>
          <t>In search of your European roots : a complete guide to tracing your ancestors in every country in Europe / Angus Baxter.</t>
        </is>
      </c>
      <c r="H259" t="inlineStr">
        <is>
          <t>No</t>
        </is>
      </c>
      <c r="I259" t="inlineStr">
        <is>
          <t>1</t>
        </is>
      </c>
      <c r="J259" t="inlineStr">
        <is>
          <t>No</t>
        </is>
      </c>
      <c r="K259" t="inlineStr">
        <is>
          <t>No</t>
        </is>
      </c>
      <c r="L259" t="inlineStr">
        <is>
          <t>0</t>
        </is>
      </c>
      <c r="M259" t="inlineStr">
        <is>
          <t>Baxter, Angus, 1912-</t>
        </is>
      </c>
      <c r="N259" t="inlineStr">
        <is>
          <t>Baltimore : Genealogical Pub. Co., 1985.</t>
        </is>
      </c>
      <c r="O259" t="inlineStr">
        <is>
          <t>1985</t>
        </is>
      </c>
      <c r="Q259" t="inlineStr">
        <is>
          <t>eng</t>
        </is>
      </c>
      <c r="R259" t="inlineStr">
        <is>
          <t>mdu</t>
        </is>
      </c>
      <c r="T259" t="inlineStr">
        <is>
          <t xml:space="preserve">CS </t>
        </is>
      </c>
      <c r="U259" t="n">
        <v>1</v>
      </c>
      <c r="V259" t="n">
        <v>1</v>
      </c>
      <c r="W259" t="inlineStr">
        <is>
          <t>1999-10-03</t>
        </is>
      </c>
      <c r="X259" t="inlineStr">
        <is>
          <t>1999-10-03</t>
        </is>
      </c>
      <c r="Y259" t="inlineStr">
        <is>
          <t>1992-06-08</t>
        </is>
      </c>
      <c r="Z259" t="inlineStr">
        <is>
          <t>1992-06-08</t>
        </is>
      </c>
      <c r="AA259" t="n">
        <v>1011</v>
      </c>
      <c r="AB259" t="n">
        <v>964</v>
      </c>
      <c r="AC259" t="n">
        <v>1792</v>
      </c>
      <c r="AD259" t="n">
        <v>5</v>
      </c>
      <c r="AE259" t="n">
        <v>13</v>
      </c>
      <c r="AF259" t="n">
        <v>9</v>
      </c>
      <c r="AG259" t="n">
        <v>11</v>
      </c>
      <c r="AH259" t="n">
        <v>4</v>
      </c>
      <c r="AI259" t="n">
        <v>4</v>
      </c>
      <c r="AJ259" t="n">
        <v>2</v>
      </c>
      <c r="AK259" t="n">
        <v>2</v>
      </c>
      <c r="AL259" t="n">
        <v>5</v>
      </c>
      <c r="AM259" t="n">
        <v>6</v>
      </c>
      <c r="AN259" t="n">
        <v>0</v>
      </c>
      <c r="AO259" t="n">
        <v>1</v>
      </c>
      <c r="AP259" t="n">
        <v>0</v>
      </c>
      <c r="AQ259" t="n">
        <v>0</v>
      </c>
      <c r="AR259" t="inlineStr">
        <is>
          <t>No</t>
        </is>
      </c>
      <c r="AS259" t="inlineStr">
        <is>
          <t>Yes</t>
        </is>
      </c>
      <c r="AT259">
        <f>HYPERLINK("http://catalog.hathitrust.org/Record/002530021","HathiTrust Record")</f>
        <v/>
      </c>
      <c r="AU259">
        <f>HYPERLINK("https://creighton-primo.hosted.exlibrisgroup.com/primo-explore/search?tab=default_tab&amp;search_scope=EVERYTHING&amp;vid=01CRU&amp;lang=en_US&amp;offset=0&amp;query=any,contains,991000633259702656","Catalog Record")</f>
        <v/>
      </c>
      <c r="AV259">
        <f>HYPERLINK("http://www.worldcat.org/oclc/12070603","WorldCat Record")</f>
        <v/>
      </c>
      <c r="AW259" t="inlineStr">
        <is>
          <t>4580360:eng</t>
        </is>
      </c>
      <c r="AX259" t="inlineStr">
        <is>
          <t>12070603</t>
        </is>
      </c>
      <c r="AY259" t="inlineStr">
        <is>
          <t>991000633259702656</t>
        </is>
      </c>
      <c r="AZ259" t="inlineStr">
        <is>
          <t>991000633259702656</t>
        </is>
      </c>
      <c r="BA259" t="inlineStr">
        <is>
          <t>2264885830002656</t>
        </is>
      </c>
      <c r="BB259" t="inlineStr">
        <is>
          <t>BOOK</t>
        </is>
      </c>
      <c r="BD259" t="inlineStr">
        <is>
          <t>9780806311142</t>
        </is>
      </c>
      <c r="BE259" t="inlineStr">
        <is>
          <t>32285001165116</t>
        </is>
      </c>
      <c r="BF259" t="inlineStr">
        <is>
          <t>893419643</t>
        </is>
      </c>
    </row>
    <row r="260">
      <c r="B260" t="inlineStr">
        <is>
          <t>CURAL</t>
        </is>
      </c>
      <c r="C260" t="inlineStr">
        <is>
          <t>SHELVES</t>
        </is>
      </c>
      <c r="D260" t="inlineStr">
        <is>
          <t>CS403 .H66</t>
        </is>
      </c>
      <c r="E260" t="inlineStr">
        <is>
          <t>0                      CS 0403000H  66</t>
        </is>
      </c>
      <c r="F260" t="inlineStr">
        <is>
          <t>The royal families of Europe / Geoffrey Hindley.</t>
        </is>
      </c>
      <c r="H260" t="inlineStr">
        <is>
          <t>No</t>
        </is>
      </c>
      <c r="I260" t="inlineStr">
        <is>
          <t>1</t>
        </is>
      </c>
      <c r="J260" t="inlineStr">
        <is>
          <t>No</t>
        </is>
      </c>
      <c r="K260" t="inlineStr">
        <is>
          <t>No</t>
        </is>
      </c>
      <c r="L260" t="inlineStr">
        <is>
          <t>0</t>
        </is>
      </c>
      <c r="M260" t="inlineStr">
        <is>
          <t>Hindley, Geoffrey.</t>
        </is>
      </c>
      <c r="N260" t="inlineStr">
        <is>
          <t>Secaucus, N.J. : Chartwell Books, c1979.</t>
        </is>
      </c>
      <c r="O260" t="inlineStr">
        <is>
          <t>1979</t>
        </is>
      </c>
      <c r="Q260" t="inlineStr">
        <is>
          <t>eng</t>
        </is>
      </c>
      <c r="R260" t="inlineStr">
        <is>
          <t>nju</t>
        </is>
      </c>
      <c r="T260" t="inlineStr">
        <is>
          <t xml:space="preserve">CS </t>
        </is>
      </c>
      <c r="U260" t="n">
        <v>4</v>
      </c>
      <c r="V260" t="n">
        <v>4</v>
      </c>
      <c r="W260" t="inlineStr">
        <is>
          <t>2008-11-25</t>
        </is>
      </c>
      <c r="X260" t="inlineStr">
        <is>
          <t>2008-11-25</t>
        </is>
      </c>
      <c r="Y260" t="inlineStr">
        <is>
          <t>1992-06-08</t>
        </is>
      </c>
      <c r="Z260" t="inlineStr">
        <is>
          <t>1992-06-08</t>
        </is>
      </c>
      <c r="AA260" t="n">
        <v>175</v>
      </c>
      <c r="AB260" t="n">
        <v>166</v>
      </c>
      <c r="AC260" t="n">
        <v>681</v>
      </c>
      <c r="AD260" t="n">
        <v>2</v>
      </c>
      <c r="AE260" t="n">
        <v>3</v>
      </c>
      <c r="AF260" t="n">
        <v>4</v>
      </c>
      <c r="AG260" t="n">
        <v>13</v>
      </c>
      <c r="AH260" t="n">
        <v>2</v>
      </c>
      <c r="AI260" t="n">
        <v>7</v>
      </c>
      <c r="AJ260" t="n">
        <v>1</v>
      </c>
      <c r="AK260" t="n">
        <v>5</v>
      </c>
      <c r="AL260" t="n">
        <v>3</v>
      </c>
      <c r="AM260" t="n">
        <v>7</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HYPERLINK("https://creighton-primo.hosted.exlibrisgroup.com/primo-explore/search?tab=default_tab&amp;search_scope=EVERYTHING&amp;vid=01CRU&amp;lang=en_US&amp;offset=0&amp;query=any,contains,991004898019702656","Catalog Record")</f>
        <v/>
      </c>
      <c r="AV260">
        <f>HYPERLINK("http://www.worldcat.org/oclc/5902510","WorldCat Record")</f>
        <v/>
      </c>
      <c r="AW260" t="inlineStr">
        <is>
          <t>20375039:eng</t>
        </is>
      </c>
      <c r="AX260" t="inlineStr">
        <is>
          <t>5902510</t>
        </is>
      </c>
      <c r="AY260" t="inlineStr">
        <is>
          <t>991004898019702656</t>
        </is>
      </c>
      <c r="AZ260" t="inlineStr">
        <is>
          <t>991004898019702656</t>
        </is>
      </c>
      <c r="BA260" t="inlineStr">
        <is>
          <t>2255444640002656</t>
        </is>
      </c>
      <c r="BB260" t="inlineStr">
        <is>
          <t>BOOK</t>
        </is>
      </c>
      <c r="BD260" t="inlineStr">
        <is>
          <t>9780711100053</t>
        </is>
      </c>
      <c r="BE260" t="inlineStr">
        <is>
          <t>32285001165124</t>
        </is>
      </c>
      <c r="BF260" t="inlineStr">
        <is>
          <t>893706963</t>
        </is>
      </c>
    </row>
    <row r="261">
      <c r="B261" t="inlineStr">
        <is>
          <t>CURAL</t>
        </is>
      </c>
      <c r="C261" t="inlineStr">
        <is>
          <t>SHELVES</t>
        </is>
      </c>
      <c r="D261" t="inlineStr">
        <is>
          <t>CS414 .W3 1972</t>
        </is>
      </c>
      <c r="E261" t="inlineStr">
        <is>
          <t>0                      CS 0414000W  3           1972</t>
        </is>
      </c>
      <c r="F261" t="inlineStr">
        <is>
          <t>English genealogy.</t>
        </is>
      </c>
      <c r="H261" t="inlineStr">
        <is>
          <t>No</t>
        </is>
      </c>
      <c r="I261" t="inlineStr">
        <is>
          <t>1</t>
        </is>
      </c>
      <c r="J261" t="inlineStr">
        <is>
          <t>No</t>
        </is>
      </c>
      <c r="K261" t="inlineStr">
        <is>
          <t>No</t>
        </is>
      </c>
      <c r="L261" t="inlineStr">
        <is>
          <t>0</t>
        </is>
      </c>
      <c r="M261" t="inlineStr">
        <is>
          <t>Wagner, Anthony, 1908-1995.</t>
        </is>
      </c>
      <c r="N261" t="inlineStr">
        <is>
          <t>Oxford, Clarendon Press, 1972.</t>
        </is>
      </c>
      <c r="O261" t="inlineStr">
        <is>
          <t>1972</t>
        </is>
      </c>
      <c r="P261" t="inlineStr">
        <is>
          <t>2d ed., enl.</t>
        </is>
      </c>
      <c r="Q261" t="inlineStr">
        <is>
          <t>eng</t>
        </is>
      </c>
      <c r="R261" t="inlineStr">
        <is>
          <t>enk</t>
        </is>
      </c>
      <c r="T261" t="inlineStr">
        <is>
          <t xml:space="preserve">CS </t>
        </is>
      </c>
      <c r="U261" t="n">
        <v>2</v>
      </c>
      <c r="V261" t="n">
        <v>2</v>
      </c>
      <c r="W261" t="inlineStr">
        <is>
          <t>2001-07-15</t>
        </is>
      </c>
      <c r="X261" t="inlineStr">
        <is>
          <t>2001-07-15</t>
        </is>
      </c>
      <c r="Y261" t="inlineStr">
        <is>
          <t>1996-08-21</t>
        </is>
      </c>
      <c r="Z261" t="inlineStr">
        <is>
          <t>1996-08-21</t>
        </is>
      </c>
      <c r="AA261" t="n">
        <v>399</v>
      </c>
      <c r="AB261" t="n">
        <v>285</v>
      </c>
      <c r="AC261" t="n">
        <v>520</v>
      </c>
      <c r="AD261" t="n">
        <v>2</v>
      </c>
      <c r="AE261" t="n">
        <v>3</v>
      </c>
      <c r="AF261" t="n">
        <v>8</v>
      </c>
      <c r="AG261" t="n">
        <v>16</v>
      </c>
      <c r="AH261" t="n">
        <v>4</v>
      </c>
      <c r="AI261" t="n">
        <v>7</v>
      </c>
      <c r="AJ261" t="n">
        <v>3</v>
      </c>
      <c r="AK261" t="n">
        <v>4</v>
      </c>
      <c r="AL261" t="n">
        <v>3</v>
      </c>
      <c r="AM261" t="n">
        <v>8</v>
      </c>
      <c r="AN261" t="n">
        <v>1</v>
      </c>
      <c r="AO261" t="n">
        <v>2</v>
      </c>
      <c r="AP261" t="n">
        <v>0</v>
      </c>
      <c r="AQ261" t="n">
        <v>0</v>
      </c>
      <c r="AR261" t="inlineStr">
        <is>
          <t>No</t>
        </is>
      </c>
      <c r="AS261" t="inlineStr">
        <is>
          <t>Yes</t>
        </is>
      </c>
      <c r="AT261">
        <f>HYPERLINK("http://catalog.hathitrust.org/Record/001597838","HathiTrust Record")</f>
        <v/>
      </c>
      <c r="AU261">
        <f>HYPERLINK("https://creighton-primo.hosted.exlibrisgroup.com/primo-explore/search?tab=default_tab&amp;search_scope=EVERYTHING&amp;vid=01CRU&amp;lang=en_US&amp;offset=0&amp;query=any,contains,991002674869702656","Catalog Record")</f>
        <v/>
      </c>
      <c r="AV261">
        <f>HYPERLINK("http://www.worldcat.org/oclc/396571","WorldCat Record")</f>
        <v/>
      </c>
      <c r="AW261" t="inlineStr">
        <is>
          <t>118048875:eng</t>
        </is>
      </c>
      <c r="AX261" t="inlineStr">
        <is>
          <t>396571</t>
        </is>
      </c>
      <c r="AY261" t="inlineStr">
        <is>
          <t>991002674869702656</t>
        </is>
      </c>
      <c r="AZ261" t="inlineStr">
        <is>
          <t>991002674869702656</t>
        </is>
      </c>
      <c r="BA261" t="inlineStr">
        <is>
          <t>2261081020002656</t>
        </is>
      </c>
      <c r="BB261" t="inlineStr">
        <is>
          <t>BOOK</t>
        </is>
      </c>
      <c r="BD261" t="inlineStr">
        <is>
          <t>9780198223344</t>
        </is>
      </c>
      <c r="BE261" t="inlineStr">
        <is>
          <t>32285002278538</t>
        </is>
      </c>
      <c r="BF261" t="inlineStr">
        <is>
          <t>893517584</t>
        </is>
      </c>
    </row>
    <row r="262">
      <c r="B262" t="inlineStr">
        <is>
          <t>CURAL</t>
        </is>
      </c>
      <c r="C262" t="inlineStr">
        <is>
          <t>SHELVES</t>
        </is>
      </c>
      <c r="D262" t="inlineStr">
        <is>
          <t>CS429 .S3 1963</t>
        </is>
      </c>
      <c r="E262" t="inlineStr">
        <is>
          <t>0                      CS 0429000S  3           1963</t>
        </is>
      </c>
      <c r="F262" t="inlineStr">
        <is>
          <t>English baronies : a study of their origin and descent, 1086-1327 / by I.J. Sanders.</t>
        </is>
      </c>
      <c r="H262" t="inlineStr">
        <is>
          <t>No</t>
        </is>
      </c>
      <c r="I262" t="inlineStr">
        <is>
          <t>1</t>
        </is>
      </c>
      <c r="J262" t="inlineStr">
        <is>
          <t>No</t>
        </is>
      </c>
      <c r="K262" t="inlineStr">
        <is>
          <t>No</t>
        </is>
      </c>
      <c r="L262" t="inlineStr">
        <is>
          <t>0</t>
        </is>
      </c>
      <c r="M262" t="inlineStr">
        <is>
          <t>Sanders, I. J. (Ivor John)</t>
        </is>
      </c>
      <c r="N262" t="inlineStr">
        <is>
          <t>Oxford : Clarendon Press, [1963, c1960]</t>
        </is>
      </c>
      <c r="O262" t="inlineStr">
        <is>
          <t>1963</t>
        </is>
      </c>
      <c r="Q262" t="inlineStr">
        <is>
          <t>eng</t>
        </is>
      </c>
      <c r="R262" t="inlineStr">
        <is>
          <t>enk</t>
        </is>
      </c>
      <c r="T262" t="inlineStr">
        <is>
          <t xml:space="preserve">CS </t>
        </is>
      </c>
      <c r="U262" t="n">
        <v>1</v>
      </c>
      <c r="V262" t="n">
        <v>1</v>
      </c>
      <c r="W262" t="inlineStr">
        <is>
          <t>1994-09-01</t>
        </is>
      </c>
      <c r="X262" t="inlineStr">
        <is>
          <t>1994-09-01</t>
        </is>
      </c>
      <c r="Y262" t="inlineStr">
        <is>
          <t>1992-06-08</t>
        </is>
      </c>
      <c r="Z262" t="inlineStr">
        <is>
          <t>1992-06-08</t>
        </is>
      </c>
      <c r="AA262" t="n">
        <v>32</v>
      </c>
      <c r="AB262" t="n">
        <v>15</v>
      </c>
      <c r="AC262" t="n">
        <v>258</v>
      </c>
      <c r="AD262" t="n">
        <v>1</v>
      </c>
      <c r="AE262" t="n">
        <v>4</v>
      </c>
      <c r="AF262" t="n">
        <v>0</v>
      </c>
      <c r="AG262" t="n">
        <v>16</v>
      </c>
      <c r="AH262" t="n">
        <v>0</v>
      </c>
      <c r="AI262" t="n">
        <v>4</v>
      </c>
      <c r="AJ262" t="n">
        <v>0</v>
      </c>
      <c r="AK262" t="n">
        <v>4</v>
      </c>
      <c r="AL262" t="n">
        <v>0</v>
      </c>
      <c r="AM262" t="n">
        <v>7</v>
      </c>
      <c r="AN262" t="n">
        <v>0</v>
      </c>
      <c r="AO262" t="n">
        <v>3</v>
      </c>
      <c r="AP262" t="n">
        <v>0</v>
      </c>
      <c r="AQ262" t="n">
        <v>0</v>
      </c>
      <c r="AR262" t="inlineStr">
        <is>
          <t>No</t>
        </is>
      </c>
      <c r="AS262" t="inlineStr">
        <is>
          <t>Yes</t>
        </is>
      </c>
      <c r="AT262">
        <f>HYPERLINK("http://catalog.hathitrust.org/Record/102067876","HathiTrust Record")</f>
        <v/>
      </c>
      <c r="AU262">
        <f>HYPERLINK("https://creighton-primo.hosted.exlibrisgroup.com/primo-explore/search?tab=default_tab&amp;search_scope=EVERYTHING&amp;vid=01CRU&amp;lang=en_US&amp;offset=0&amp;query=any,contains,991000381749702656","Catalog Record")</f>
        <v/>
      </c>
      <c r="AV262">
        <f>HYPERLINK("http://www.worldcat.org/oclc/40261309","WorldCat Record")</f>
        <v/>
      </c>
      <c r="AW262" t="inlineStr">
        <is>
          <t>377274267:eng</t>
        </is>
      </c>
      <c r="AX262" t="inlineStr">
        <is>
          <t>40261309</t>
        </is>
      </c>
      <c r="AY262" t="inlineStr">
        <is>
          <t>991000381749702656</t>
        </is>
      </c>
      <c r="AZ262" t="inlineStr">
        <is>
          <t>991000381749702656</t>
        </is>
      </c>
      <c r="BA262" t="inlineStr">
        <is>
          <t>2257300860002656</t>
        </is>
      </c>
      <c r="BB262" t="inlineStr">
        <is>
          <t>BOOK</t>
        </is>
      </c>
      <c r="BE262" t="inlineStr">
        <is>
          <t>32285001165140</t>
        </is>
      </c>
      <c r="BF262" t="inlineStr">
        <is>
          <t>893333412</t>
        </is>
      </c>
    </row>
    <row r="263">
      <c r="B263" t="inlineStr">
        <is>
          <t>CURAL</t>
        </is>
      </c>
      <c r="C263" t="inlineStr">
        <is>
          <t>SHELVES</t>
        </is>
      </c>
      <c r="D263" t="inlineStr">
        <is>
          <t>CS439 .W83</t>
        </is>
      </c>
      <c r="E263" t="inlineStr">
        <is>
          <t>0                      CS 0439000W  83</t>
        </is>
      </c>
      <c r="F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H263" t="inlineStr">
        <is>
          <t>No</t>
        </is>
      </c>
      <c r="I263" t="inlineStr">
        <is>
          <t>1</t>
        </is>
      </c>
      <c r="J263" t="inlineStr">
        <is>
          <t>No</t>
        </is>
      </c>
      <c r="K263" t="inlineStr">
        <is>
          <t>No</t>
        </is>
      </c>
      <c r="L263" t="inlineStr">
        <is>
          <t>0</t>
        </is>
      </c>
      <c r="M263" t="inlineStr">
        <is>
          <t>Wren, Christopher, 1675-1747.</t>
        </is>
      </c>
      <c r="N263" t="inlineStr">
        <is>
          <t>[Farnborough, Hants, Eng., Gregg Press, 1965]</t>
        </is>
      </c>
      <c r="O263" t="inlineStr">
        <is>
          <t>1965</t>
        </is>
      </c>
      <c r="Q263" t="inlineStr">
        <is>
          <t>eng</t>
        </is>
      </c>
      <c r="R263" t="inlineStr">
        <is>
          <t>enk</t>
        </is>
      </c>
      <c r="T263" t="inlineStr">
        <is>
          <t xml:space="preserve">CS </t>
        </is>
      </c>
      <c r="U263" t="n">
        <v>3</v>
      </c>
      <c r="V263" t="n">
        <v>3</v>
      </c>
      <c r="W263" t="inlineStr">
        <is>
          <t>2003-03-03</t>
        </is>
      </c>
      <c r="X263" t="inlineStr">
        <is>
          <t>2003-03-03</t>
        </is>
      </c>
      <c r="Y263" t="inlineStr">
        <is>
          <t>1996-08-21</t>
        </is>
      </c>
      <c r="Z263" t="inlineStr">
        <is>
          <t>1996-08-21</t>
        </is>
      </c>
      <c r="AA263" t="n">
        <v>193</v>
      </c>
      <c r="AB263" t="n">
        <v>166</v>
      </c>
      <c r="AC263" t="n">
        <v>168</v>
      </c>
      <c r="AD263" t="n">
        <v>1</v>
      </c>
      <c r="AE263" t="n">
        <v>1</v>
      </c>
      <c r="AF263" t="n">
        <v>4</v>
      </c>
      <c r="AG263" t="n">
        <v>4</v>
      </c>
      <c r="AH263" t="n">
        <v>1</v>
      </c>
      <c r="AI263" t="n">
        <v>1</v>
      </c>
      <c r="AJ263" t="n">
        <v>2</v>
      </c>
      <c r="AK263" t="n">
        <v>2</v>
      </c>
      <c r="AL263" t="n">
        <v>1</v>
      </c>
      <c r="AM263" t="n">
        <v>1</v>
      </c>
      <c r="AN263" t="n">
        <v>0</v>
      </c>
      <c r="AO263" t="n">
        <v>0</v>
      </c>
      <c r="AP263" t="n">
        <v>0</v>
      </c>
      <c r="AQ263" t="n">
        <v>0</v>
      </c>
      <c r="AR263" t="inlineStr">
        <is>
          <t>No</t>
        </is>
      </c>
      <c r="AS263" t="inlineStr">
        <is>
          <t>Yes</t>
        </is>
      </c>
      <c r="AT263">
        <f>HYPERLINK("http://catalog.hathitrust.org/Record/000453407","HathiTrust Record")</f>
        <v/>
      </c>
      <c r="AU263">
        <f>HYPERLINK("https://creighton-primo.hosted.exlibrisgroup.com/primo-explore/search?tab=default_tab&amp;search_scope=EVERYTHING&amp;vid=01CRU&amp;lang=en_US&amp;offset=0&amp;query=any,contains,991003248789702656","Catalog Record")</f>
        <v/>
      </c>
      <c r="AV263">
        <f>HYPERLINK("http://www.worldcat.org/oclc/773584","WorldCat Record")</f>
        <v/>
      </c>
      <c r="AW263" t="inlineStr">
        <is>
          <t>3901416394:eng</t>
        </is>
      </c>
      <c r="AX263" t="inlineStr">
        <is>
          <t>773584</t>
        </is>
      </c>
      <c r="AY263" t="inlineStr">
        <is>
          <t>991003248789702656</t>
        </is>
      </c>
      <c r="AZ263" t="inlineStr">
        <is>
          <t>991003248789702656</t>
        </is>
      </c>
      <c r="BA263" t="inlineStr">
        <is>
          <t>2265769550002656</t>
        </is>
      </c>
      <c r="BB263" t="inlineStr">
        <is>
          <t>BOOK</t>
        </is>
      </c>
      <c r="BE263" t="inlineStr">
        <is>
          <t>32285002278652</t>
        </is>
      </c>
      <c r="BF263" t="inlineStr">
        <is>
          <t>893787113</t>
        </is>
      </c>
    </row>
    <row r="264">
      <c r="B264" t="inlineStr">
        <is>
          <t>CURAL</t>
        </is>
      </c>
      <c r="C264" t="inlineStr">
        <is>
          <t>SHELVES</t>
        </is>
      </c>
      <c r="D264" t="inlineStr">
        <is>
          <t>CS439.H85 1968b</t>
        </is>
      </c>
      <c r="E264" t="inlineStr">
        <is>
          <t>0                      CS 0439000H  85          1968b</t>
        </is>
      </c>
      <c r="F264" t="inlineStr">
        <is>
          <t>The Huxleys / [by] Ronald W. Clark.</t>
        </is>
      </c>
      <c r="H264" t="inlineStr">
        <is>
          <t>No</t>
        </is>
      </c>
      <c r="I264" t="inlineStr">
        <is>
          <t>1</t>
        </is>
      </c>
      <c r="J264" t="inlineStr">
        <is>
          <t>No</t>
        </is>
      </c>
      <c r="K264" t="inlineStr">
        <is>
          <t>No</t>
        </is>
      </c>
      <c r="L264" t="inlineStr">
        <is>
          <t>0</t>
        </is>
      </c>
      <c r="M264" t="inlineStr">
        <is>
          <t>Clark, Ronald (Ronald William), 1916-1987.</t>
        </is>
      </c>
      <c r="N264" t="inlineStr">
        <is>
          <t>New York, McGraw-Hill [1968]</t>
        </is>
      </c>
      <c r="O264" t="inlineStr">
        <is>
          <t>1968</t>
        </is>
      </c>
      <c r="P264" t="inlineStr">
        <is>
          <t>[1st ed.]</t>
        </is>
      </c>
      <c r="Q264" t="inlineStr">
        <is>
          <t>eng</t>
        </is>
      </c>
      <c r="R264" t="inlineStr">
        <is>
          <t>nyu</t>
        </is>
      </c>
      <c r="T264" t="inlineStr">
        <is>
          <t xml:space="preserve">CS </t>
        </is>
      </c>
      <c r="U264" t="n">
        <v>2</v>
      </c>
      <c r="V264" t="n">
        <v>2</v>
      </c>
      <c r="W264" t="inlineStr">
        <is>
          <t>1995-11-15</t>
        </is>
      </c>
      <c r="X264" t="inlineStr">
        <is>
          <t>1995-11-15</t>
        </is>
      </c>
      <c r="Y264" t="inlineStr">
        <is>
          <t>1992-06-08</t>
        </is>
      </c>
      <c r="Z264" t="inlineStr">
        <is>
          <t>1992-06-08</t>
        </is>
      </c>
      <c r="AA264" t="n">
        <v>937</v>
      </c>
      <c r="AB264" t="n">
        <v>899</v>
      </c>
      <c r="AC264" t="n">
        <v>991</v>
      </c>
      <c r="AD264" t="n">
        <v>6</v>
      </c>
      <c r="AE264" t="n">
        <v>6</v>
      </c>
      <c r="AF264" t="n">
        <v>31</v>
      </c>
      <c r="AG264" t="n">
        <v>33</v>
      </c>
      <c r="AH264" t="n">
        <v>11</v>
      </c>
      <c r="AI264" t="n">
        <v>12</v>
      </c>
      <c r="AJ264" t="n">
        <v>7</v>
      </c>
      <c r="AK264" t="n">
        <v>7</v>
      </c>
      <c r="AL264" t="n">
        <v>14</v>
      </c>
      <c r="AM264" t="n">
        <v>16</v>
      </c>
      <c r="AN264" t="n">
        <v>5</v>
      </c>
      <c r="AO264" t="n">
        <v>5</v>
      </c>
      <c r="AP264" t="n">
        <v>0</v>
      </c>
      <c r="AQ264" t="n">
        <v>0</v>
      </c>
      <c r="AR264" t="inlineStr">
        <is>
          <t>No</t>
        </is>
      </c>
      <c r="AS264" t="inlineStr">
        <is>
          <t>Yes</t>
        </is>
      </c>
      <c r="AT264">
        <f>HYPERLINK("http://catalog.hathitrust.org/Record/001597907","HathiTrust Record")</f>
        <v/>
      </c>
      <c r="AU264">
        <f>HYPERLINK("https://creighton-primo.hosted.exlibrisgroup.com/primo-explore/search?tab=default_tab&amp;search_scope=EVERYTHING&amp;vid=01CRU&amp;lang=en_US&amp;offset=0&amp;query=any,contains,991002661769702656","Catalog Record")</f>
        <v/>
      </c>
      <c r="AV264">
        <f>HYPERLINK("http://www.worldcat.org/oclc/391747","WorldCat Record")</f>
        <v/>
      </c>
      <c r="AW264" t="inlineStr">
        <is>
          <t>1499870:eng</t>
        </is>
      </c>
      <c r="AX264" t="inlineStr">
        <is>
          <t>391747</t>
        </is>
      </c>
      <c r="AY264" t="inlineStr">
        <is>
          <t>991002661769702656</t>
        </is>
      </c>
      <c r="AZ264" t="inlineStr">
        <is>
          <t>991002661769702656</t>
        </is>
      </c>
      <c r="BA264" t="inlineStr">
        <is>
          <t>2260680740002656</t>
        </is>
      </c>
      <c r="BB264" t="inlineStr">
        <is>
          <t>BOOK</t>
        </is>
      </c>
      <c r="BE264" t="inlineStr">
        <is>
          <t>32285001165157</t>
        </is>
      </c>
      <c r="BF264" t="inlineStr">
        <is>
          <t>893511029</t>
        </is>
      </c>
    </row>
    <row r="265">
      <c r="B265" t="inlineStr">
        <is>
          <t>CURAL</t>
        </is>
      </c>
      <c r="C265" t="inlineStr">
        <is>
          <t>SHELVES</t>
        </is>
      </c>
      <c r="D265" t="inlineStr">
        <is>
          <t>CS463 .H35 1972c</t>
        </is>
      </c>
      <c r="E265" t="inlineStr">
        <is>
          <t>0                      CS 0463000H  35          1972c</t>
        </is>
      </c>
      <c r="F265" t="inlineStr">
        <is>
          <t>In search of Scottish ancestry [by] Gerald Hamilton-Edwards.</t>
        </is>
      </c>
      <c r="H265" t="inlineStr">
        <is>
          <t>No</t>
        </is>
      </c>
      <c r="I265" t="inlineStr">
        <is>
          <t>1</t>
        </is>
      </c>
      <c r="J265" t="inlineStr">
        <is>
          <t>No</t>
        </is>
      </c>
      <c r="K265" t="inlineStr">
        <is>
          <t>No</t>
        </is>
      </c>
      <c r="L265" t="inlineStr">
        <is>
          <t>0</t>
        </is>
      </c>
      <c r="M265" t="inlineStr">
        <is>
          <t>Hamilton-Edwards, Gerald Kenneth Savery, 1906-</t>
        </is>
      </c>
      <c r="N265" t="inlineStr">
        <is>
          <t>Chichester, Phillimore, 1972.</t>
        </is>
      </c>
      <c r="O265" t="inlineStr">
        <is>
          <t>1972</t>
        </is>
      </c>
      <c r="Q265" t="inlineStr">
        <is>
          <t>eng</t>
        </is>
      </c>
      <c r="R265" t="inlineStr">
        <is>
          <t>enk</t>
        </is>
      </c>
      <c r="T265" t="inlineStr">
        <is>
          <t xml:space="preserve">CS </t>
        </is>
      </c>
      <c r="U265" t="n">
        <v>4</v>
      </c>
      <c r="V265" t="n">
        <v>4</v>
      </c>
      <c r="W265" t="inlineStr">
        <is>
          <t>2001-01-23</t>
        </is>
      </c>
      <c r="X265" t="inlineStr">
        <is>
          <t>2001-01-23</t>
        </is>
      </c>
      <c r="Y265" t="inlineStr">
        <is>
          <t>1996-08-21</t>
        </is>
      </c>
      <c r="Z265" t="inlineStr">
        <is>
          <t>1996-08-21</t>
        </is>
      </c>
      <c r="AA265" t="n">
        <v>138</v>
      </c>
      <c r="AB265" t="n">
        <v>74</v>
      </c>
      <c r="AC265" t="n">
        <v>658</v>
      </c>
      <c r="AD265" t="n">
        <v>1</v>
      </c>
      <c r="AE265" t="n">
        <v>4</v>
      </c>
      <c r="AF265" t="n">
        <v>1</v>
      </c>
      <c r="AG265" t="n">
        <v>3</v>
      </c>
      <c r="AH265" t="n">
        <v>1</v>
      </c>
      <c r="AI265" t="n">
        <v>3</v>
      </c>
      <c r="AJ265" t="n">
        <v>0</v>
      </c>
      <c r="AK265" t="n">
        <v>0</v>
      </c>
      <c r="AL265" t="n">
        <v>0</v>
      </c>
      <c r="AM265" t="n">
        <v>0</v>
      </c>
      <c r="AN265" t="n">
        <v>0</v>
      </c>
      <c r="AO265" t="n">
        <v>0</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HYPERLINK("https://creighton-primo.hosted.exlibrisgroup.com/primo-explore/search?tab=default_tab&amp;search_scope=EVERYTHING&amp;vid=01CRU&amp;lang=en_US&amp;offset=0&amp;query=any,contains,991003201289702656","Catalog Record")</f>
        <v/>
      </c>
      <c r="AV265">
        <f>HYPERLINK("http://www.worldcat.org/oclc/726103","WorldCat Record")</f>
        <v/>
      </c>
      <c r="AW265" t="inlineStr">
        <is>
          <t>3372117584:eng</t>
        </is>
      </c>
      <c r="AX265" t="inlineStr">
        <is>
          <t>726103</t>
        </is>
      </c>
      <c r="AY265" t="inlineStr">
        <is>
          <t>991003201289702656</t>
        </is>
      </c>
      <c r="AZ265" t="inlineStr">
        <is>
          <t>991003201289702656</t>
        </is>
      </c>
      <c r="BA265" t="inlineStr">
        <is>
          <t>2264093470002656</t>
        </is>
      </c>
      <c r="BB265" t="inlineStr">
        <is>
          <t>BOOK</t>
        </is>
      </c>
      <c r="BD265" t="inlineStr">
        <is>
          <t>9780900592713</t>
        </is>
      </c>
      <c r="BE265" t="inlineStr">
        <is>
          <t>32285002278660</t>
        </is>
      </c>
      <c r="BF265" t="inlineStr">
        <is>
          <t>893323859</t>
        </is>
      </c>
    </row>
    <row r="266">
      <c r="B266" t="inlineStr">
        <is>
          <t>CURAL</t>
        </is>
      </c>
      <c r="C266" t="inlineStr">
        <is>
          <t>SHELVES</t>
        </is>
      </c>
      <c r="D266" t="inlineStr">
        <is>
          <t>CS463 .S49</t>
        </is>
      </c>
      <c r="E266" t="inlineStr">
        <is>
          <t>0                      CS 0463000S  49</t>
        </is>
      </c>
      <c r="F266" t="inlineStr">
        <is>
          <t>Scottish family history : a guide to works of reference on the history and genealogy of Scottish families / by Margaret Stuart ; to which is prefixed an essay on how to write the history of a family by James Balfour Paul.</t>
        </is>
      </c>
      <c r="H266" t="inlineStr">
        <is>
          <t>No</t>
        </is>
      </c>
      <c r="I266" t="inlineStr">
        <is>
          <t>1</t>
        </is>
      </c>
      <c r="J266" t="inlineStr">
        <is>
          <t>No</t>
        </is>
      </c>
      <c r="K266" t="inlineStr">
        <is>
          <t>No</t>
        </is>
      </c>
      <c r="L266" t="inlineStr">
        <is>
          <t>0</t>
        </is>
      </c>
      <c r="M266" t="inlineStr">
        <is>
          <t>Stuart, Margaret.</t>
        </is>
      </c>
      <c r="N266" t="inlineStr">
        <is>
          <t>Baltimore : Genealogical Pub. Co., 1978.</t>
        </is>
      </c>
      <c r="O266" t="inlineStr">
        <is>
          <t>1978</t>
        </is>
      </c>
      <c r="Q266" t="inlineStr">
        <is>
          <t>eng</t>
        </is>
      </c>
      <c r="R266" t="inlineStr">
        <is>
          <t>mdu</t>
        </is>
      </c>
      <c r="T266" t="inlineStr">
        <is>
          <t xml:space="preserve">CS </t>
        </is>
      </c>
      <c r="U266" t="n">
        <v>8</v>
      </c>
      <c r="V266" t="n">
        <v>8</v>
      </c>
      <c r="W266" t="inlineStr">
        <is>
          <t>2005-03-21</t>
        </is>
      </c>
      <c r="X266" t="inlineStr">
        <is>
          <t>2005-03-21</t>
        </is>
      </c>
      <c r="Y266" t="inlineStr">
        <is>
          <t>1990-02-26</t>
        </is>
      </c>
      <c r="Z266" t="inlineStr">
        <is>
          <t>1990-02-26</t>
        </is>
      </c>
      <c r="AA266" t="n">
        <v>318</v>
      </c>
      <c r="AB266" t="n">
        <v>298</v>
      </c>
      <c r="AC266" t="n">
        <v>479</v>
      </c>
      <c r="AD266" t="n">
        <v>1</v>
      </c>
      <c r="AE266" t="n">
        <v>4</v>
      </c>
      <c r="AF266" t="n">
        <v>1</v>
      </c>
      <c r="AG266" t="n">
        <v>3</v>
      </c>
      <c r="AH266" t="n">
        <v>1</v>
      </c>
      <c r="AI266" t="n">
        <v>1</v>
      </c>
      <c r="AJ266" t="n">
        <v>0</v>
      </c>
      <c r="AK266" t="n">
        <v>0</v>
      </c>
      <c r="AL266" t="n">
        <v>0</v>
      </c>
      <c r="AM266" t="n">
        <v>0</v>
      </c>
      <c r="AN266" t="n">
        <v>0</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HYPERLINK("https://creighton-primo.hosted.exlibrisgroup.com/primo-explore/search?tab=default_tab&amp;search_scope=EVERYTHING&amp;vid=01CRU&amp;lang=en_US&amp;offset=0&amp;query=any,contains,991004518169702656","Catalog Record")</f>
        <v/>
      </c>
      <c r="AV266">
        <f>HYPERLINK("http://www.worldcat.org/oclc/3796871","WorldCat Record")</f>
        <v/>
      </c>
      <c r="AW266" t="inlineStr">
        <is>
          <t>1912342:eng</t>
        </is>
      </c>
      <c r="AX266" t="inlineStr">
        <is>
          <t>3796871</t>
        </is>
      </c>
      <c r="AY266" t="inlineStr">
        <is>
          <t>991004518169702656</t>
        </is>
      </c>
      <c r="AZ266" t="inlineStr">
        <is>
          <t>991004518169702656</t>
        </is>
      </c>
      <c r="BA266" t="inlineStr">
        <is>
          <t>2258160600002656</t>
        </is>
      </c>
      <c r="BB266" t="inlineStr">
        <is>
          <t>BOOK</t>
        </is>
      </c>
      <c r="BD266" t="inlineStr">
        <is>
          <t>9780806307954</t>
        </is>
      </c>
      <c r="BE266" t="inlineStr">
        <is>
          <t>32285000062777</t>
        </is>
      </c>
      <c r="BF266" t="inlineStr">
        <is>
          <t>893442708</t>
        </is>
      </c>
    </row>
    <row r="267">
      <c r="B267" t="inlineStr">
        <is>
          <t>CURAL</t>
        </is>
      </c>
      <c r="C267" t="inlineStr">
        <is>
          <t>SHELVES</t>
        </is>
      </c>
      <c r="D267" t="inlineStr">
        <is>
          <t>CS47 .F55</t>
        </is>
      </c>
      <c r="E267" t="inlineStr">
        <is>
          <t>0                      CS 0047000F  55</t>
        </is>
      </c>
      <c r="F267" t="inlineStr">
        <is>
          <t>American &amp; British genealogy &amp; heraldry : a selected list of books / compiled by P. William Filby.</t>
        </is>
      </c>
      <c r="H267" t="inlineStr">
        <is>
          <t>No</t>
        </is>
      </c>
      <c r="I267" t="inlineStr">
        <is>
          <t>1</t>
        </is>
      </c>
      <c r="J267" t="inlineStr">
        <is>
          <t>No</t>
        </is>
      </c>
      <c r="K267" t="inlineStr">
        <is>
          <t>No</t>
        </is>
      </c>
      <c r="L267" t="inlineStr">
        <is>
          <t>0</t>
        </is>
      </c>
      <c r="M267" t="inlineStr">
        <is>
          <t>Filby, P. William (Percy William), 1911-2002.</t>
        </is>
      </c>
      <c r="N267" t="inlineStr">
        <is>
          <t>Chicago : American Library Association, 1970.</t>
        </is>
      </c>
      <c r="O267" t="inlineStr">
        <is>
          <t>1970</t>
        </is>
      </c>
      <c r="Q267" t="inlineStr">
        <is>
          <t>eng</t>
        </is>
      </c>
      <c r="R267" t="inlineStr">
        <is>
          <t>ilu</t>
        </is>
      </c>
      <c r="T267" t="inlineStr">
        <is>
          <t xml:space="preserve">CS </t>
        </is>
      </c>
      <c r="U267" t="n">
        <v>1</v>
      </c>
      <c r="V267" t="n">
        <v>1</v>
      </c>
      <c r="W267" t="inlineStr">
        <is>
          <t>2005-11-10</t>
        </is>
      </c>
      <c r="X267" t="inlineStr">
        <is>
          <t>2005-11-10</t>
        </is>
      </c>
      <c r="Y267" t="inlineStr">
        <is>
          <t>1992-09-23</t>
        </is>
      </c>
      <c r="Z267" t="inlineStr">
        <is>
          <t>1992-09-23</t>
        </is>
      </c>
      <c r="AA267" t="n">
        <v>846</v>
      </c>
      <c r="AB267" t="n">
        <v>778</v>
      </c>
      <c r="AC267" t="n">
        <v>1491</v>
      </c>
      <c r="AD267" t="n">
        <v>7</v>
      </c>
      <c r="AE267" t="n">
        <v>15</v>
      </c>
      <c r="AF267" t="n">
        <v>16</v>
      </c>
      <c r="AG267" t="n">
        <v>30</v>
      </c>
      <c r="AH267" t="n">
        <v>4</v>
      </c>
      <c r="AI267" t="n">
        <v>9</v>
      </c>
      <c r="AJ267" t="n">
        <v>4</v>
      </c>
      <c r="AK267" t="n">
        <v>7</v>
      </c>
      <c r="AL267" t="n">
        <v>8</v>
      </c>
      <c r="AM267" t="n">
        <v>13</v>
      </c>
      <c r="AN267" t="n">
        <v>3</v>
      </c>
      <c r="AO267" t="n">
        <v>6</v>
      </c>
      <c r="AP267" t="n">
        <v>0</v>
      </c>
      <c r="AQ267" t="n">
        <v>0</v>
      </c>
      <c r="AR267" t="inlineStr">
        <is>
          <t>No</t>
        </is>
      </c>
      <c r="AS267" t="inlineStr">
        <is>
          <t>Yes</t>
        </is>
      </c>
      <c r="AT267">
        <f>HYPERLINK("http://catalog.hathitrust.org/Record/001177527","HathiTrust Record")</f>
        <v/>
      </c>
      <c r="AU267">
        <f>HYPERLINK("https://creighton-primo.hosted.exlibrisgroup.com/primo-explore/search?tab=default_tab&amp;search_scope=EVERYTHING&amp;vid=01CRU&amp;lang=en_US&amp;offset=0&amp;query=any,contains,991000426699702656","Catalog Record")</f>
        <v/>
      </c>
      <c r="AV267">
        <f>HYPERLINK("http://www.worldcat.org/oclc/75311","WorldCat Record")</f>
        <v/>
      </c>
      <c r="AW267" t="inlineStr">
        <is>
          <t>1248058:eng</t>
        </is>
      </c>
      <c r="AX267" t="inlineStr">
        <is>
          <t>75311</t>
        </is>
      </c>
      <c r="AY267" t="inlineStr">
        <is>
          <t>991000426699702656</t>
        </is>
      </c>
      <c r="AZ267" t="inlineStr">
        <is>
          <t>991000426699702656</t>
        </is>
      </c>
      <c r="BA267" t="inlineStr">
        <is>
          <t>2256054600002656</t>
        </is>
      </c>
      <c r="BB267" t="inlineStr">
        <is>
          <t>BOOK</t>
        </is>
      </c>
      <c r="BD267" t="inlineStr">
        <is>
          <t>9780838900796</t>
        </is>
      </c>
      <c r="BE267" t="inlineStr">
        <is>
          <t>32285001320901</t>
        </is>
      </c>
      <c r="BF267" t="inlineStr">
        <is>
          <t>893327280</t>
        </is>
      </c>
    </row>
    <row r="268">
      <c r="B268" t="inlineStr">
        <is>
          <t>CURAL</t>
        </is>
      </c>
      <c r="C268" t="inlineStr">
        <is>
          <t>SHELVES</t>
        </is>
      </c>
      <c r="D268" t="inlineStr">
        <is>
          <t>CS483 .B55 1977</t>
        </is>
      </c>
      <c r="E268" t="inlineStr">
        <is>
          <t>0                      CS 0483000B  55          1977</t>
        </is>
      </c>
      <c r="F268" t="inlineStr">
        <is>
          <t>Your Irish ancestors / by J. Anderson Black.</t>
        </is>
      </c>
      <c r="H268" t="inlineStr">
        <is>
          <t>No</t>
        </is>
      </c>
      <c r="I268" t="inlineStr">
        <is>
          <t>1</t>
        </is>
      </c>
      <c r="J268" t="inlineStr">
        <is>
          <t>No</t>
        </is>
      </c>
      <c r="K268" t="inlineStr">
        <is>
          <t>No</t>
        </is>
      </c>
      <c r="L268" t="inlineStr">
        <is>
          <t>0</t>
        </is>
      </c>
      <c r="M268" t="inlineStr">
        <is>
          <t>Black, J. Anderson.</t>
        </is>
      </c>
      <c r="N268" t="inlineStr">
        <is>
          <t>Secaucus, N.J. : Castle Books, 1977, c1974.</t>
        </is>
      </c>
      <c r="O268" t="inlineStr">
        <is>
          <t>1977</t>
        </is>
      </c>
      <c r="Q268" t="inlineStr">
        <is>
          <t>eng</t>
        </is>
      </c>
      <c r="R268" t="inlineStr">
        <is>
          <t xml:space="preserve">xx </t>
        </is>
      </c>
      <c r="T268" t="inlineStr">
        <is>
          <t xml:space="preserve">CS </t>
        </is>
      </c>
      <c r="U268" t="n">
        <v>10</v>
      </c>
      <c r="V268" t="n">
        <v>10</v>
      </c>
      <c r="W268" t="inlineStr">
        <is>
          <t>1996-04-09</t>
        </is>
      </c>
      <c r="X268" t="inlineStr">
        <is>
          <t>1996-04-09</t>
        </is>
      </c>
      <c r="Y268" t="inlineStr">
        <is>
          <t>1990-02-14</t>
        </is>
      </c>
      <c r="Z268" t="inlineStr">
        <is>
          <t>1990-02-14</t>
        </is>
      </c>
      <c r="AA268" t="n">
        <v>37</v>
      </c>
      <c r="AB268" t="n">
        <v>37</v>
      </c>
      <c r="AC268" t="n">
        <v>597</v>
      </c>
      <c r="AD268" t="n">
        <v>2</v>
      </c>
      <c r="AE268" t="n">
        <v>5</v>
      </c>
      <c r="AF268" t="n">
        <v>1</v>
      </c>
      <c r="AG268" t="n">
        <v>12</v>
      </c>
      <c r="AH268" t="n">
        <v>0</v>
      </c>
      <c r="AI268" t="n">
        <v>3</v>
      </c>
      <c r="AJ268" t="n">
        <v>0</v>
      </c>
      <c r="AK268" t="n">
        <v>5</v>
      </c>
      <c r="AL268" t="n">
        <v>1</v>
      </c>
      <c r="AM268" t="n">
        <v>5</v>
      </c>
      <c r="AN268" t="n">
        <v>0</v>
      </c>
      <c r="AO268" t="n">
        <v>2</v>
      </c>
      <c r="AP268" t="n">
        <v>0</v>
      </c>
      <c r="AQ268" t="n">
        <v>0</v>
      </c>
      <c r="AR268" t="inlineStr">
        <is>
          <t>No</t>
        </is>
      </c>
      <c r="AS268" t="inlineStr">
        <is>
          <t>No</t>
        </is>
      </c>
      <c r="AU268">
        <f>HYPERLINK("https://creighton-primo.hosted.exlibrisgroup.com/primo-explore/search?tab=default_tab&amp;search_scope=EVERYTHING&amp;vid=01CRU&amp;lang=en_US&amp;offset=0&amp;query=any,contains,991004409089702656","Catalog Record")</f>
        <v/>
      </c>
      <c r="AV268">
        <f>HYPERLINK("http://www.worldcat.org/oclc/3331909","WorldCat Record")</f>
        <v/>
      </c>
      <c r="AW268" t="inlineStr">
        <is>
          <t>581809:eng</t>
        </is>
      </c>
      <c r="AX268" t="inlineStr">
        <is>
          <t>3331909</t>
        </is>
      </c>
      <c r="AY268" t="inlineStr">
        <is>
          <t>991004409089702656</t>
        </is>
      </c>
      <c r="AZ268" t="inlineStr">
        <is>
          <t>991004409089702656</t>
        </is>
      </c>
      <c r="BA268" t="inlineStr">
        <is>
          <t>2255003430002656</t>
        </is>
      </c>
      <c r="BB268" t="inlineStr">
        <is>
          <t>BOOK</t>
        </is>
      </c>
      <c r="BE268" t="inlineStr">
        <is>
          <t>32285000052943</t>
        </is>
      </c>
      <c r="BF268" t="inlineStr">
        <is>
          <t>893241393</t>
        </is>
      </c>
    </row>
    <row r="269">
      <c r="B269" t="inlineStr">
        <is>
          <t>CURAL</t>
        </is>
      </c>
      <c r="C269" t="inlineStr">
        <is>
          <t>SHELVES</t>
        </is>
      </c>
      <c r="D269" t="inlineStr">
        <is>
          <t>CS498 .M3</t>
        </is>
      </c>
      <c r="E269" t="inlineStr">
        <is>
          <t>0                      CS 0498000M  3</t>
        </is>
      </c>
      <c r="F269" t="inlineStr">
        <is>
          <t>Irish families : their names, arms, and origins / illustrated by Myra Maguire.</t>
        </is>
      </c>
      <c r="H269" t="inlineStr">
        <is>
          <t>No</t>
        </is>
      </c>
      <c r="I269" t="inlineStr">
        <is>
          <t>1</t>
        </is>
      </c>
      <c r="J269" t="inlineStr">
        <is>
          <t>No</t>
        </is>
      </c>
      <c r="K269" t="inlineStr">
        <is>
          <t>No</t>
        </is>
      </c>
      <c r="L269" t="inlineStr">
        <is>
          <t>0</t>
        </is>
      </c>
      <c r="M269" t="inlineStr">
        <is>
          <t>MacLysaght, Edward.</t>
        </is>
      </c>
      <c r="N269" t="inlineStr">
        <is>
          <t>Dublin : H. Figgis, 1957.</t>
        </is>
      </c>
      <c r="O269" t="inlineStr">
        <is>
          <t>1957</t>
        </is>
      </c>
      <c r="Q269" t="inlineStr">
        <is>
          <t>eng</t>
        </is>
      </c>
      <c r="R269" t="inlineStr">
        <is>
          <t xml:space="preserve">ie </t>
        </is>
      </c>
      <c r="T269" t="inlineStr">
        <is>
          <t xml:space="preserve">CS </t>
        </is>
      </c>
      <c r="U269" t="n">
        <v>15</v>
      </c>
      <c r="V269" t="n">
        <v>15</v>
      </c>
      <c r="W269" t="inlineStr">
        <is>
          <t>1996-09-05</t>
        </is>
      </c>
      <c r="X269" t="inlineStr">
        <is>
          <t>1996-09-05</t>
        </is>
      </c>
      <c r="Y269" t="inlineStr">
        <is>
          <t>1990-02-16</t>
        </is>
      </c>
      <c r="Z269" t="inlineStr">
        <is>
          <t>1990-02-16</t>
        </is>
      </c>
      <c r="AA269" t="n">
        <v>462</v>
      </c>
      <c r="AB269" t="n">
        <v>402</v>
      </c>
      <c r="AC269" t="n">
        <v>1094</v>
      </c>
      <c r="AD269" t="n">
        <v>4</v>
      </c>
      <c r="AE269" t="n">
        <v>10</v>
      </c>
      <c r="AF269" t="n">
        <v>20</v>
      </c>
      <c r="AG269" t="n">
        <v>31</v>
      </c>
      <c r="AH269" t="n">
        <v>5</v>
      </c>
      <c r="AI269" t="n">
        <v>11</v>
      </c>
      <c r="AJ269" t="n">
        <v>2</v>
      </c>
      <c r="AK269" t="n">
        <v>6</v>
      </c>
      <c r="AL269" t="n">
        <v>14</v>
      </c>
      <c r="AM269" t="n">
        <v>20</v>
      </c>
      <c r="AN269" t="n">
        <v>1</v>
      </c>
      <c r="AO269" t="n">
        <v>3</v>
      </c>
      <c r="AP269" t="n">
        <v>0</v>
      </c>
      <c r="AQ269" t="n">
        <v>0</v>
      </c>
      <c r="AR269" t="inlineStr">
        <is>
          <t>No</t>
        </is>
      </c>
      <c r="AS269" t="inlineStr">
        <is>
          <t>Yes</t>
        </is>
      </c>
      <c r="AT269">
        <f>HYPERLINK("http://catalog.hathitrust.org/Record/001597974","HathiTrust Record")</f>
        <v/>
      </c>
      <c r="AU269">
        <f>HYPERLINK("https://creighton-primo.hosted.exlibrisgroup.com/primo-explore/search?tab=default_tab&amp;search_scope=EVERYTHING&amp;vid=01CRU&amp;lang=en_US&amp;offset=0&amp;query=any,contains,991003273769702656","Catalog Record")</f>
        <v/>
      </c>
      <c r="AV269">
        <f>HYPERLINK("http://www.worldcat.org/oclc/798633","WorldCat Record")</f>
        <v/>
      </c>
      <c r="AW269" t="inlineStr">
        <is>
          <t>4918798246:eng</t>
        </is>
      </c>
      <c r="AX269" t="inlineStr">
        <is>
          <t>798633</t>
        </is>
      </c>
      <c r="AY269" t="inlineStr">
        <is>
          <t>991003273769702656</t>
        </is>
      </c>
      <c r="AZ269" t="inlineStr">
        <is>
          <t>991003273769702656</t>
        </is>
      </c>
      <c r="BA269" t="inlineStr">
        <is>
          <t>2261349160002656</t>
        </is>
      </c>
      <c r="BB269" t="inlineStr">
        <is>
          <t>BOOK</t>
        </is>
      </c>
      <c r="BE269" t="inlineStr">
        <is>
          <t>32285000044569</t>
        </is>
      </c>
      <c r="BF269" t="inlineStr">
        <is>
          <t>893705076</t>
        </is>
      </c>
    </row>
    <row r="270">
      <c r="B270" t="inlineStr">
        <is>
          <t>CURAL</t>
        </is>
      </c>
      <c r="C270" t="inlineStr">
        <is>
          <t>SHELVES</t>
        </is>
      </c>
      <c r="D270" t="inlineStr">
        <is>
          <t>CS499.O36 D4</t>
        </is>
      </c>
      <c r="E270" t="inlineStr">
        <is>
          <t>0                      CS 0499000O  36                 D  4</t>
        </is>
      </c>
      <c r="F270" t="inlineStr">
        <is>
          <t>The O'Develins of Tyrone, the story of an Irish sept now represented by the families of Devlin, Develin, Develyn, Develon, and Devellen, by Joseph Chubb Develin.</t>
        </is>
      </c>
      <c r="H270" t="inlineStr">
        <is>
          <t>No</t>
        </is>
      </c>
      <c r="I270" t="inlineStr">
        <is>
          <t>1</t>
        </is>
      </c>
      <c r="J270" t="inlineStr">
        <is>
          <t>No</t>
        </is>
      </c>
      <c r="K270" t="inlineStr">
        <is>
          <t>No</t>
        </is>
      </c>
      <c r="L270" t="inlineStr">
        <is>
          <t>0</t>
        </is>
      </c>
      <c r="M270" t="inlineStr">
        <is>
          <t>Develin, Joseph Chubb, 1889-</t>
        </is>
      </c>
      <c r="N270" t="inlineStr">
        <is>
          <t>Rutland, Vt., The Tuttle Publishing Co., inc. [c1938]</t>
        </is>
      </c>
      <c r="O270" t="inlineStr">
        <is>
          <t>1938</t>
        </is>
      </c>
      <c r="Q270" t="inlineStr">
        <is>
          <t>eng</t>
        </is>
      </c>
      <c r="R270" t="inlineStr">
        <is>
          <t>vtu</t>
        </is>
      </c>
      <c r="T270" t="inlineStr">
        <is>
          <t xml:space="preserve">CS </t>
        </is>
      </c>
      <c r="U270" t="n">
        <v>1</v>
      </c>
      <c r="V270" t="n">
        <v>1</v>
      </c>
      <c r="W270" t="inlineStr">
        <is>
          <t>2006-04-20</t>
        </is>
      </c>
      <c r="X270" t="inlineStr">
        <is>
          <t>2006-04-20</t>
        </is>
      </c>
      <c r="Y270" t="inlineStr">
        <is>
          <t>1992-04-13</t>
        </is>
      </c>
      <c r="Z270" t="inlineStr">
        <is>
          <t>1992-04-13</t>
        </is>
      </c>
      <c r="AA270" t="n">
        <v>150</v>
      </c>
      <c r="AB270" t="n">
        <v>141</v>
      </c>
      <c r="AC270" t="n">
        <v>148</v>
      </c>
      <c r="AD270" t="n">
        <v>3</v>
      </c>
      <c r="AE270" t="n">
        <v>3</v>
      </c>
      <c r="AF270" t="n">
        <v>12</v>
      </c>
      <c r="AG270" t="n">
        <v>12</v>
      </c>
      <c r="AH270" t="n">
        <v>1</v>
      </c>
      <c r="AI270" t="n">
        <v>1</v>
      </c>
      <c r="AJ270" t="n">
        <v>3</v>
      </c>
      <c r="AK270" t="n">
        <v>3</v>
      </c>
      <c r="AL270" t="n">
        <v>10</v>
      </c>
      <c r="AM270" t="n">
        <v>10</v>
      </c>
      <c r="AN270" t="n">
        <v>0</v>
      </c>
      <c r="AO270" t="n">
        <v>0</v>
      </c>
      <c r="AP270" t="n">
        <v>0</v>
      </c>
      <c r="AQ270" t="n">
        <v>0</v>
      </c>
      <c r="AR270" t="inlineStr">
        <is>
          <t>Yes</t>
        </is>
      </c>
      <c r="AS270" t="inlineStr">
        <is>
          <t>No</t>
        </is>
      </c>
      <c r="AT270">
        <f>HYPERLINK("http://catalog.hathitrust.org/Record/001597981","HathiTrust Record")</f>
        <v/>
      </c>
      <c r="AU270">
        <f>HYPERLINK("https://creighton-primo.hosted.exlibrisgroup.com/primo-explore/search?tab=default_tab&amp;search_scope=EVERYTHING&amp;vid=01CRU&amp;lang=en_US&amp;offset=0&amp;query=any,contains,991003811329702656","Catalog Record")</f>
        <v/>
      </c>
      <c r="AV270">
        <f>HYPERLINK("http://www.worldcat.org/oclc/1539047","WorldCat Record")</f>
        <v/>
      </c>
      <c r="AW270" t="inlineStr">
        <is>
          <t>935391990:eng</t>
        </is>
      </c>
      <c r="AX270" t="inlineStr">
        <is>
          <t>1539047</t>
        </is>
      </c>
      <c r="AY270" t="inlineStr">
        <is>
          <t>991003811329702656</t>
        </is>
      </c>
      <c r="AZ270" t="inlineStr">
        <is>
          <t>991003811329702656</t>
        </is>
      </c>
      <c r="BA270" t="inlineStr">
        <is>
          <t>2258186920002656</t>
        </is>
      </c>
      <c r="BB270" t="inlineStr">
        <is>
          <t>BOOK</t>
        </is>
      </c>
      <c r="BE270" t="inlineStr">
        <is>
          <t>32285001052389</t>
        </is>
      </c>
      <c r="BF270" t="inlineStr">
        <is>
          <t>893693179</t>
        </is>
      </c>
    </row>
    <row r="271">
      <c r="B271" t="inlineStr">
        <is>
          <t>CURAL</t>
        </is>
      </c>
      <c r="C271" t="inlineStr">
        <is>
          <t>SHELVES</t>
        </is>
      </c>
      <c r="D271" t="inlineStr">
        <is>
          <t>CS614 .B39 2001</t>
        </is>
      </c>
      <c r="E271" t="inlineStr">
        <is>
          <t>0                      CS 0614000B  39          2001</t>
        </is>
      </c>
      <c r="F271" t="inlineStr">
        <is>
          <t>In search of your German roots : a complete guide to tracing your ancestors in the Germanic areas of Europe / Angus Baxter.</t>
        </is>
      </c>
      <c r="H271" t="inlineStr">
        <is>
          <t>No</t>
        </is>
      </c>
      <c r="I271" t="inlineStr">
        <is>
          <t>1</t>
        </is>
      </c>
      <c r="J271" t="inlineStr">
        <is>
          <t>No</t>
        </is>
      </c>
      <c r="K271" t="inlineStr">
        <is>
          <t>No</t>
        </is>
      </c>
      <c r="L271" t="inlineStr">
        <is>
          <t>0</t>
        </is>
      </c>
      <c r="M271" t="inlineStr">
        <is>
          <t>Baxter, Angus, 1912-</t>
        </is>
      </c>
      <c r="N271" t="inlineStr">
        <is>
          <t>Baltimore, MD : Genealogical Pub., c2001.</t>
        </is>
      </c>
      <c r="O271" t="inlineStr">
        <is>
          <t>2001</t>
        </is>
      </c>
      <c r="P271" t="inlineStr">
        <is>
          <t>4th ed.</t>
        </is>
      </c>
      <c r="Q271" t="inlineStr">
        <is>
          <t>eng</t>
        </is>
      </c>
      <c r="R271" t="inlineStr">
        <is>
          <t>mdu</t>
        </is>
      </c>
      <c r="T271" t="inlineStr">
        <is>
          <t xml:space="preserve">CS </t>
        </is>
      </c>
      <c r="U271" t="n">
        <v>5</v>
      </c>
      <c r="V271" t="n">
        <v>5</v>
      </c>
      <c r="W271" t="inlineStr">
        <is>
          <t>2005-03-16</t>
        </is>
      </c>
      <c r="X271" t="inlineStr">
        <is>
          <t>2005-03-16</t>
        </is>
      </c>
      <c r="Y271" t="inlineStr">
        <is>
          <t>2004-10-11</t>
        </is>
      </c>
      <c r="Z271" t="inlineStr">
        <is>
          <t>2004-10-11</t>
        </is>
      </c>
      <c r="AA271" t="n">
        <v>325</v>
      </c>
      <c r="AB271" t="n">
        <v>300</v>
      </c>
      <c r="AC271" t="n">
        <v>1292</v>
      </c>
      <c r="AD271" t="n">
        <v>3</v>
      </c>
      <c r="AE271" t="n">
        <v>15</v>
      </c>
      <c r="AF271" t="n">
        <v>0</v>
      </c>
      <c r="AG271" t="n">
        <v>7</v>
      </c>
      <c r="AH271" t="n">
        <v>0</v>
      </c>
      <c r="AI271" t="n">
        <v>2</v>
      </c>
      <c r="AJ271" t="n">
        <v>0</v>
      </c>
      <c r="AK271" t="n">
        <v>2</v>
      </c>
      <c r="AL271" t="n">
        <v>0</v>
      </c>
      <c r="AM271" t="n">
        <v>2</v>
      </c>
      <c r="AN271" t="n">
        <v>0</v>
      </c>
      <c r="AO271" t="n">
        <v>2</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HYPERLINK("https://creighton-primo.hosted.exlibrisgroup.com/primo-explore/search?tab=default_tab&amp;search_scope=EVERYTHING&amp;vid=01CRU&amp;lang=en_US&amp;offset=0&amp;query=any,contains,991004349219702656","Catalog Record")</f>
        <v/>
      </c>
      <c r="AV271">
        <f>HYPERLINK("http://www.worldcat.org/oclc/46315613","WorldCat Record")</f>
        <v/>
      </c>
      <c r="AW271" t="inlineStr">
        <is>
          <t>6385426:eng</t>
        </is>
      </c>
      <c r="AX271" t="inlineStr">
        <is>
          <t>46315613</t>
        </is>
      </c>
      <c r="AY271" t="inlineStr">
        <is>
          <t>991004349219702656</t>
        </is>
      </c>
      <c r="AZ271" t="inlineStr">
        <is>
          <t>991004349219702656</t>
        </is>
      </c>
      <c r="BA271" t="inlineStr">
        <is>
          <t>2260446710002656</t>
        </is>
      </c>
      <c r="BB271" t="inlineStr">
        <is>
          <t>BOOK</t>
        </is>
      </c>
      <c r="BD271" t="inlineStr">
        <is>
          <t>9780806316567</t>
        </is>
      </c>
      <c r="BE271" t="inlineStr">
        <is>
          <t>32285005003255</t>
        </is>
      </c>
      <c r="BF271" t="inlineStr">
        <is>
          <t>893337616</t>
        </is>
      </c>
    </row>
    <row r="272">
      <c r="B272" t="inlineStr">
        <is>
          <t>CURAL</t>
        </is>
      </c>
      <c r="C272" t="inlineStr">
        <is>
          <t>SHELVES</t>
        </is>
      </c>
      <c r="D272" t="inlineStr">
        <is>
          <t>CS71 .C624 1969</t>
        </is>
      </c>
      <c r="E272" t="inlineStr">
        <is>
          <t>0                      CS 0071000C  624         1969</t>
        </is>
      </c>
      <c r="F272" t="inlineStr">
        <is>
          <t>Mark Twain's relatives. Compiled by P. O. Selby.</t>
        </is>
      </c>
      <c r="H272" t="inlineStr">
        <is>
          <t>No</t>
        </is>
      </c>
      <c r="I272" t="inlineStr">
        <is>
          <t>1</t>
        </is>
      </c>
      <c r="J272" t="inlineStr">
        <is>
          <t>No</t>
        </is>
      </c>
      <c r="K272" t="inlineStr">
        <is>
          <t>No</t>
        </is>
      </c>
      <c r="L272" t="inlineStr">
        <is>
          <t>0</t>
        </is>
      </c>
      <c r="M272" t="inlineStr">
        <is>
          <t>Selby, P. O. (Paul Owen), 1890-</t>
        </is>
      </c>
      <c r="N272" t="inlineStr">
        <is>
          <t>Kirksville, Missouriana Library, Northeast Missouri State College, 1969.</t>
        </is>
      </c>
      <c r="O272" t="inlineStr">
        <is>
          <t>1969</t>
        </is>
      </c>
      <c r="Q272" t="inlineStr">
        <is>
          <t>eng</t>
        </is>
      </c>
      <c r="R272" t="inlineStr">
        <is>
          <t>mou</t>
        </is>
      </c>
      <c r="T272" t="inlineStr">
        <is>
          <t xml:space="preserve">CS </t>
        </is>
      </c>
      <c r="U272" t="n">
        <v>1</v>
      </c>
      <c r="V272" t="n">
        <v>1</v>
      </c>
      <c r="W272" t="inlineStr">
        <is>
          <t>2008-10-22</t>
        </is>
      </c>
      <c r="X272" t="inlineStr">
        <is>
          <t>2008-10-22</t>
        </is>
      </c>
      <c r="Y272" t="inlineStr">
        <is>
          <t>1996-08-21</t>
        </is>
      </c>
      <c r="Z272" t="inlineStr">
        <is>
          <t>1996-08-21</t>
        </is>
      </c>
      <c r="AA272" t="n">
        <v>63</v>
      </c>
      <c r="AB272" t="n">
        <v>62</v>
      </c>
      <c r="AC272" t="n">
        <v>64</v>
      </c>
      <c r="AD272" t="n">
        <v>2</v>
      </c>
      <c r="AE272" t="n">
        <v>2</v>
      </c>
      <c r="AF272" t="n">
        <v>3</v>
      </c>
      <c r="AG272" t="n">
        <v>3</v>
      </c>
      <c r="AH272" t="n">
        <v>1</v>
      </c>
      <c r="AI272" t="n">
        <v>1</v>
      </c>
      <c r="AJ272" t="n">
        <v>1</v>
      </c>
      <c r="AK272" t="n">
        <v>1</v>
      </c>
      <c r="AL272" t="n">
        <v>1</v>
      </c>
      <c r="AM272" t="n">
        <v>1</v>
      </c>
      <c r="AN272" t="n">
        <v>1</v>
      </c>
      <c r="AO272" t="n">
        <v>1</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HYPERLINK("https://creighton-primo.hosted.exlibrisgroup.com/primo-explore/search?tab=default_tab&amp;search_scope=EVERYTHING&amp;vid=01CRU&amp;lang=en_US&amp;offset=0&amp;query=any,contains,991000000629702656","Catalog Record")</f>
        <v/>
      </c>
      <c r="AV272">
        <f>HYPERLINK("http://www.worldcat.org/oclc/8623","WorldCat Record")</f>
        <v/>
      </c>
      <c r="AW272" t="inlineStr">
        <is>
          <t>1131836:eng</t>
        </is>
      </c>
      <c r="AX272" t="inlineStr">
        <is>
          <t>8623</t>
        </is>
      </c>
      <c r="AY272" t="inlineStr">
        <is>
          <t>991000000629702656</t>
        </is>
      </c>
      <c r="AZ272" t="inlineStr">
        <is>
          <t>991000000629702656</t>
        </is>
      </c>
      <c r="BA272" t="inlineStr">
        <is>
          <t>2268060750002656</t>
        </is>
      </c>
      <c r="BB272" t="inlineStr">
        <is>
          <t>BOOK</t>
        </is>
      </c>
      <c r="BE272" t="inlineStr">
        <is>
          <t>32285002278306</t>
        </is>
      </c>
      <c r="BF272" t="inlineStr">
        <is>
          <t>893351385</t>
        </is>
      </c>
    </row>
    <row r="273">
      <c r="B273" t="inlineStr">
        <is>
          <t>CURAL</t>
        </is>
      </c>
      <c r="C273" t="inlineStr">
        <is>
          <t>SHELVES</t>
        </is>
      </c>
      <c r="D273" t="inlineStr">
        <is>
          <t>CS71 .N929 2001</t>
        </is>
      </c>
      <c r="E273" t="inlineStr">
        <is>
          <t>0                      CS 0071000N  929         2001</t>
        </is>
      </c>
      <c r="F273" t="inlineStr">
        <is>
          <t>Tu origen francés / de Odile Nouel Jennings ; traducción libre al español de ... Luis José Prieto Nouel.</t>
        </is>
      </c>
      <c r="H273" t="inlineStr">
        <is>
          <t>No</t>
        </is>
      </c>
      <c r="I273" t="inlineStr">
        <is>
          <t>1</t>
        </is>
      </c>
      <c r="J273" t="inlineStr">
        <is>
          <t>No</t>
        </is>
      </c>
      <c r="K273" t="inlineStr">
        <is>
          <t>No</t>
        </is>
      </c>
      <c r="L273" t="inlineStr">
        <is>
          <t>0</t>
        </is>
      </c>
      <c r="M273" t="inlineStr">
        <is>
          <t>Jennings, Odile Nouel, 1932-</t>
        </is>
      </c>
      <c r="N273" t="inlineStr">
        <is>
          <t>[S.l. : s.n.], 2001</t>
        </is>
      </c>
      <c r="O273" t="inlineStr">
        <is>
          <t>2001</t>
        </is>
      </c>
      <c r="Q273" t="inlineStr">
        <is>
          <t>spa</t>
        </is>
      </c>
      <c r="R273" t="inlineStr">
        <is>
          <t xml:space="preserve">dr </t>
        </is>
      </c>
      <c r="S273" t="inlineStr">
        <is>
          <t>Serie traducciones ; v. 1</t>
        </is>
      </c>
      <c r="T273" t="inlineStr">
        <is>
          <t xml:space="preserve">CS </t>
        </is>
      </c>
      <c r="U273" t="n">
        <v>1</v>
      </c>
      <c r="V273" t="n">
        <v>1</v>
      </c>
      <c r="W273" t="inlineStr">
        <is>
          <t>2003-01-06</t>
        </is>
      </c>
      <c r="X273" t="inlineStr">
        <is>
          <t>2003-01-06</t>
        </is>
      </c>
      <c r="Y273" t="inlineStr">
        <is>
          <t>2003-01-06</t>
        </is>
      </c>
      <c r="Z273" t="inlineStr">
        <is>
          <t>2003-01-06</t>
        </is>
      </c>
      <c r="AA273" t="n">
        <v>5</v>
      </c>
      <c r="AB273" t="n">
        <v>5</v>
      </c>
      <c r="AC273" t="n">
        <v>5</v>
      </c>
      <c r="AD273" t="n">
        <v>1</v>
      </c>
      <c r="AE273" t="n">
        <v>1</v>
      </c>
      <c r="AF273" t="n">
        <v>0</v>
      </c>
      <c r="AG273" t="n">
        <v>0</v>
      </c>
      <c r="AH273" t="n">
        <v>0</v>
      </c>
      <c r="AI273" t="n">
        <v>0</v>
      </c>
      <c r="AJ273" t="n">
        <v>0</v>
      </c>
      <c r="AK273" t="n">
        <v>0</v>
      </c>
      <c r="AL273" t="n">
        <v>0</v>
      </c>
      <c r="AM273" t="n">
        <v>0</v>
      </c>
      <c r="AN273" t="n">
        <v>0</v>
      </c>
      <c r="AO273" t="n">
        <v>0</v>
      </c>
      <c r="AP273" t="n">
        <v>0</v>
      </c>
      <c r="AQ273" t="n">
        <v>0</v>
      </c>
      <c r="AR273" t="inlineStr">
        <is>
          <t>No</t>
        </is>
      </c>
      <c r="AS273" t="inlineStr">
        <is>
          <t>No</t>
        </is>
      </c>
      <c r="AU273">
        <f>HYPERLINK("https://creighton-primo.hosted.exlibrisgroup.com/primo-explore/search?tab=default_tab&amp;search_scope=EVERYTHING&amp;vid=01CRU&amp;lang=en_US&amp;offset=0&amp;query=any,contains,991003963939702656","Catalog Record")</f>
        <v/>
      </c>
      <c r="AV273">
        <f>HYPERLINK("http://www.worldcat.org/oclc/50925108","WorldCat Record")</f>
        <v/>
      </c>
      <c r="AW273" t="inlineStr">
        <is>
          <t>7733971:spa</t>
        </is>
      </c>
      <c r="AX273" t="inlineStr">
        <is>
          <t>50925108</t>
        </is>
      </c>
      <c r="AY273" t="inlineStr">
        <is>
          <t>991003963939702656</t>
        </is>
      </c>
      <c r="AZ273" t="inlineStr">
        <is>
          <t>991003963939702656</t>
        </is>
      </c>
      <c r="BA273" t="inlineStr">
        <is>
          <t>2271900620002656</t>
        </is>
      </c>
      <c r="BB273" t="inlineStr">
        <is>
          <t>BOOK</t>
        </is>
      </c>
      <c r="BE273" t="inlineStr">
        <is>
          <t>32285004691241</t>
        </is>
      </c>
      <c r="BF273" t="inlineStr">
        <is>
          <t>893343303</t>
        </is>
      </c>
    </row>
    <row r="274">
      <c r="B274" t="inlineStr">
        <is>
          <t>CURAL</t>
        </is>
      </c>
      <c r="C274" t="inlineStr">
        <is>
          <t>SHELVES</t>
        </is>
      </c>
      <c r="D274" t="inlineStr">
        <is>
          <t>CS71 .P35 1949</t>
        </is>
      </c>
      <c r="E274" t="inlineStr">
        <is>
          <t>0                      CS 0071000P  35          1949</t>
        </is>
      </c>
      <c r="F274" t="inlineStr">
        <is>
          <t>The Peabody sisters of Salem / by Lousie Hall THorp.</t>
        </is>
      </c>
      <c r="H274" t="inlineStr">
        <is>
          <t>No</t>
        </is>
      </c>
      <c r="I274" t="inlineStr">
        <is>
          <t>1</t>
        </is>
      </c>
      <c r="J274" t="inlineStr">
        <is>
          <t>No</t>
        </is>
      </c>
      <c r="K274" t="inlineStr">
        <is>
          <t>No</t>
        </is>
      </c>
      <c r="L274" t="inlineStr">
        <is>
          <t>0</t>
        </is>
      </c>
      <c r="M274" t="inlineStr">
        <is>
          <t>Tharp, Louise Hall, 1898-1992.</t>
        </is>
      </c>
      <c r="N274" t="inlineStr">
        <is>
          <t>Boston : Little, Brown and Company, 1950.</t>
        </is>
      </c>
      <c r="O274" t="inlineStr">
        <is>
          <t>1950</t>
        </is>
      </c>
      <c r="P274" t="inlineStr">
        <is>
          <t>[1st ed.]</t>
        </is>
      </c>
      <c r="Q274" t="inlineStr">
        <is>
          <t>eng</t>
        </is>
      </c>
      <c r="R274" t="inlineStr">
        <is>
          <t>mau</t>
        </is>
      </c>
      <c r="T274" t="inlineStr">
        <is>
          <t xml:space="preserve">CS </t>
        </is>
      </c>
      <c r="U274" t="n">
        <v>1</v>
      </c>
      <c r="V274" t="n">
        <v>1</v>
      </c>
      <c r="W274" t="inlineStr">
        <is>
          <t>2002-10-04</t>
        </is>
      </c>
      <c r="X274" t="inlineStr">
        <is>
          <t>2002-10-04</t>
        </is>
      </c>
      <c r="Y274" t="inlineStr">
        <is>
          <t>1996-08-21</t>
        </is>
      </c>
      <c r="Z274" t="inlineStr">
        <is>
          <t>1996-08-21</t>
        </is>
      </c>
      <c r="AA274" t="n">
        <v>1710</v>
      </c>
      <c r="AB274" t="n">
        <v>1629</v>
      </c>
      <c r="AC274" t="n">
        <v>1796</v>
      </c>
      <c r="AD274" t="n">
        <v>13</v>
      </c>
      <c r="AE274" t="n">
        <v>14</v>
      </c>
      <c r="AF274" t="n">
        <v>48</v>
      </c>
      <c r="AG274" t="n">
        <v>49</v>
      </c>
      <c r="AH274" t="n">
        <v>19</v>
      </c>
      <c r="AI274" t="n">
        <v>20</v>
      </c>
      <c r="AJ274" t="n">
        <v>8</v>
      </c>
      <c r="AK274" t="n">
        <v>9</v>
      </c>
      <c r="AL274" t="n">
        <v>21</v>
      </c>
      <c r="AM274" t="n">
        <v>21</v>
      </c>
      <c r="AN274" t="n">
        <v>9</v>
      </c>
      <c r="AO274" t="n">
        <v>9</v>
      </c>
      <c r="AP274" t="n">
        <v>0</v>
      </c>
      <c r="AQ274" t="n">
        <v>0</v>
      </c>
      <c r="AR274" t="inlineStr">
        <is>
          <t>No</t>
        </is>
      </c>
      <c r="AS274" t="inlineStr">
        <is>
          <t>No</t>
        </is>
      </c>
      <c r="AT274">
        <f>HYPERLINK("http://catalog.hathitrust.org/Record/001597753","HathiTrust Record")</f>
        <v/>
      </c>
      <c r="AU274">
        <f>HYPERLINK("https://creighton-primo.hosted.exlibrisgroup.com/primo-explore/search?tab=default_tab&amp;search_scope=EVERYTHING&amp;vid=01CRU&amp;lang=en_US&amp;offset=0&amp;query=any,contains,991002421669702656","Catalog Record")</f>
        <v/>
      </c>
      <c r="AV274">
        <f>HYPERLINK("http://www.worldcat.org/oclc/343120","WorldCat Record")</f>
        <v/>
      </c>
      <c r="AW274" t="inlineStr">
        <is>
          <t>1484620:eng</t>
        </is>
      </c>
      <c r="AX274" t="inlineStr">
        <is>
          <t>343120</t>
        </is>
      </c>
      <c r="AY274" t="inlineStr">
        <is>
          <t>991002421669702656</t>
        </is>
      </c>
      <c r="AZ274" t="inlineStr">
        <is>
          <t>991002421669702656</t>
        </is>
      </c>
      <c r="BA274" t="inlineStr">
        <is>
          <t>2264858550002656</t>
        </is>
      </c>
      <c r="BB274" t="inlineStr">
        <is>
          <t>BOOK</t>
        </is>
      </c>
      <c r="BE274" t="inlineStr">
        <is>
          <t>32285002278447</t>
        </is>
      </c>
      <c r="BF274" t="inlineStr">
        <is>
          <t>893504372</t>
        </is>
      </c>
    </row>
    <row r="275">
      <c r="B275" t="inlineStr">
        <is>
          <t>CURAL</t>
        </is>
      </c>
      <c r="C275" t="inlineStr">
        <is>
          <t>SHELVES</t>
        </is>
      </c>
      <c r="D275" t="inlineStr">
        <is>
          <t>CS71 .V228 1975</t>
        </is>
      </c>
      <c r="E275" t="inlineStr">
        <is>
          <t>0                      CS 0071000V  228         1975</t>
        </is>
      </c>
      <c r="F275" t="inlineStr">
        <is>
          <t>The Vanderbilts and the story of their fortune / William A. Croffut.</t>
        </is>
      </c>
      <c r="H275" t="inlineStr">
        <is>
          <t>No</t>
        </is>
      </c>
      <c r="I275" t="inlineStr">
        <is>
          <t>1</t>
        </is>
      </c>
      <c r="J275" t="inlineStr">
        <is>
          <t>No</t>
        </is>
      </c>
      <c r="K275" t="inlineStr">
        <is>
          <t>No</t>
        </is>
      </c>
      <c r="L275" t="inlineStr">
        <is>
          <t>0</t>
        </is>
      </c>
      <c r="M275" t="inlineStr">
        <is>
          <t>Croffut, W. A. (William Augustus), 1835-1915.</t>
        </is>
      </c>
      <c r="N275" t="inlineStr">
        <is>
          <t>New York : Arno Press, 1975 [c1886]</t>
        </is>
      </c>
      <c r="O275" t="inlineStr">
        <is>
          <t>1975</t>
        </is>
      </c>
      <c r="Q275" t="inlineStr">
        <is>
          <t>eng</t>
        </is>
      </c>
      <c r="R275" t="inlineStr">
        <is>
          <t>nyu</t>
        </is>
      </c>
      <c r="S275" t="inlineStr">
        <is>
          <t>The Leisure class in America</t>
        </is>
      </c>
      <c r="T275" t="inlineStr">
        <is>
          <t xml:space="preserve">CS </t>
        </is>
      </c>
      <c r="U275" t="n">
        <v>5</v>
      </c>
      <c r="V275" t="n">
        <v>5</v>
      </c>
      <c r="W275" t="inlineStr">
        <is>
          <t>2002-11-15</t>
        </is>
      </c>
      <c r="X275" t="inlineStr">
        <is>
          <t>2002-11-15</t>
        </is>
      </c>
      <c r="Y275" t="inlineStr">
        <is>
          <t>1996-08-21</t>
        </is>
      </c>
      <c r="Z275" t="inlineStr">
        <is>
          <t>1996-08-21</t>
        </is>
      </c>
      <c r="AA275" t="n">
        <v>97</v>
      </c>
      <c r="AB275" t="n">
        <v>91</v>
      </c>
      <c r="AC275" t="n">
        <v>317</v>
      </c>
      <c r="AD275" t="n">
        <v>2</v>
      </c>
      <c r="AE275" t="n">
        <v>3</v>
      </c>
      <c r="AF275" t="n">
        <v>5</v>
      </c>
      <c r="AG275" t="n">
        <v>11</v>
      </c>
      <c r="AH275" t="n">
        <v>1</v>
      </c>
      <c r="AI275" t="n">
        <v>3</v>
      </c>
      <c r="AJ275" t="n">
        <v>0</v>
      </c>
      <c r="AK275" t="n">
        <v>2</v>
      </c>
      <c r="AL275" t="n">
        <v>3</v>
      </c>
      <c r="AM275" t="n">
        <v>4</v>
      </c>
      <c r="AN275" t="n">
        <v>1</v>
      </c>
      <c r="AO275" t="n">
        <v>2</v>
      </c>
      <c r="AP275" t="n">
        <v>0</v>
      </c>
      <c r="AQ275" t="n">
        <v>0</v>
      </c>
      <c r="AR275" t="inlineStr">
        <is>
          <t>No</t>
        </is>
      </c>
      <c r="AS275" t="inlineStr">
        <is>
          <t>Yes</t>
        </is>
      </c>
      <c r="AT275">
        <f>HYPERLINK("http://catalog.hathitrust.org/Record/005773328","HathiTrust Record")</f>
        <v/>
      </c>
      <c r="AU275">
        <f>HYPERLINK("https://creighton-primo.hosted.exlibrisgroup.com/primo-explore/search?tab=default_tab&amp;search_scope=EVERYTHING&amp;vid=01CRU&amp;lang=en_US&amp;offset=0&amp;query=any,contains,991003937339702656","Catalog Record")</f>
        <v/>
      </c>
      <c r="AV275">
        <f>HYPERLINK("http://www.worldcat.org/oclc/1918785","WorldCat Record")</f>
        <v/>
      </c>
      <c r="AW275" t="inlineStr">
        <is>
          <t>2044395:eng</t>
        </is>
      </c>
      <c r="AX275" t="inlineStr">
        <is>
          <t>1918785</t>
        </is>
      </c>
      <c r="AY275" t="inlineStr">
        <is>
          <t>991003937339702656</t>
        </is>
      </c>
      <c r="AZ275" t="inlineStr">
        <is>
          <t>991003937339702656</t>
        </is>
      </c>
      <c r="BA275" t="inlineStr">
        <is>
          <t>2258748200002656</t>
        </is>
      </c>
      <c r="BB275" t="inlineStr">
        <is>
          <t>BOOK</t>
        </is>
      </c>
      <c r="BD275" t="inlineStr">
        <is>
          <t>9780405069062</t>
        </is>
      </c>
      <c r="BE275" t="inlineStr">
        <is>
          <t>32285002278488</t>
        </is>
      </c>
      <c r="BF275" t="inlineStr">
        <is>
          <t>893699615</t>
        </is>
      </c>
    </row>
    <row r="276">
      <c r="B276" t="inlineStr">
        <is>
          <t>CURAL</t>
        </is>
      </c>
      <c r="C276" t="inlineStr">
        <is>
          <t>SHELVES</t>
        </is>
      </c>
      <c r="D276" t="inlineStr">
        <is>
          <t>CS71 .W26 1956</t>
        </is>
      </c>
      <c r="E276" t="inlineStr">
        <is>
          <t>0                      CS 0071000W  26          1956</t>
        </is>
      </c>
      <c r="F276" t="inlineStr">
        <is>
          <t>Three saints and a sinner: Julia Ward Howe, Louisa, Annie, Sam Ward.</t>
        </is>
      </c>
      <c r="H276" t="inlineStr">
        <is>
          <t>No</t>
        </is>
      </c>
      <c r="I276" t="inlineStr">
        <is>
          <t>1</t>
        </is>
      </c>
      <c r="J276" t="inlineStr">
        <is>
          <t>No</t>
        </is>
      </c>
      <c r="K276" t="inlineStr">
        <is>
          <t>No</t>
        </is>
      </c>
      <c r="L276" t="inlineStr">
        <is>
          <t>0</t>
        </is>
      </c>
      <c r="M276" t="inlineStr">
        <is>
          <t>Tharp, Louise Hall, 1898-1992.</t>
        </is>
      </c>
      <c r="N276" t="inlineStr">
        <is>
          <t>Boston, Little, Brown [1956]</t>
        </is>
      </c>
      <c r="O276" t="inlineStr">
        <is>
          <t>1956</t>
        </is>
      </c>
      <c r="P276" t="inlineStr">
        <is>
          <t>[1st ed.]</t>
        </is>
      </c>
      <c r="Q276" t="inlineStr">
        <is>
          <t>eng</t>
        </is>
      </c>
      <c r="R276" t="inlineStr">
        <is>
          <t>mau</t>
        </is>
      </c>
      <c r="T276" t="inlineStr">
        <is>
          <t xml:space="preserve">CS </t>
        </is>
      </c>
      <c r="U276" t="n">
        <v>5</v>
      </c>
      <c r="V276" t="n">
        <v>5</v>
      </c>
      <c r="W276" t="inlineStr">
        <is>
          <t>2004-03-04</t>
        </is>
      </c>
      <c r="X276" t="inlineStr">
        <is>
          <t>2004-03-04</t>
        </is>
      </c>
      <c r="Y276" t="inlineStr">
        <is>
          <t>1996-08-21</t>
        </is>
      </c>
      <c r="Z276" t="inlineStr">
        <is>
          <t>1996-08-21</t>
        </is>
      </c>
      <c r="AA276" t="n">
        <v>1123</v>
      </c>
      <c r="AB276" t="n">
        <v>1090</v>
      </c>
      <c r="AC276" t="n">
        <v>1114</v>
      </c>
      <c r="AD276" t="n">
        <v>10</v>
      </c>
      <c r="AE276" t="n">
        <v>10</v>
      </c>
      <c r="AF276" t="n">
        <v>30</v>
      </c>
      <c r="AG276" t="n">
        <v>32</v>
      </c>
      <c r="AH276" t="n">
        <v>9</v>
      </c>
      <c r="AI276" t="n">
        <v>10</v>
      </c>
      <c r="AJ276" t="n">
        <v>6</v>
      </c>
      <c r="AK276" t="n">
        <v>7</v>
      </c>
      <c r="AL276" t="n">
        <v>17</v>
      </c>
      <c r="AM276" t="n">
        <v>17</v>
      </c>
      <c r="AN276" t="n">
        <v>6</v>
      </c>
      <c r="AO276" t="n">
        <v>6</v>
      </c>
      <c r="AP276" t="n">
        <v>1</v>
      </c>
      <c r="AQ276" t="n">
        <v>1</v>
      </c>
      <c r="AR276" t="inlineStr">
        <is>
          <t>No</t>
        </is>
      </c>
      <c r="AS276" t="inlineStr">
        <is>
          <t>No</t>
        </is>
      </c>
      <c r="AT276">
        <f>HYPERLINK("http://catalog.hathitrust.org/Record/001597788","HathiTrust Record")</f>
        <v/>
      </c>
      <c r="AU276">
        <f>HYPERLINK("https://creighton-primo.hosted.exlibrisgroup.com/primo-explore/search?tab=default_tab&amp;search_scope=EVERYTHING&amp;vid=01CRU&amp;lang=en_US&amp;offset=0&amp;query=any,contains,991002661739702656","Catalog Record")</f>
        <v/>
      </c>
      <c r="AV276">
        <f>HYPERLINK("http://www.worldcat.org/oclc/391740","WorldCat Record")</f>
        <v/>
      </c>
      <c r="AW276" t="inlineStr">
        <is>
          <t>314240862:eng</t>
        </is>
      </c>
      <c r="AX276" t="inlineStr">
        <is>
          <t>391740</t>
        </is>
      </c>
      <c r="AY276" t="inlineStr">
        <is>
          <t>991002661739702656</t>
        </is>
      </c>
      <c r="AZ276" t="inlineStr">
        <is>
          <t>991002661739702656</t>
        </is>
      </c>
      <c r="BA276" t="inlineStr">
        <is>
          <t>2260680770002656</t>
        </is>
      </c>
      <c r="BB276" t="inlineStr">
        <is>
          <t>BOOK</t>
        </is>
      </c>
      <c r="BE276" t="inlineStr">
        <is>
          <t>32285002278496</t>
        </is>
      </c>
      <c r="BF276" t="inlineStr">
        <is>
          <t>893335553</t>
        </is>
      </c>
    </row>
    <row r="277">
      <c r="B277" t="inlineStr">
        <is>
          <t>CURAL</t>
        </is>
      </c>
      <c r="C277" t="inlineStr">
        <is>
          <t>SHELVES</t>
        </is>
      </c>
      <c r="D277" t="inlineStr">
        <is>
          <t>CS71.C317 1979</t>
        </is>
      </c>
      <c r="E277" t="inlineStr">
        <is>
          <t>0                      CS 0071000C  317         1979</t>
        </is>
      </c>
      <c r="F277" t="inlineStr">
        <is>
          <t>Daniel Carroll II, one man and his descendants, 1730-1978 / M. Virgina Geiger.</t>
        </is>
      </c>
      <c r="H277" t="inlineStr">
        <is>
          <t>No</t>
        </is>
      </c>
      <c r="I277" t="inlineStr">
        <is>
          <t>1</t>
        </is>
      </c>
      <c r="J277" t="inlineStr">
        <is>
          <t>No</t>
        </is>
      </c>
      <c r="K277" t="inlineStr">
        <is>
          <t>No</t>
        </is>
      </c>
      <c r="L277" t="inlineStr">
        <is>
          <t>0</t>
        </is>
      </c>
      <c r="M277" t="inlineStr">
        <is>
          <t>Geiger, M. Virgina (Mary Virgina), 1915-</t>
        </is>
      </c>
      <c r="N277" t="inlineStr">
        <is>
          <t>[Baltimore] : Geiger, c1979.</t>
        </is>
      </c>
      <c r="O277" t="inlineStr">
        <is>
          <t>1979</t>
        </is>
      </c>
      <c r="Q277" t="inlineStr">
        <is>
          <t>eng</t>
        </is>
      </c>
      <c r="R277" t="inlineStr">
        <is>
          <t>mdu</t>
        </is>
      </c>
      <c r="T277" t="inlineStr">
        <is>
          <t xml:space="preserve">CS </t>
        </is>
      </c>
      <c r="U277" t="n">
        <v>2</v>
      </c>
      <c r="V277" t="n">
        <v>2</v>
      </c>
      <c r="W277" t="inlineStr">
        <is>
          <t>1997-11-26</t>
        </is>
      </c>
      <c r="X277" t="inlineStr">
        <is>
          <t>1997-11-26</t>
        </is>
      </c>
      <c r="Y277" t="inlineStr">
        <is>
          <t>1991-10-24</t>
        </is>
      </c>
      <c r="Z277" t="inlineStr">
        <is>
          <t>1991-10-24</t>
        </is>
      </c>
      <c r="AA277" t="n">
        <v>103</v>
      </c>
      <c r="AB277" t="n">
        <v>102</v>
      </c>
      <c r="AC277" t="n">
        <v>107</v>
      </c>
      <c r="AD277" t="n">
        <v>1</v>
      </c>
      <c r="AE277" t="n">
        <v>1</v>
      </c>
      <c r="AF277" t="n">
        <v>8</v>
      </c>
      <c r="AG277" t="n">
        <v>8</v>
      </c>
      <c r="AH277" t="n">
        <v>3</v>
      </c>
      <c r="AI277" t="n">
        <v>3</v>
      </c>
      <c r="AJ277" t="n">
        <v>2</v>
      </c>
      <c r="AK277" t="n">
        <v>2</v>
      </c>
      <c r="AL277" t="n">
        <v>6</v>
      </c>
      <c r="AM277" t="n">
        <v>6</v>
      </c>
      <c r="AN277" t="n">
        <v>0</v>
      </c>
      <c r="AO277" t="n">
        <v>0</v>
      </c>
      <c r="AP277" t="n">
        <v>0</v>
      </c>
      <c r="AQ277" t="n">
        <v>0</v>
      </c>
      <c r="AR277" t="inlineStr">
        <is>
          <t>No</t>
        </is>
      </c>
      <c r="AS277" t="inlineStr">
        <is>
          <t>Yes</t>
        </is>
      </c>
      <c r="AT277">
        <f>HYPERLINK("http://catalog.hathitrust.org/Record/005710953","HathiTrust Record")</f>
        <v/>
      </c>
      <c r="AU277">
        <f>HYPERLINK("https://creighton-primo.hosted.exlibrisgroup.com/primo-explore/search?tab=default_tab&amp;search_scope=EVERYTHING&amp;vid=01CRU&amp;lang=en_US&amp;offset=0&amp;query=any,contains,991004989239702656","Catalog Record")</f>
        <v/>
      </c>
      <c r="AV277">
        <f>HYPERLINK("http://www.worldcat.org/oclc/6485523","WorldCat Record")</f>
        <v/>
      </c>
      <c r="AW277" t="inlineStr">
        <is>
          <t>22501581:eng</t>
        </is>
      </c>
      <c r="AX277" t="inlineStr">
        <is>
          <t>6485523</t>
        </is>
      </c>
      <c r="AY277" t="inlineStr">
        <is>
          <t>991004989239702656</t>
        </is>
      </c>
      <c r="AZ277" t="inlineStr">
        <is>
          <t>991004989239702656</t>
        </is>
      </c>
      <c r="BA277" t="inlineStr">
        <is>
          <t>2271904300002656</t>
        </is>
      </c>
      <c r="BB277" t="inlineStr">
        <is>
          <t>BOOK</t>
        </is>
      </c>
      <c r="BE277" t="inlineStr">
        <is>
          <t>32285000789395</t>
        </is>
      </c>
      <c r="BF277" t="inlineStr">
        <is>
          <t>893526744</t>
        </is>
      </c>
    </row>
    <row r="278">
      <c r="B278" t="inlineStr">
        <is>
          <t>CURAL</t>
        </is>
      </c>
      <c r="C278" t="inlineStr">
        <is>
          <t>SHELVES</t>
        </is>
      </c>
      <c r="D278" t="inlineStr">
        <is>
          <t>CS9 .U5 1919</t>
        </is>
      </c>
      <c r="E278" t="inlineStr">
        <is>
          <t>0                      CS 0009000U  5           1919</t>
        </is>
      </c>
      <c r="F278" t="inlineStr">
        <is>
          <t>American and English genealogies in the Library of Congress / comp. under the direction of the chief of the Catalogue division.</t>
        </is>
      </c>
      <c r="H278" t="inlineStr">
        <is>
          <t>No</t>
        </is>
      </c>
      <c r="I278" t="inlineStr">
        <is>
          <t>1</t>
        </is>
      </c>
      <c r="J278" t="inlineStr">
        <is>
          <t>No</t>
        </is>
      </c>
      <c r="K278" t="inlineStr">
        <is>
          <t>No</t>
        </is>
      </c>
      <c r="L278" t="inlineStr">
        <is>
          <t>0</t>
        </is>
      </c>
      <c r="M278" t="inlineStr">
        <is>
          <t>Library of Congress.</t>
        </is>
      </c>
      <c r="N278" t="inlineStr">
        <is>
          <t>Washington : Government Printing Office, 1919.</t>
        </is>
      </c>
      <c r="O278" t="inlineStr">
        <is>
          <t>1919</t>
        </is>
      </c>
      <c r="P278" t="inlineStr">
        <is>
          <t>2d ed.</t>
        </is>
      </c>
      <c r="Q278" t="inlineStr">
        <is>
          <t>eng</t>
        </is>
      </c>
      <c r="R278" t="inlineStr">
        <is>
          <t>___</t>
        </is>
      </c>
      <c r="T278" t="inlineStr">
        <is>
          <t xml:space="preserve">CS </t>
        </is>
      </c>
      <c r="U278" t="n">
        <v>3</v>
      </c>
      <c r="V278" t="n">
        <v>3</v>
      </c>
      <c r="W278" t="inlineStr">
        <is>
          <t>1994-07-05</t>
        </is>
      </c>
      <c r="X278" t="inlineStr">
        <is>
          <t>1994-07-05</t>
        </is>
      </c>
      <c r="Y278" t="inlineStr">
        <is>
          <t>1992-06-05</t>
        </is>
      </c>
      <c r="Z278" t="inlineStr">
        <is>
          <t>1992-06-05</t>
        </is>
      </c>
      <c r="AA278" t="n">
        <v>339</v>
      </c>
      <c r="AB278" t="n">
        <v>310</v>
      </c>
      <c r="AC278" t="n">
        <v>342</v>
      </c>
      <c r="AD278" t="n">
        <v>3</v>
      </c>
      <c r="AE278" t="n">
        <v>3</v>
      </c>
      <c r="AF278" t="n">
        <v>10</v>
      </c>
      <c r="AG278" t="n">
        <v>10</v>
      </c>
      <c r="AH278" t="n">
        <v>1</v>
      </c>
      <c r="AI278" t="n">
        <v>1</v>
      </c>
      <c r="AJ278" t="n">
        <v>2</v>
      </c>
      <c r="AK278" t="n">
        <v>2</v>
      </c>
      <c r="AL278" t="n">
        <v>6</v>
      </c>
      <c r="AM278" t="n">
        <v>6</v>
      </c>
      <c r="AN278" t="n">
        <v>1</v>
      </c>
      <c r="AO278" t="n">
        <v>1</v>
      </c>
      <c r="AP278" t="n">
        <v>0</v>
      </c>
      <c r="AQ278" t="n">
        <v>0</v>
      </c>
      <c r="AR278" t="inlineStr">
        <is>
          <t>Yes</t>
        </is>
      </c>
      <c r="AS278" t="inlineStr">
        <is>
          <t>No</t>
        </is>
      </c>
      <c r="AT278">
        <f>HYPERLINK("http://catalog.hathitrust.org/Record/102312212","HathiTrust Record")</f>
        <v/>
      </c>
      <c r="AU278">
        <f>HYPERLINK("https://creighton-primo.hosted.exlibrisgroup.com/primo-explore/search?tab=default_tab&amp;search_scope=EVERYTHING&amp;vid=01CRU&amp;lang=en_US&amp;offset=0&amp;query=any,contains,991002733149702656","Catalog Record")</f>
        <v/>
      </c>
      <c r="AV278">
        <f>HYPERLINK("http://www.worldcat.org/oclc/910421450","WorldCat Record")</f>
        <v/>
      </c>
      <c r="AW278" t="inlineStr">
        <is>
          <t>1491019:eng</t>
        </is>
      </c>
      <c r="AX278" t="inlineStr">
        <is>
          <t>910421450</t>
        </is>
      </c>
      <c r="AY278" t="inlineStr">
        <is>
          <t>991002733149702656</t>
        </is>
      </c>
      <c r="AZ278" t="inlineStr">
        <is>
          <t>991002733149702656</t>
        </is>
      </c>
      <c r="BA278" t="inlineStr">
        <is>
          <t>2260941870002656</t>
        </is>
      </c>
      <c r="BB278" t="inlineStr">
        <is>
          <t>BOOK</t>
        </is>
      </c>
      <c r="BE278" t="inlineStr">
        <is>
          <t>32285001144988</t>
        </is>
      </c>
      <c r="BF278" t="inlineStr">
        <is>
          <t>893409457</t>
        </is>
      </c>
    </row>
    <row r="279">
      <c r="B279" t="inlineStr">
        <is>
          <t>CURAL</t>
        </is>
      </c>
      <c r="C279" t="inlineStr">
        <is>
          <t>SHELVES</t>
        </is>
      </c>
      <c r="D279" t="inlineStr">
        <is>
          <t>CT1018.D74 A3</t>
        </is>
      </c>
      <c r="E279" t="inlineStr">
        <is>
          <t>0                      CT 1018000D  74                 A  3</t>
        </is>
      </c>
      <c r="F279" t="inlineStr">
        <is>
          <t>Raconte pas ta vie.</t>
        </is>
      </c>
      <c r="H279" t="inlineStr">
        <is>
          <t>No</t>
        </is>
      </c>
      <c r="I279" t="inlineStr">
        <is>
          <t>1</t>
        </is>
      </c>
      <c r="J279" t="inlineStr">
        <is>
          <t>No</t>
        </is>
      </c>
      <c r="K279" t="inlineStr">
        <is>
          <t>No</t>
        </is>
      </c>
      <c r="L279" t="inlineStr">
        <is>
          <t>0</t>
        </is>
      </c>
      <c r="M279" t="inlineStr">
        <is>
          <t>Duhamel, Marcel.</t>
        </is>
      </c>
      <c r="N279" t="inlineStr">
        <is>
          <t>[Paris] Mercure de France, 1972.</t>
        </is>
      </c>
      <c r="O279" t="inlineStr">
        <is>
          <t>1972</t>
        </is>
      </c>
      <c r="Q279" t="inlineStr">
        <is>
          <t>fre</t>
        </is>
      </c>
      <c r="R279" t="inlineStr">
        <is>
          <t xml:space="preserve">fr </t>
        </is>
      </c>
      <c r="T279" t="inlineStr">
        <is>
          <t xml:space="preserve">CT </t>
        </is>
      </c>
      <c r="U279" t="n">
        <v>2</v>
      </c>
      <c r="V279" t="n">
        <v>2</v>
      </c>
      <c r="W279" t="inlineStr">
        <is>
          <t>2010-01-06</t>
        </is>
      </c>
      <c r="X279" t="inlineStr">
        <is>
          <t>2010-01-06</t>
        </is>
      </c>
      <c r="Y279" t="inlineStr">
        <is>
          <t>1996-08-22</t>
        </is>
      </c>
      <c r="Z279" t="inlineStr">
        <is>
          <t>1996-08-22</t>
        </is>
      </c>
      <c r="AA279" t="n">
        <v>60</v>
      </c>
      <c r="AB279" t="n">
        <v>37</v>
      </c>
      <c r="AC279" t="n">
        <v>39</v>
      </c>
      <c r="AD279" t="n">
        <v>1</v>
      </c>
      <c r="AE279" t="n">
        <v>1</v>
      </c>
      <c r="AF279" t="n">
        <v>1</v>
      </c>
      <c r="AG279" t="n">
        <v>1</v>
      </c>
      <c r="AH279" t="n">
        <v>0</v>
      </c>
      <c r="AI279" t="n">
        <v>0</v>
      </c>
      <c r="AJ279" t="n">
        <v>0</v>
      </c>
      <c r="AK279" t="n">
        <v>0</v>
      </c>
      <c r="AL279" t="n">
        <v>1</v>
      </c>
      <c r="AM279" t="n">
        <v>1</v>
      </c>
      <c r="AN279" t="n">
        <v>0</v>
      </c>
      <c r="AO279" t="n">
        <v>0</v>
      </c>
      <c r="AP279" t="n">
        <v>0</v>
      </c>
      <c r="AQ279" t="n">
        <v>0</v>
      </c>
      <c r="AR279" t="inlineStr">
        <is>
          <t>No</t>
        </is>
      </c>
      <c r="AS279" t="inlineStr">
        <is>
          <t>Yes</t>
        </is>
      </c>
      <c r="AT279">
        <f>HYPERLINK("http://catalog.hathitrust.org/Record/001599023","HathiTrust Record")</f>
        <v/>
      </c>
      <c r="AU279">
        <f>HYPERLINK("https://creighton-primo.hosted.exlibrisgroup.com/primo-explore/search?tab=default_tab&amp;search_scope=EVERYTHING&amp;vid=01CRU&amp;lang=en_US&amp;offset=0&amp;query=any,contains,991003125819702656","Catalog Record")</f>
        <v/>
      </c>
      <c r="AV279">
        <f>HYPERLINK("http://www.worldcat.org/oclc/670234","WorldCat Record")</f>
        <v/>
      </c>
      <c r="AW279" t="inlineStr">
        <is>
          <t>1700061:fre</t>
        </is>
      </c>
      <c r="AX279" t="inlineStr">
        <is>
          <t>670234</t>
        </is>
      </c>
      <c r="AY279" t="inlineStr">
        <is>
          <t>991003125819702656</t>
        </is>
      </c>
      <c r="AZ279" t="inlineStr">
        <is>
          <t>991003125819702656</t>
        </is>
      </c>
      <c r="BA279" t="inlineStr">
        <is>
          <t>2266585660002656</t>
        </is>
      </c>
      <c r="BB279" t="inlineStr">
        <is>
          <t>BOOK</t>
        </is>
      </c>
      <c r="BE279" t="inlineStr">
        <is>
          <t>32285002286077</t>
        </is>
      </c>
      <c r="BF279" t="inlineStr">
        <is>
          <t>893434670</t>
        </is>
      </c>
    </row>
    <row r="280">
      <c r="B280" t="inlineStr">
        <is>
          <t>CURAL</t>
        </is>
      </c>
      <c r="C280" t="inlineStr">
        <is>
          <t>SHELVES</t>
        </is>
      </c>
      <c r="D280" t="inlineStr">
        <is>
          <t>CT1018.P35 A34</t>
        </is>
      </c>
      <c r="E280" t="inlineStr">
        <is>
          <t>0                      CT 1018000P  35                 A  34</t>
        </is>
      </c>
      <c r="F280" t="inlineStr">
        <is>
          <t>Tout m'est bonheur / Isabelle, comtesse de Paris.</t>
        </is>
      </c>
      <c r="H280" t="inlineStr">
        <is>
          <t>No</t>
        </is>
      </c>
      <c r="I280" t="inlineStr">
        <is>
          <t>1</t>
        </is>
      </c>
      <c r="J280" t="inlineStr">
        <is>
          <t>No</t>
        </is>
      </c>
      <c r="K280" t="inlineStr">
        <is>
          <t>No</t>
        </is>
      </c>
      <c r="L280" t="inlineStr">
        <is>
          <t>0</t>
        </is>
      </c>
      <c r="M280" t="inlineStr">
        <is>
          <t>Paris, Isabelle, comtesse de, 1911-2003.</t>
        </is>
      </c>
      <c r="N280" t="inlineStr">
        <is>
          <t>Paris : R. Laffont, c1978.</t>
        </is>
      </c>
      <c r="O280" t="inlineStr">
        <is>
          <t>1978</t>
        </is>
      </c>
      <c r="Q280" t="inlineStr">
        <is>
          <t>fre</t>
        </is>
      </c>
      <c r="R280" t="inlineStr">
        <is>
          <t xml:space="preserve">fr </t>
        </is>
      </c>
      <c r="S280" t="inlineStr">
        <is>
          <t>Collection Vécu</t>
        </is>
      </c>
      <c r="T280" t="inlineStr">
        <is>
          <t xml:space="preserve">CT </t>
        </is>
      </c>
      <c r="U280" t="n">
        <v>1</v>
      </c>
      <c r="V280" t="n">
        <v>1</v>
      </c>
      <c r="W280" t="inlineStr">
        <is>
          <t>2002-02-28</t>
        </is>
      </c>
      <c r="X280" t="inlineStr">
        <is>
          <t>2002-02-28</t>
        </is>
      </c>
      <c r="Y280" t="inlineStr">
        <is>
          <t>1992-06-10</t>
        </is>
      </c>
      <c r="Z280" t="inlineStr">
        <is>
          <t>1992-06-10</t>
        </is>
      </c>
      <c r="AA280" t="n">
        <v>45</v>
      </c>
      <c r="AB280" t="n">
        <v>29</v>
      </c>
      <c r="AC280" t="n">
        <v>33</v>
      </c>
      <c r="AD280" t="n">
        <v>1</v>
      </c>
      <c r="AE280" t="n">
        <v>1</v>
      </c>
      <c r="AF280" t="n">
        <v>2</v>
      </c>
      <c r="AG280" t="n">
        <v>2</v>
      </c>
      <c r="AH280" t="n">
        <v>0</v>
      </c>
      <c r="AI280" t="n">
        <v>0</v>
      </c>
      <c r="AJ280" t="n">
        <v>2</v>
      </c>
      <c r="AK280" t="n">
        <v>2</v>
      </c>
      <c r="AL280" t="n">
        <v>1</v>
      </c>
      <c r="AM280" t="n">
        <v>1</v>
      </c>
      <c r="AN280" t="n">
        <v>0</v>
      </c>
      <c r="AO280" t="n">
        <v>0</v>
      </c>
      <c r="AP280" t="n">
        <v>0</v>
      </c>
      <c r="AQ280" t="n">
        <v>0</v>
      </c>
      <c r="AR280" t="inlineStr">
        <is>
          <t>No</t>
        </is>
      </c>
      <c r="AS280" t="inlineStr">
        <is>
          <t>Yes</t>
        </is>
      </c>
      <c r="AT280">
        <f>HYPERLINK("http://catalog.hathitrust.org/Record/000718359","HathiTrust Record")</f>
        <v/>
      </c>
      <c r="AU280">
        <f>HYPERLINK("https://creighton-primo.hosted.exlibrisgroup.com/primo-explore/search?tab=default_tab&amp;search_scope=EVERYTHING&amp;vid=01CRU&amp;lang=en_US&amp;offset=0&amp;query=any,contains,991004772099702656","Catalog Record")</f>
        <v/>
      </c>
      <c r="AV280">
        <f>HYPERLINK("http://www.worldcat.org/oclc/5075796","WorldCat Record")</f>
        <v/>
      </c>
      <c r="AW280" t="inlineStr">
        <is>
          <t>4160230523:fre</t>
        </is>
      </c>
      <c r="AX280" t="inlineStr">
        <is>
          <t>5075796</t>
        </is>
      </c>
      <c r="AY280" t="inlineStr">
        <is>
          <t>991004772099702656</t>
        </is>
      </c>
      <c r="AZ280" t="inlineStr">
        <is>
          <t>991004772099702656</t>
        </is>
      </c>
      <c r="BA280" t="inlineStr">
        <is>
          <t>2262487520002656</t>
        </is>
      </c>
      <c r="BB280" t="inlineStr">
        <is>
          <t>BOOK</t>
        </is>
      </c>
      <c r="BD280" t="inlineStr">
        <is>
          <t>9782221001073</t>
        </is>
      </c>
      <c r="BE280" t="inlineStr">
        <is>
          <t>32285001166163</t>
        </is>
      </c>
      <c r="BF280" t="inlineStr">
        <is>
          <t>893526515</t>
        </is>
      </c>
    </row>
    <row r="281">
      <c r="B281" t="inlineStr">
        <is>
          <t>CURAL</t>
        </is>
      </c>
      <c r="C281" t="inlineStr">
        <is>
          <t>SHELVES</t>
        </is>
      </c>
      <c r="D281" t="inlineStr">
        <is>
          <t>CT104 .M29 1979b</t>
        </is>
      </c>
      <c r="E281" t="inlineStr">
        <is>
          <t>0                      CT 0104000M  29          1979b</t>
        </is>
      </c>
      <c r="F281" t="inlineStr">
        <is>
          <t>Makers of the Western tradition : portraits from history / J. Kelley Sowards, editor ; [cover design and illustrations: Rus Anderson].</t>
        </is>
      </c>
      <c r="G281" t="inlineStr">
        <is>
          <t>V. 2</t>
        </is>
      </c>
      <c r="H281" t="inlineStr">
        <is>
          <t>Yes</t>
        </is>
      </c>
      <c r="I281" t="inlineStr">
        <is>
          <t>1</t>
        </is>
      </c>
      <c r="J281" t="inlineStr">
        <is>
          <t>No</t>
        </is>
      </c>
      <c r="K281" t="inlineStr">
        <is>
          <t>No</t>
        </is>
      </c>
      <c r="L281" t="inlineStr">
        <is>
          <t>0</t>
        </is>
      </c>
      <c r="N281" t="inlineStr">
        <is>
          <t>New York : St. Martin's Press, c1979.</t>
        </is>
      </c>
      <c r="O281" t="inlineStr">
        <is>
          <t>1979</t>
        </is>
      </c>
      <c r="P281" t="inlineStr">
        <is>
          <t>2nd ed.</t>
        </is>
      </c>
      <c r="Q281" t="inlineStr">
        <is>
          <t>eng</t>
        </is>
      </c>
      <c r="R281" t="inlineStr">
        <is>
          <t>nyu</t>
        </is>
      </c>
      <c r="T281" t="inlineStr">
        <is>
          <t xml:space="preserve">CT </t>
        </is>
      </c>
      <c r="U281" t="n">
        <v>4</v>
      </c>
      <c r="V281" t="n">
        <v>5</v>
      </c>
      <c r="W281" t="inlineStr">
        <is>
          <t>1996-03-19</t>
        </is>
      </c>
      <c r="X281" t="inlineStr">
        <is>
          <t>1996-03-19</t>
        </is>
      </c>
      <c r="Y281" t="inlineStr">
        <is>
          <t>1993-08-20</t>
        </is>
      </c>
      <c r="Z281" t="inlineStr">
        <is>
          <t>1993-08-20</t>
        </is>
      </c>
      <c r="AA281" t="n">
        <v>118</v>
      </c>
      <c r="AB281" t="n">
        <v>111</v>
      </c>
      <c r="AC281" t="n">
        <v>642</v>
      </c>
      <c r="AD281" t="n">
        <v>2</v>
      </c>
      <c r="AE281" t="n">
        <v>5</v>
      </c>
      <c r="AF281" t="n">
        <v>3</v>
      </c>
      <c r="AG281" t="n">
        <v>23</v>
      </c>
      <c r="AH281" t="n">
        <v>0</v>
      </c>
      <c r="AI281" t="n">
        <v>6</v>
      </c>
      <c r="AJ281" t="n">
        <v>0</v>
      </c>
      <c r="AK281" t="n">
        <v>5</v>
      </c>
      <c r="AL281" t="n">
        <v>1</v>
      </c>
      <c r="AM281" t="n">
        <v>15</v>
      </c>
      <c r="AN281" t="n">
        <v>1</v>
      </c>
      <c r="AO281" t="n">
        <v>3</v>
      </c>
      <c r="AP281" t="n">
        <v>1</v>
      </c>
      <c r="AQ281" t="n">
        <v>1</v>
      </c>
      <c r="AR281" t="inlineStr">
        <is>
          <t>No</t>
        </is>
      </c>
      <c r="AS281" t="inlineStr">
        <is>
          <t>No</t>
        </is>
      </c>
      <c r="AU281">
        <f>HYPERLINK("https://creighton-primo.hosted.exlibrisgroup.com/primo-explore/search?tab=default_tab&amp;search_scope=EVERYTHING&amp;vid=01CRU&amp;lang=en_US&amp;offset=0&amp;query=any,contains,991005222149702656","Catalog Record")</f>
        <v/>
      </c>
      <c r="AV281">
        <f>HYPERLINK("http://www.worldcat.org/oclc/5106798","WorldCat Record")</f>
        <v/>
      </c>
      <c r="AW281" t="inlineStr">
        <is>
          <t>796281892:eng</t>
        </is>
      </c>
      <c r="AX281" t="inlineStr">
        <is>
          <t>5106798</t>
        </is>
      </c>
      <c r="AY281" t="inlineStr">
        <is>
          <t>991005222149702656</t>
        </is>
      </c>
      <c r="AZ281" t="inlineStr">
        <is>
          <t>991005222149702656</t>
        </is>
      </c>
      <c r="BA281" t="inlineStr">
        <is>
          <t>2267777390002656</t>
        </is>
      </c>
      <c r="BB281" t="inlineStr">
        <is>
          <t>BOOK</t>
        </is>
      </c>
      <c r="BD281" t="inlineStr">
        <is>
          <t>9780312506117</t>
        </is>
      </c>
      <c r="BE281" t="inlineStr">
        <is>
          <t>32285001757557</t>
        </is>
      </c>
      <c r="BF281" t="inlineStr">
        <is>
          <t>893332622</t>
        </is>
      </c>
    </row>
    <row r="282">
      <c r="B282" t="inlineStr">
        <is>
          <t>CURAL</t>
        </is>
      </c>
      <c r="C282" t="inlineStr">
        <is>
          <t>SHELVES</t>
        </is>
      </c>
      <c r="D282" t="inlineStr">
        <is>
          <t>CT104 .M29 1979b</t>
        </is>
      </c>
      <c r="E282" t="inlineStr">
        <is>
          <t>0                      CT 0104000M  29          1979b</t>
        </is>
      </c>
      <c r="F282" t="inlineStr">
        <is>
          <t>Makers of the Western tradition : portraits from history / J. Kelley Sowards, editor ; [cover design and illustrations: Rus Anderson].</t>
        </is>
      </c>
      <c r="G282" t="inlineStr">
        <is>
          <t>V. 1</t>
        </is>
      </c>
      <c r="H282" t="inlineStr">
        <is>
          <t>Yes</t>
        </is>
      </c>
      <c r="I282" t="inlineStr">
        <is>
          <t>1</t>
        </is>
      </c>
      <c r="J282" t="inlineStr">
        <is>
          <t>No</t>
        </is>
      </c>
      <c r="K282" t="inlineStr">
        <is>
          <t>No</t>
        </is>
      </c>
      <c r="L282" t="inlineStr">
        <is>
          <t>0</t>
        </is>
      </c>
      <c r="N282" t="inlineStr">
        <is>
          <t>New York : St. Martin's Press, c1979.</t>
        </is>
      </c>
      <c r="O282" t="inlineStr">
        <is>
          <t>1979</t>
        </is>
      </c>
      <c r="P282" t="inlineStr">
        <is>
          <t>2nd ed.</t>
        </is>
      </c>
      <c r="Q282" t="inlineStr">
        <is>
          <t>eng</t>
        </is>
      </c>
      <c r="R282" t="inlineStr">
        <is>
          <t>nyu</t>
        </is>
      </c>
      <c r="T282" t="inlineStr">
        <is>
          <t xml:space="preserve">CT </t>
        </is>
      </c>
      <c r="U282" t="n">
        <v>1</v>
      </c>
      <c r="V282" t="n">
        <v>5</v>
      </c>
      <c r="X282" t="inlineStr">
        <is>
          <t>1996-03-19</t>
        </is>
      </c>
      <c r="Y282" t="inlineStr">
        <is>
          <t>1993-08-20</t>
        </is>
      </c>
      <c r="Z282" t="inlineStr">
        <is>
          <t>1993-08-20</t>
        </is>
      </c>
      <c r="AA282" t="n">
        <v>118</v>
      </c>
      <c r="AB282" t="n">
        <v>111</v>
      </c>
      <c r="AC282" t="n">
        <v>642</v>
      </c>
      <c r="AD282" t="n">
        <v>2</v>
      </c>
      <c r="AE282" t="n">
        <v>5</v>
      </c>
      <c r="AF282" t="n">
        <v>3</v>
      </c>
      <c r="AG282" t="n">
        <v>23</v>
      </c>
      <c r="AH282" t="n">
        <v>0</v>
      </c>
      <c r="AI282" t="n">
        <v>6</v>
      </c>
      <c r="AJ282" t="n">
        <v>0</v>
      </c>
      <c r="AK282" t="n">
        <v>5</v>
      </c>
      <c r="AL282" t="n">
        <v>1</v>
      </c>
      <c r="AM282" t="n">
        <v>15</v>
      </c>
      <c r="AN282" t="n">
        <v>1</v>
      </c>
      <c r="AO282" t="n">
        <v>3</v>
      </c>
      <c r="AP282" t="n">
        <v>1</v>
      </c>
      <c r="AQ282" t="n">
        <v>1</v>
      </c>
      <c r="AR282" t="inlineStr">
        <is>
          <t>No</t>
        </is>
      </c>
      <c r="AS282" t="inlineStr">
        <is>
          <t>No</t>
        </is>
      </c>
      <c r="AU282">
        <f>HYPERLINK("https://creighton-primo.hosted.exlibrisgroup.com/primo-explore/search?tab=default_tab&amp;search_scope=EVERYTHING&amp;vid=01CRU&amp;lang=en_US&amp;offset=0&amp;query=any,contains,991005222149702656","Catalog Record")</f>
        <v/>
      </c>
      <c r="AV282">
        <f>HYPERLINK("http://www.worldcat.org/oclc/5106798","WorldCat Record")</f>
        <v/>
      </c>
      <c r="AW282" t="inlineStr">
        <is>
          <t>796281892:eng</t>
        </is>
      </c>
      <c r="AX282" t="inlineStr">
        <is>
          <t>5106798</t>
        </is>
      </c>
      <c r="AY282" t="inlineStr">
        <is>
          <t>991005222149702656</t>
        </is>
      </c>
      <c r="AZ282" t="inlineStr">
        <is>
          <t>991005222149702656</t>
        </is>
      </c>
      <c r="BA282" t="inlineStr">
        <is>
          <t>2267777390002656</t>
        </is>
      </c>
      <c r="BB282" t="inlineStr">
        <is>
          <t>BOOK</t>
        </is>
      </c>
      <c r="BD282" t="inlineStr">
        <is>
          <t>9780312506117</t>
        </is>
      </c>
      <c r="BE282" t="inlineStr">
        <is>
          <t>32285001757540</t>
        </is>
      </c>
      <c r="BF282" t="inlineStr">
        <is>
          <t>893326403</t>
        </is>
      </c>
    </row>
    <row r="283">
      <c r="B283" t="inlineStr">
        <is>
          <t>CURAL</t>
        </is>
      </c>
      <c r="C283" t="inlineStr">
        <is>
          <t>SHELVES</t>
        </is>
      </c>
      <c r="D283" t="inlineStr">
        <is>
          <t>CT105 .B37 1958</t>
        </is>
      </c>
      <c r="E283" t="inlineStr">
        <is>
          <t>0                      CT 0105000B  37          1958</t>
        </is>
      </c>
      <c r="F283" t="inlineStr">
        <is>
          <t>Darwin, Marx, Wagner: critique of a heritage.</t>
        </is>
      </c>
      <c r="H283" t="inlineStr">
        <is>
          <t>No</t>
        </is>
      </c>
      <c r="I283" t="inlineStr">
        <is>
          <t>1</t>
        </is>
      </c>
      <c r="J283" t="inlineStr">
        <is>
          <t>No</t>
        </is>
      </c>
      <c r="K283" t="inlineStr">
        <is>
          <t>No</t>
        </is>
      </c>
      <c r="L283" t="inlineStr">
        <is>
          <t>0</t>
        </is>
      </c>
      <c r="M283" t="inlineStr">
        <is>
          <t>Barzun, Jacques, 1907-2012.</t>
        </is>
      </c>
      <c r="N283" t="inlineStr">
        <is>
          <t>Garden City, N.Y., Doubleday, 1958.</t>
        </is>
      </c>
      <c r="O283" t="inlineStr">
        <is>
          <t>1958</t>
        </is>
      </c>
      <c r="P283" t="inlineStr">
        <is>
          <t>Rev. 2d ed.</t>
        </is>
      </c>
      <c r="Q283" t="inlineStr">
        <is>
          <t>eng</t>
        </is>
      </c>
      <c r="R283" t="inlineStr">
        <is>
          <t>nyu</t>
        </is>
      </c>
      <c r="S283" t="inlineStr">
        <is>
          <t>Doubleday anchor books</t>
        </is>
      </c>
      <c r="T283" t="inlineStr">
        <is>
          <t xml:space="preserve">CT </t>
        </is>
      </c>
      <c r="U283" t="n">
        <v>1</v>
      </c>
      <c r="V283" t="n">
        <v>1</v>
      </c>
      <c r="W283" t="inlineStr">
        <is>
          <t>2003-10-16</t>
        </is>
      </c>
      <c r="X283" t="inlineStr">
        <is>
          <t>2003-10-16</t>
        </is>
      </c>
      <c r="Y283" t="inlineStr">
        <is>
          <t>1996-08-22</t>
        </is>
      </c>
      <c r="Z283" t="inlineStr">
        <is>
          <t>1996-08-22</t>
        </is>
      </c>
      <c r="AA283" t="n">
        <v>1150</v>
      </c>
      <c r="AB283" t="n">
        <v>1018</v>
      </c>
      <c r="AC283" t="n">
        <v>1391</v>
      </c>
      <c r="AD283" t="n">
        <v>8</v>
      </c>
      <c r="AE283" t="n">
        <v>13</v>
      </c>
      <c r="AF283" t="n">
        <v>42</v>
      </c>
      <c r="AG283" t="n">
        <v>56</v>
      </c>
      <c r="AH283" t="n">
        <v>16</v>
      </c>
      <c r="AI283" t="n">
        <v>22</v>
      </c>
      <c r="AJ283" t="n">
        <v>7</v>
      </c>
      <c r="AK283" t="n">
        <v>10</v>
      </c>
      <c r="AL283" t="n">
        <v>21</v>
      </c>
      <c r="AM283" t="n">
        <v>25</v>
      </c>
      <c r="AN283" t="n">
        <v>7</v>
      </c>
      <c r="AO283" t="n">
        <v>12</v>
      </c>
      <c r="AP283" t="n">
        <v>0</v>
      </c>
      <c r="AQ283" t="n">
        <v>0</v>
      </c>
      <c r="AR283" t="inlineStr">
        <is>
          <t>No</t>
        </is>
      </c>
      <c r="AS283" t="inlineStr">
        <is>
          <t>Yes</t>
        </is>
      </c>
      <c r="AT283">
        <f>HYPERLINK("http://catalog.hathitrust.org/Record/004425047","HathiTrust Record")</f>
        <v/>
      </c>
      <c r="AU283">
        <f>HYPERLINK("https://creighton-primo.hosted.exlibrisgroup.com/primo-explore/search?tab=default_tab&amp;search_scope=EVERYTHING&amp;vid=01CRU&amp;lang=en_US&amp;offset=0&amp;query=any,contains,991000427139702656","Catalog Record")</f>
        <v/>
      </c>
      <c r="AV283">
        <f>HYPERLINK("http://www.worldcat.org/oclc/10754297","WorldCat Record")</f>
        <v/>
      </c>
      <c r="AW283" t="inlineStr">
        <is>
          <t>417872:eng</t>
        </is>
      </c>
      <c r="AX283" t="inlineStr">
        <is>
          <t>10754297</t>
        </is>
      </c>
      <c r="AY283" t="inlineStr">
        <is>
          <t>991000427139702656</t>
        </is>
      </c>
      <c r="AZ283" t="inlineStr">
        <is>
          <t>991000427139702656</t>
        </is>
      </c>
      <c r="BA283" t="inlineStr">
        <is>
          <t>2268127490002656</t>
        </is>
      </c>
      <c r="BB283" t="inlineStr">
        <is>
          <t>BOOK</t>
        </is>
      </c>
      <c r="BE283" t="inlineStr">
        <is>
          <t>32285002279411</t>
        </is>
      </c>
      <c r="BF283" t="inlineStr">
        <is>
          <t>893327284</t>
        </is>
      </c>
    </row>
    <row r="284">
      <c r="B284" t="inlineStr">
        <is>
          <t>CURAL</t>
        </is>
      </c>
      <c r="C284" t="inlineStr">
        <is>
          <t>SHELVES</t>
        </is>
      </c>
      <c r="D284" t="inlineStr">
        <is>
          <t>CT105 .D66 2010</t>
        </is>
      </c>
      <c r="E284" t="inlineStr">
        <is>
          <t>0                      CT 0105000D  66          2010</t>
        </is>
      </c>
      <c r="F284" t="inlineStr">
        <is>
          <t>The man who shot the man who shot Lincoln : and 44 other forgotton [i.e. forgotten] figures in history / Graeme Donald.</t>
        </is>
      </c>
      <c r="H284" t="inlineStr">
        <is>
          <t>No</t>
        </is>
      </c>
      <c r="I284" t="inlineStr">
        <is>
          <t>1</t>
        </is>
      </c>
      <c r="J284" t="inlineStr">
        <is>
          <t>No</t>
        </is>
      </c>
      <c r="K284" t="inlineStr">
        <is>
          <t>No</t>
        </is>
      </c>
      <c r="L284" t="inlineStr">
        <is>
          <t>0</t>
        </is>
      </c>
      <c r="M284" t="inlineStr">
        <is>
          <t>Donald, Graeme.</t>
        </is>
      </c>
      <c r="N284" t="inlineStr">
        <is>
          <t>Oxford ; Long Island City, NY : Osprey Pub., 2010.</t>
        </is>
      </c>
      <c r="O284" t="inlineStr">
        <is>
          <t>2010</t>
        </is>
      </c>
      <c r="Q284" t="inlineStr">
        <is>
          <t>eng</t>
        </is>
      </c>
      <c r="R284" t="inlineStr">
        <is>
          <t>enk</t>
        </is>
      </c>
      <c r="T284" t="inlineStr">
        <is>
          <t xml:space="preserve">CT </t>
        </is>
      </c>
      <c r="U284" t="n">
        <v>2</v>
      </c>
      <c r="V284" t="n">
        <v>2</v>
      </c>
      <c r="W284" t="inlineStr">
        <is>
          <t>2010-12-16</t>
        </is>
      </c>
      <c r="X284" t="inlineStr">
        <is>
          <t>2010-12-16</t>
        </is>
      </c>
      <c r="Y284" t="inlineStr">
        <is>
          <t>2010-10-26</t>
        </is>
      </c>
      <c r="Z284" t="inlineStr">
        <is>
          <t>2010-10-26</t>
        </is>
      </c>
      <c r="AA284" t="n">
        <v>82</v>
      </c>
      <c r="AB284" t="n">
        <v>78</v>
      </c>
      <c r="AC284" t="n">
        <v>161</v>
      </c>
      <c r="AD284" t="n">
        <v>1</v>
      </c>
      <c r="AE284" t="n">
        <v>1</v>
      </c>
      <c r="AF284" t="n">
        <v>2</v>
      </c>
      <c r="AG284" t="n">
        <v>4</v>
      </c>
      <c r="AH284" t="n">
        <v>0</v>
      </c>
      <c r="AI284" t="n">
        <v>1</v>
      </c>
      <c r="AJ284" t="n">
        <v>1</v>
      </c>
      <c r="AK284" t="n">
        <v>3</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HYPERLINK("https://creighton-primo.hosted.exlibrisgroup.com/primo-explore/search?tab=default_tab&amp;search_scope=EVERYTHING&amp;vid=01CRU&amp;lang=en_US&amp;offset=0&amp;query=any,contains,991000081759702656","Catalog Record")</f>
        <v/>
      </c>
      <c r="AV284">
        <f>HYPERLINK("http://www.worldcat.org/oclc/645678129","WorldCat Record")</f>
        <v/>
      </c>
      <c r="AW284" t="inlineStr">
        <is>
          <t>2086464785:eng</t>
        </is>
      </c>
      <c r="AX284" t="inlineStr">
        <is>
          <t>645678129</t>
        </is>
      </c>
      <c r="AY284" t="inlineStr">
        <is>
          <t>991000081759702656</t>
        </is>
      </c>
      <c r="AZ284" t="inlineStr">
        <is>
          <t>991000081759702656</t>
        </is>
      </c>
      <c r="BA284" t="inlineStr">
        <is>
          <t>2269664940002656</t>
        </is>
      </c>
      <c r="BB284" t="inlineStr">
        <is>
          <t>BOOK</t>
        </is>
      </c>
      <c r="BD284" t="inlineStr">
        <is>
          <t>9781849081702</t>
        </is>
      </c>
      <c r="BE284" t="inlineStr">
        <is>
          <t>32285005603179</t>
        </is>
      </c>
      <c r="BF284" t="inlineStr">
        <is>
          <t>893877784</t>
        </is>
      </c>
    </row>
    <row r="285">
      <c r="B285" t="inlineStr">
        <is>
          <t>CURAL</t>
        </is>
      </c>
      <c r="C285" t="inlineStr">
        <is>
          <t>SHELVES</t>
        </is>
      </c>
      <c r="D285" t="inlineStr">
        <is>
          <t>CT105 .H32</t>
        </is>
      </c>
      <c r="E285" t="inlineStr">
        <is>
          <t>0                      CT 0105000H  32</t>
        </is>
      </c>
      <c r="F285" t="inlineStr">
        <is>
          <t>The 100 : a ranking of the most influential persons in history / Michael H. Hart.</t>
        </is>
      </c>
      <c r="H285" t="inlineStr">
        <is>
          <t>No</t>
        </is>
      </c>
      <c r="I285" t="inlineStr">
        <is>
          <t>1</t>
        </is>
      </c>
      <c r="J285" t="inlineStr">
        <is>
          <t>No</t>
        </is>
      </c>
      <c r="K285" t="inlineStr">
        <is>
          <t>No</t>
        </is>
      </c>
      <c r="L285" t="inlineStr">
        <is>
          <t>0</t>
        </is>
      </c>
      <c r="M285" t="inlineStr">
        <is>
          <t>Hart, Michael H.</t>
        </is>
      </c>
      <c r="N285" t="inlineStr">
        <is>
          <t>New York : Hart Pub. Co., c1978.</t>
        </is>
      </c>
      <c r="O285" t="inlineStr">
        <is>
          <t>1978</t>
        </is>
      </c>
      <c r="Q285" t="inlineStr">
        <is>
          <t>eng</t>
        </is>
      </c>
      <c r="R285" t="inlineStr">
        <is>
          <t>nyu</t>
        </is>
      </c>
      <c r="T285" t="inlineStr">
        <is>
          <t xml:space="preserve">CT </t>
        </is>
      </c>
      <c r="U285" t="n">
        <v>1</v>
      </c>
      <c r="V285" t="n">
        <v>1</v>
      </c>
      <c r="W285" t="inlineStr">
        <is>
          <t>2009-10-16</t>
        </is>
      </c>
      <c r="X285" t="inlineStr">
        <is>
          <t>2009-10-16</t>
        </is>
      </c>
      <c r="Y285" t="inlineStr">
        <is>
          <t>1996-08-22</t>
        </is>
      </c>
      <c r="Z285" t="inlineStr">
        <is>
          <t>1996-08-22</t>
        </is>
      </c>
      <c r="AA285" t="n">
        <v>498</v>
      </c>
      <c r="AB285" t="n">
        <v>480</v>
      </c>
      <c r="AC285" t="n">
        <v>1030</v>
      </c>
      <c r="AD285" t="n">
        <v>4</v>
      </c>
      <c r="AE285" t="n">
        <v>8</v>
      </c>
      <c r="AF285" t="n">
        <v>7</v>
      </c>
      <c r="AG285" t="n">
        <v>16</v>
      </c>
      <c r="AH285" t="n">
        <v>5</v>
      </c>
      <c r="AI285" t="n">
        <v>9</v>
      </c>
      <c r="AJ285" t="n">
        <v>0</v>
      </c>
      <c r="AK285" t="n">
        <v>2</v>
      </c>
      <c r="AL285" t="n">
        <v>3</v>
      </c>
      <c r="AM285" t="n">
        <v>7</v>
      </c>
      <c r="AN285" t="n">
        <v>1</v>
      </c>
      <c r="AO285" t="n">
        <v>3</v>
      </c>
      <c r="AP285" t="n">
        <v>0</v>
      </c>
      <c r="AQ285" t="n">
        <v>0</v>
      </c>
      <c r="AR285" t="inlineStr">
        <is>
          <t>No</t>
        </is>
      </c>
      <c r="AS285" t="inlineStr">
        <is>
          <t>Yes</t>
        </is>
      </c>
      <c r="AT285">
        <f>HYPERLINK("http://catalog.hathitrust.org/Record/000136952","HathiTrust Record")</f>
        <v/>
      </c>
      <c r="AU285">
        <f>HYPERLINK("https://creighton-primo.hosted.exlibrisgroup.com/primo-explore/search?tab=default_tab&amp;search_scope=EVERYTHING&amp;vid=01CRU&amp;lang=en_US&amp;offset=0&amp;query=any,contains,991004538399702656","Catalog Record")</f>
        <v/>
      </c>
      <c r="AV285">
        <f>HYPERLINK("http://www.worldcat.org/oclc/3883835","WorldCat Record")</f>
        <v/>
      </c>
      <c r="AW285" t="inlineStr">
        <is>
          <t>7840103:eng</t>
        </is>
      </c>
      <c r="AX285" t="inlineStr">
        <is>
          <t>3883835</t>
        </is>
      </c>
      <c r="AY285" t="inlineStr">
        <is>
          <t>991004538399702656</t>
        </is>
      </c>
      <c r="AZ285" t="inlineStr">
        <is>
          <t>991004538399702656</t>
        </is>
      </c>
      <c r="BA285" t="inlineStr">
        <is>
          <t>2258625090002656</t>
        </is>
      </c>
      <c r="BB285" t="inlineStr">
        <is>
          <t>BOOK</t>
        </is>
      </c>
      <c r="BD285" t="inlineStr">
        <is>
          <t>9780805512564</t>
        </is>
      </c>
      <c r="BE285" t="inlineStr">
        <is>
          <t>32285002279452</t>
        </is>
      </c>
      <c r="BF285" t="inlineStr">
        <is>
          <t>893901343</t>
        </is>
      </c>
    </row>
    <row r="286">
      <c r="B286" t="inlineStr">
        <is>
          <t>CURAL</t>
        </is>
      </c>
      <c r="C286" t="inlineStr">
        <is>
          <t>SHELVES</t>
        </is>
      </c>
      <c r="D286" t="inlineStr">
        <is>
          <t>CT105 .M395 2007</t>
        </is>
      </c>
      <c r="E286" t="inlineStr">
        <is>
          <t>0                      CT 0105000M  395         2007</t>
        </is>
      </c>
      <c r="F286" t="inlineStr">
        <is>
          <t>Hard call : great decisions and the extraordinary people who made them / John McCain with Mark Salter.</t>
        </is>
      </c>
      <c r="H286" t="inlineStr">
        <is>
          <t>No</t>
        </is>
      </c>
      <c r="I286" t="inlineStr">
        <is>
          <t>1</t>
        </is>
      </c>
      <c r="J286" t="inlineStr">
        <is>
          <t>No</t>
        </is>
      </c>
      <c r="K286" t="inlineStr">
        <is>
          <t>No</t>
        </is>
      </c>
      <c r="L286" t="inlineStr">
        <is>
          <t>0</t>
        </is>
      </c>
      <c r="M286" t="inlineStr">
        <is>
          <t>McCain, John, 1936-2018.</t>
        </is>
      </c>
      <c r="N286" t="inlineStr">
        <is>
          <t>New York : Twelve, 2007.</t>
        </is>
      </c>
      <c r="O286" t="inlineStr">
        <is>
          <t>2007</t>
        </is>
      </c>
      <c r="P286" t="inlineStr">
        <is>
          <t>1st ed.</t>
        </is>
      </c>
      <c r="Q286" t="inlineStr">
        <is>
          <t>eng</t>
        </is>
      </c>
      <c r="R286" t="inlineStr">
        <is>
          <t>nyu</t>
        </is>
      </c>
      <c r="T286" t="inlineStr">
        <is>
          <t xml:space="preserve">CT </t>
        </is>
      </c>
      <c r="U286" t="n">
        <v>4</v>
      </c>
      <c r="V286" t="n">
        <v>4</v>
      </c>
      <c r="W286" t="inlineStr">
        <is>
          <t>2008-10-31</t>
        </is>
      </c>
      <c r="X286" t="inlineStr">
        <is>
          <t>2008-10-31</t>
        </is>
      </c>
      <c r="Y286" t="inlineStr">
        <is>
          <t>2007-09-18</t>
        </is>
      </c>
      <c r="Z286" t="inlineStr">
        <is>
          <t>2007-09-18</t>
        </is>
      </c>
      <c r="AA286" t="n">
        <v>1247</v>
      </c>
      <c r="AB286" t="n">
        <v>1219</v>
      </c>
      <c r="AC286" t="n">
        <v>1352</v>
      </c>
      <c r="AD286" t="n">
        <v>16</v>
      </c>
      <c r="AE286" t="n">
        <v>18</v>
      </c>
      <c r="AF286" t="n">
        <v>12</v>
      </c>
      <c r="AG286" t="n">
        <v>13</v>
      </c>
      <c r="AH286" t="n">
        <v>4</v>
      </c>
      <c r="AI286" t="n">
        <v>5</v>
      </c>
      <c r="AJ286" t="n">
        <v>2</v>
      </c>
      <c r="AK286" t="n">
        <v>2</v>
      </c>
      <c r="AL286" t="n">
        <v>5</v>
      </c>
      <c r="AM286" t="n">
        <v>5</v>
      </c>
      <c r="AN286" t="n">
        <v>2</v>
      </c>
      <c r="AO286" t="n">
        <v>2</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HYPERLINK("https://creighton-primo.hosted.exlibrisgroup.com/primo-explore/search?tab=default_tab&amp;search_scope=EVERYTHING&amp;vid=01CRU&amp;lang=en_US&amp;offset=0&amp;query=any,contains,991005112229702656","Catalog Record")</f>
        <v/>
      </c>
      <c r="AV286">
        <f>HYPERLINK("http://www.worldcat.org/oclc/85892201","WorldCat Record")</f>
        <v/>
      </c>
      <c r="AW286" t="inlineStr">
        <is>
          <t>793903052:eng</t>
        </is>
      </c>
      <c r="AX286" t="inlineStr">
        <is>
          <t>85892201</t>
        </is>
      </c>
      <c r="AY286" t="inlineStr">
        <is>
          <t>991005112229702656</t>
        </is>
      </c>
      <c r="AZ286" t="inlineStr">
        <is>
          <t>991005112229702656</t>
        </is>
      </c>
      <c r="BA286" t="inlineStr">
        <is>
          <t>2257485490002656</t>
        </is>
      </c>
      <c r="BB286" t="inlineStr">
        <is>
          <t>BOOK</t>
        </is>
      </c>
      <c r="BD286" t="inlineStr">
        <is>
          <t>9780446580403</t>
        </is>
      </c>
      <c r="BE286" t="inlineStr">
        <is>
          <t>32285005325427</t>
        </is>
      </c>
      <c r="BF286" t="inlineStr">
        <is>
          <t>893418398</t>
        </is>
      </c>
    </row>
    <row r="287">
      <c r="B287" t="inlineStr">
        <is>
          <t>CURAL</t>
        </is>
      </c>
      <c r="C287" t="inlineStr">
        <is>
          <t>SHELVES</t>
        </is>
      </c>
      <c r="D287" t="inlineStr">
        <is>
          <t>CT105 .P3</t>
        </is>
      </c>
      <c r="E287" t="inlineStr">
        <is>
          <t>0                      CT 0105000P  3</t>
        </is>
      </c>
      <c r="F287" t="inlineStr">
        <is>
          <t>Paths to success: one hundred men and women who have heeded ambition's call.</t>
        </is>
      </c>
      <c r="G287" t="inlineStr">
        <is>
          <t>V. 3</t>
        </is>
      </c>
      <c r="H287" t="inlineStr">
        <is>
          <t>Yes</t>
        </is>
      </c>
      <c r="I287" t="inlineStr">
        <is>
          <t>1</t>
        </is>
      </c>
      <c r="J287" t="inlineStr">
        <is>
          <t>No</t>
        </is>
      </c>
      <c r="K287" t="inlineStr">
        <is>
          <t>No</t>
        </is>
      </c>
      <c r="L287" t="inlineStr">
        <is>
          <t>0</t>
        </is>
      </c>
      <c r="N287" t="inlineStr">
        <is>
          <t>Garden City, N. Y., Doubleday, Doran &amp; Company, Inc., 1929.</t>
        </is>
      </c>
      <c r="O287" t="inlineStr">
        <is>
          <t>1929</t>
        </is>
      </c>
      <c r="Q287" t="inlineStr">
        <is>
          <t>eng</t>
        </is>
      </c>
      <c r="R287" t="inlineStr">
        <is>
          <t>nyu</t>
        </is>
      </c>
      <c r="T287" t="inlineStr">
        <is>
          <t xml:space="preserve">CT </t>
        </is>
      </c>
      <c r="U287" t="n">
        <v>0</v>
      </c>
      <c r="V287" t="n">
        <v>1</v>
      </c>
      <c r="X287" t="inlineStr">
        <is>
          <t>2002-04-18</t>
        </is>
      </c>
      <c r="Y287" t="inlineStr">
        <is>
          <t>1996-08-22</t>
        </is>
      </c>
      <c r="Z287" t="inlineStr">
        <is>
          <t>1996-08-22</t>
        </is>
      </c>
      <c r="AA287" t="n">
        <v>18</v>
      </c>
      <c r="AB287" t="n">
        <v>18</v>
      </c>
      <c r="AC287" t="n">
        <v>18</v>
      </c>
      <c r="AD287" t="n">
        <v>1</v>
      </c>
      <c r="AE287" t="n">
        <v>1</v>
      </c>
      <c r="AF287" t="n">
        <v>0</v>
      </c>
      <c r="AG287" t="n">
        <v>0</v>
      </c>
      <c r="AH287" t="n">
        <v>0</v>
      </c>
      <c r="AI287" t="n">
        <v>0</v>
      </c>
      <c r="AJ287" t="n">
        <v>0</v>
      </c>
      <c r="AK287" t="n">
        <v>0</v>
      </c>
      <c r="AL287" t="n">
        <v>0</v>
      </c>
      <c r="AM287" t="n">
        <v>0</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HYPERLINK("https://creighton-primo.hosted.exlibrisgroup.com/primo-explore/search?tab=default_tab&amp;search_scope=EVERYTHING&amp;vid=01CRU&amp;lang=en_US&amp;offset=0&amp;query=any,contains,991004628339702656","Catalog Record")</f>
        <v/>
      </c>
      <c r="AV287">
        <f>HYPERLINK("http://www.worldcat.org/oclc/4356035","WorldCat Record")</f>
        <v/>
      </c>
      <c r="AW287" t="inlineStr">
        <is>
          <t>14644363:eng</t>
        </is>
      </c>
      <c r="AX287" t="inlineStr">
        <is>
          <t>4356035</t>
        </is>
      </c>
      <c r="AY287" t="inlineStr">
        <is>
          <t>991004628339702656</t>
        </is>
      </c>
      <c r="AZ287" t="inlineStr">
        <is>
          <t>991004628339702656</t>
        </is>
      </c>
      <c r="BA287" t="inlineStr">
        <is>
          <t>2270197830002656</t>
        </is>
      </c>
      <c r="BB287" t="inlineStr">
        <is>
          <t>BOOK</t>
        </is>
      </c>
      <c r="BE287" t="inlineStr">
        <is>
          <t>32285002279528</t>
        </is>
      </c>
      <c r="BF287" t="inlineStr">
        <is>
          <t>893795068</t>
        </is>
      </c>
    </row>
    <row r="288">
      <c r="B288" t="inlineStr">
        <is>
          <t>CURAL</t>
        </is>
      </c>
      <c r="C288" t="inlineStr">
        <is>
          <t>SHELVES</t>
        </is>
      </c>
      <c r="D288" t="inlineStr">
        <is>
          <t>CT105 .P3</t>
        </is>
      </c>
      <c r="E288" t="inlineStr">
        <is>
          <t>0                      CT 0105000P  3</t>
        </is>
      </c>
      <c r="F288" t="inlineStr">
        <is>
          <t>Paths to success: one hundred men and women who have heeded ambition's call.</t>
        </is>
      </c>
      <c r="G288" t="inlineStr">
        <is>
          <t>V. 2</t>
        </is>
      </c>
      <c r="H288" t="inlineStr">
        <is>
          <t>Yes</t>
        </is>
      </c>
      <c r="I288" t="inlineStr">
        <is>
          <t>1</t>
        </is>
      </c>
      <c r="J288" t="inlineStr">
        <is>
          <t>No</t>
        </is>
      </c>
      <c r="K288" t="inlineStr">
        <is>
          <t>No</t>
        </is>
      </c>
      <c r="L288" t="inlineStr">
        <is>
          <t>0</t>
        </is>
      </c>
      <c r="N288" t="inlineStr">
        <is>
          <t>Garden City, N. Y., Doubleday, Doran &amp; Company, Inc., 1929.</t>
        </is>
      </c>
      <c r="O288" t="inlineStr">
        <is>
          <t>1929</t>
        </is>
      </c>
      <c r="Q288" t="inlineStr">
        <is>
          <t>eng</t>
        </is>
      </c>
      <c r="R288" t="inlineStr">
        <is>
          <t>nyu</t>
        </is>
      </c>
      <c r="T288" t="inlineStr">
        <is>
          <t xml:space="preserve">CT </t>
        </is>
      </c>
      <c r="U288" t="n">
        <v>0</v>
      </c>
      <c r="V288" t="n">
        <v>1</v>
      </c>
      <c r="X288" t="inlineStr">
        <is>
          <t>2002-04-18</t>
        </is>
      </c>
      <c r="Y288" t="inlineStr">
        <is>
          <t>1996-08-22</t>
        </is>
      </c>
      <c r="Z288" t="inlineStr">
        <is>
          <t>1996-08-22</t>
        </is>
      </c>
      <c r="AA288" t="n">
        <v>18</v>
      </c>
      <c r="AB288" t="n">
        <v>18</v>
      </c>
      <c r="AC288" t="n">
        <v>18</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HYPERLINK("https://creighton-primo.hosted.exlibrisgroup.com/primo-explore/search?tab=default_tab&amp;search_scope=EVERYTHING&amp;vid=01CRU&amp;lang=en_US&amp;offset=0&amp;query=any,contains,991004628339702656","Catalog Record")</f>
        <v/>
      </c>
      <c r="AV288">
        <f>HYPERLINK("http://www.worldcat.org/oclc/4356035","WorldCat Record")</f>
        <v/>
      </c>
      <c r="AW288" t="inlineStr">
        <is>
          <t>14644363:eng</t>
        </is>
      </c>
      <c r="AX288" t="inlineStr">
        <is>
          <t>4356035</t>
        </is>
      </c>
      <c r="AY288" t="inlineStr">
        <is>
          <t>991004628339702656</t>
        </is>
      </c>
      <c r="AZ288" t="inlineStr">
        <is>
          <t>991004628339702656</t>
        </is>
      </c>
      <c r="BA288" t="inlineStr">
        <is>
          <t>2270197830002656</t>
        </is>
      </c>
      <c r="BB288" t="inlineStr">
        <is>
          <t>BOOK</t>
        </is>
      </c>
      <c r="BE288" t="inlineStr">
        <is>
          <t>32285002279510</t>
        </is>
      </c>
      <c r="BF288" t="inlineStr">
        <is>
          <t>893795069</t>
        </is>
      </c>
    </row>
    <row r="289">
      <c r="B289" t="inlineStr">
        <is>
          <t>CURAL</t>
        </is>
      </c>
      <c r="C289" t="inlineStr">
        <is>
          <t>SHELVES</t>
        </is>
      </c>
      <c r="D289" t="inlineStr">
        <is>
          <t>CT105 .P3</t>
        </is>
      </c>
      <c r="E289" t="inlineStr">
        <is>
          <t>0                      CT 0105000P  3</t>
        </is>
      </c>
      <c r="F289" t="inlineStr">
        <is>
          <t>Paths to success: one hundred men and women who have heeded ambition's call.</t>
        </is>
      </c>
      <c r="G289" t="inlineStr">
        <is>
          <t>V. 1</t>
        </is>
      </c>
      <c r="H289" t="inlineStr">
        <is>
          <t>Yes</t>
        </is>
      </c>
      <c r="I289" t="inlineStr">
        <is>
          <t>1</t>
        </is>
      </c>
      <c r="J289" t="inlineStr">
        <is>
          <t>No</t>
        </is>
      </c>
      <c r="K289" t="inlineStr">
        <is>
          <t>No</t>
        </is>
      </c>
      <c r="L289" t="inlineStr">
        <is>
          <t>0</t>
        </is>
      </c>
      <c r="N289" t="inlineStr">
        <is>
          <t>Garden City, N. Y., Doubleday, Doran &amp; Company, Inc., 1929.</t>
        </is>
      </c>
      <c r="O289" t="inlineStr">
        <is>
          <t>1929</t>
        </is>
      </c>
      <c r="Q289" t="inlineStr">
        <is>
          <t>eng</t>
        </is>
      </c>
      <c r="R289" t="inlineStr">
        <is>
          <t>nyu</t>
        </is>
      </c>
      <c r="T289" t="inlineStr">
        <is>
          <t xml:space="preserve">CT </t>
        </is>
      </c>
      <c r="U289" t="n">
        <v>1</v>
      </c>
      <c r="V289" t="n">
        <v>1</v>
      </c>
      <c r="W289" t="inlineStr">
        <is>
          <t>2002-04-18</t>
        </is>
      </c>
      <c r="X289" t="inlineStr">
        <is>
          <t>2002-04-18</t>
        </is>
      </c>
      <c r="Y289" t="inlineStr">
        <is>
          <t>1996-08-22</t>
        </is>
      </c>
      <c r="Z289" t="inlineStr">
        <is>
          <t>1996-08-22</t>
        </is>
      </c>
      <c r="AA289" t="n">
        <v>18</v>
      </c>
      <c r="AB289" t="n">
        <v>18</v>
      </c>
      <c r="AC289" t="n">
        <v>18</v>
      </c>
      <c r="AD289" t="n">
        <v>1</v>
      </c>
      <c r="AE289" t="n">
        <v>1</v>
      </c>
      <c r="AF289" t="n">
        <v>0</v>
      </c>
      <c r="AG289" t="n">
        <v>0</v>
      </c>
      <c r="AH289" t="n">
        <v>0</v>
      </c>
      <c r="AI289" t="n">
        <v>0</v>
      </c>
      <c r="AJ289" t="n">
        <v>0</v>
      </c>
      <c r="AK289" t="n">
        <v>0</v>
      </c>
      <c r="AL289" t="n">
        <v>0</v>
      </c>
      <c r="AM289" t="n">
        <v>0</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HYPERLINK("https://creighton-primo.hosted.exlibrisgroup.com/primo-explore/search?tab=default_tab&amp;search_scope=EVERYTHING&amp;vid=01CRU&amp;lang=en_US&amp;offset=0&amp;query=any,contains,991004628339702656","Catalog Record")</f>
        <v/>
      </c>
      <c r="AV289">
        <f>HYPERLINK("http://www.worldcat.org/oclc/4356035","WorldCat Record")</f>
        <v/>
      </c>
      <c r="AW289" t="inlineStr">
        <is>
          <t>14644363:eng</t>
        </is>
      </c>
      <c r="AX289" t="inlineStr">
        <is>
          <t>4356035</t>
        </is>
      </c>
      <c r="AY289" t="inlineStr">
        <is>
          <t>991004628339702656</t>
        </is>
      </c>
      <c r="AZ289" t="inlineStr">
        <is>
          <t>991004628339702656</t>
        </is>
      </c>
      <c r="BA289" t="inlineStr">
        <is>
          <t>2270197830002656</t>
        </is>
      </c>
      <c r="BB289" t="inlineStr">
        <is>
          <t>BOOK</t>
        </is>
      </c>
      <c r="BE289" t="inlineStr">
        <is>
          <t>32285002279502</t>
        </is>
      </c>
      <c r="BF289" t="inlineStr">
        <is>
          <t>893782449</t>
        </is>
      </c>
    </row>
    <row r="290">
      <c r="B290" t="inlineStr">
        <is>
          <t>CURAL</t>
        </is>
      </c>
      <c r="C290" t="inlineStr">
        <is>
          <t>SHELVES</t>
        </is>
      </c>
      <c r="D290" t="inlineStr">
        <is>
          <t>CT105 .P3</t>
        </is>
      </c>
      <c r="E290" t="inlineStr">
        <is>
          <t>0                      CT 0105000P  3</t>
        </is>
      </c>
      <c r="F290" t="inlineStr">
        <is>
          <t>Paths to success: one hundred men and women who have heeded ambition's call.</t>
        </is>
      </c>
      <c r="G290" t="inlineStr">
        <is>
          <t>V. 4</t>
        </is>
      </c>
      <c r="H290" t="inlineStr">
        <is>
          <t>Yes</t>
        </is>
      </c>
      <c r="I290" t="inlineStr">
        <is>
          <t>1</t>
        </is>
      </c>
      <c r="J290" t="inlineStr">
        <is>
          <t>No</t>
        </is>
      </c>
      <c r="K290" t="inlineStr">
        <is>
          <t>No</t>
        </is>
      </c>
      <c r="L290" t="inlineStr">
        <is>
          <t>0</t>
        </is>
      </c>
      <c r="N290" t="inlineStr">
        <is>
          <t>Garden City, N. Y., Doubleday, Doran &amp; Company, Inc., 1929.</t>
        </is>
      </c>
      <c r="O290" t="inlineStr">
        <is>
          <t>1929</t>
        </is>
      </c>
      <c r="Q290" t="inlineStr">
        <is>
          <t>eng</t>
        </is>
      </c>
      <c r="R290" t="inlineStr">
        <is>
          <t>nyu</t>
        </is>
      </c>
      <c r="T290" t="inlineStr">
        <is>
          <t xml:space="preserve">CT </t>
        </is>
      </c>
      <c r="U290" t="n">
        <v>0</v>
      </c>
      <c r="V290" t="n">
        <v>1</v>
      </c>
      <c r="X290" t="inlineStr">
        <is>
          <t>2002-04-18</t>
        </is>
      </c>
      <c r="Y290" t="inlineStr">
        <is>
          <t>1996-08-22</t>
        </is>
      </c>
      <c r="Z290" t="inlineStr">
        <is>
          <t>1996-08-22</t>
        </is>
      </c>
      <c r="AA290" t="n">
        <v>18</v>
      </c>
      <c r="AB290" t="n">
        <v>18</v>
      </c>
      <c r="AC290" t="n">
        <v>18</v>
      </c>
      <c r="AD290" t="n">
        <v>1</v>
      </c>
      <c r="AE290" t="n">
        <v>1</v>
      </c>
      <c r="AF290" t="n">
        <v>0</v>
      </c>
      <c r="AG290" t="n">
        <v>0</v>
      </c>
      <c r="AH290" t="n">
        <v>0</v>
      </c>
      <c r="AI290" t="n">
        <v>0</v>
      </c>
      <c r="AJ290" t="n">
        <v>0</v>
      </c>
      <c r="AK290" t="n">
        <v>0</v>
      </c>
      <c r="AL290" t="n">
        <v>0</v>
      </c>
      <c r="AM290" t="n">
        <v>0</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HYPERLINK("https://creighton-primo.hosted.exlibrisgroup.com/primo-explore/search?tab=default_tab&amp;search_scope=EVERYTHING&amp;vid=01CRU&amp;lang=en_US&amp;offset=0&amp;query=any,contains,991004628339702656","Catalog Record")</f>
        <v/>
      </c>
      <c r="AV290">
        <f>HYPERLINK("http://www.worldcat.org/oclc/4356035","WorldCat Record")</f>
        <v/>
      </c>
      <c r="AW290" t="inlineStr">
        <is>
          <t>14644363:eng</t>
        </is>
      </c>
      <c r="AX290" t="inlineStr">
        <is>
          <t>4356035</t>
        </is>
      </c>
      <c r="AY290" t="inlineStr">
        <is>
          <t>991004628339702656</t>
        </is>
      </c>
      <c r="AZ290" t="inlineStr">
        <is>
          <t>991004628339702656</t>
        </is>
      </c>
      <c r="BA290" t="inlineStr">
        <is>
          <t>2270197830002656</t>
        </is>
      </c>
      <c r="BB290" t="inlineStr">
        <is>
          <t>BOOK</t>
        </is>
      </c>
      <c r="BE290" t="inlineStr">
        <is>
          <t>32285002279536</t>
        </is>
      </c>
      <c r="BF290" t="inlineStr">
        <is>
          <t>893795067</t>
        </is>
      </c>
    </row>
    <row r="291">
      <c r="B291" t="inlineStr">
        <is>
          <t>CURAL</t>
        </is>
      </c>
      <c r="C291" t="inlineStr">
        <is>
          <t>SHELVES</t>
        </is>
      </c>
      <c r="D291" t="inlineStr">
        <is>
          <t>CT105 .P44</t>
        </is>
      </c>
      <c r="E291" t="inlineStr">
        <is>
          <t>0                      CT 0105000P  44</t>
        </is>
      </c>
      <c r="F291" t="inlineStr">
        <is>
          <t>Great teachers, portrayed by those who studied under them, edited, with an introduction, by Houston Peterson.</t>
        </is>
      </c>
      <c r="H291" t="inlineStr">
        <is>
          <t>No</t>
        </is>
      </c>
      <c r="I291" t="inlineStr">
        <is>
          <t>1</t>
        </is>
      </c>
      <c r="J291" t="inlineStr">
        <is>
          <t>No</t>
        </is>
      </c>
      <c r="K291" t="inlineStr">
        <is>
          <t>No</t>
        </is>
      </c>
      <c r="L291" t="inlineStr">
        <is>
          <t>0</t>
        </is>
      </c>
      <c r="M291" t="inlineStr">
        <is>
          <t>Peterson, Houston, 1897-1981 editor.</t>
        </is>
      </c>
      <c r="N291" t="inlineStr">
        <is>
          <t>New Brunswick [N.J.] Rutgers University Press, 1946.</t>
        </is>
      </c>
      <c r="O291" t="inlineStr">
        <is>
          <t>1946</t>
        </is>
      </c>
      <c r="Q291" t="inlineStr">
        <is>
          <t>eng</t>
        </is>
      </c>
      <c r="R291" t="inlineStr">
        <is>
          <t>nju</t>
        </is>
      </c>
      <c r="T291" t="inlineStr">
        <is>
          <t xml:space="preserve">CT </t>
        </is>
      </c>
      <c r="U291" t="n">
        <v>6</v>
      </c>
      <c r="V291" t="n">
        <v>6</v>
      </c>
      <c r="W291" t="inlineStr">
        <is>
          <t>2006-02-18</t>
        </is>
      </c>
      <c r="X291" t="inlineStr">
        <is>
          <t>2006-02-18</t>
        </is>
      </c>
      <c r="Y291" t="inlineStr">
        <is>
          <t>1996-08-22</t>
        </is>
      </c>
      <c r="Z291" t="inlineStr">
        <is>
          <t>1996-08-22</t>
        </is>
      </c>
      <c r="AA291" t="n">
        <v>822</v>
      </c>
      <c r="AB291" t="n">
        <v>772</v>
      </c>
      <c r="AC291" t="n">
        <v>975</v>
      </c>
      <c r="AD291" t="n">
        <v>9</v>
      </c>
      <c r="AE291" t="n">
        <v>10</v>
      </c>
      <c r="AF291" t="n">
        <v>31</v>
      </c>
      <c r="AG291" t="n">
        <v>40</v>
      </c>
      <c r="AH291" t="n">
        <v>11</v>
      </c>
      <c r="AI291" t="n">
        <v>16</v>
      </c>
      <c r="AJ291" t="n">
        <v>7</v>
      </c>
      <c r="AK291" t="n">
        <v>7</v>
      </c>
      <c r="AL291" t="n">
        <v>11</v>
      </c>
      <c r="AM291" t="n">
        <v>18</v>
      </c>
      <c r="AN291" t="n">
        <v>7</v>
      </c>
      <c r="AO291" t="n">
        <v>8</v>
      </c>
      <c r="AP291" t="n">
        <v>0</v>
      </c>
      <c r="AQ291" t="n">
        <v>0</v>
      </c>
      <c r="AR291" t="inlineStr">
        <is>
          <t>No</t>
        </is>
      </c>
      <c r="AS291" t="inlineStr">
        <is>
          <t>No</t>
        </is>
      </c>
      <c r="AT291">
        <f>HYPERLINK("http://catalog.hathitrust.org/Record/001117332","HathiTrust Record")</f>
        <v/>
      </c>
      <c r="AU291">
        <f>HYPERLINK("https://creighton-primo.hosted.exlibrisgroup.com/primo-explore/search?tab=default_tab&amp;search_scope=EVERYTHING&amp;vid=01CRU&amp;lang=en_US&amp;offset=0&amp;query=any,contains,991002362169702656","Catalog Record")</f>
        <v/>
      </c>
      <c r="AV291">
        <f>HYPERLINK("http://www.worldcat.org/oclc/326210","WorldCat Record")</f>
        <v/>
      </c>
      <c r="AW291" t="inlineStr">
        <is>
          <t>1415860:eng</t>
        </is>
      </c>
      <c r="AX291" t="inlineStr">
        <is>
          <t>326210</t>
        </is>
      </c>
      <c r="AY291" t="inlineStr">
        <is>
          <t>991002362169702656</t>
        </is>
      </c>
      <c r="AZ291" t="inlineStr">
        <is>
          <t>991002362169702656</t>
        </is>
      </c>
      <c r="BA291" t="inlineStr">
        <is>
          <t>2272187460002656</t>
        </is>
      </c>
      <c r="BB291" t="inlineStr">
        <is>
          <t>BOOK</t>
        </is>
      </c>
      <c r="BE291" t="inlineStr">
        <is>
          <t>32285002279544</t>
        </is>
      </c>
      <c r="BF291" t="inlineStr">
        <is>
          <t>893685274</t>
        </is>
      </c>
    </row>
    <row r="292">
      <c r="B292" t="inlineStr">
        <is>
          <t>CURAL</t>
        </is>
      </c>
      <c r="C292" t="inlineStr">
        <is>
          <t>SHELVES</t>
        </is>
      </c>
      <c r="D292" t="inlineStr">
        <is>
          <t>CT1098.S45 A282 1949</t>
        </is>
      </c>
      <c r="E292" t="inlineStr">
        <is>
          <t>0                      CT 1098000S  45                 A  282         1949</t>
        </is>
      </c>
      <c r="F292" t="inlineStr">
        <is>
          <t>Out of my life and thought : an autobiography / Albert Schweitzer ; translated by C.T. Campion ; postscript by Everette Skillings</t>
        </is>
      </c>
      <c r="H292" t="inlineStr">
        <is>
          <t>No</t>
        </is>
      </c>
      <c r="I292" t="inlineStr">
        <is>
          <t>1</t>
        </is>
      </c>
      <c r="J292" t="inlineStr">
        <is>
          <t>Yes</t>
        </is>
      </c>
      <c r="K292" t="inlineStr">
        <is>
          <t>No</t>
        </is>
      </c>
      <c r="L292" t="inlineStr">
        <is>
          <t>0</t>
        </is>
      </c>
      <c r="M292" t="inlineStr">
        <is>
          <t>Schweitzer, Albert, 1875-1965.</t>
        </is>
      </c>
      <c r="N292" t="inlineStr">
        <is>
          <t>New York : Holt &amp; Company c1949, c1933, 1957 printing.</t>
        </is>
      </c>
      <c r="O292" t="inlineStr">
        <is>
          <t>1949</t>
        </is>
      </c>
      <c r="Q292" t="inlineStr">
        <is>
          <t>eng</t>
        </is>
      </c>
      <c r="R292" t="inlineStr">
        <is>
          <t>nyu</t>
        </is>
      </c>
      <c r="T292" t="inlineStr">
        <is>
          <t xml:space="preserve">CT </t>
        </is>
      </c>
      <c r="U292" t="n">
        <v>4</v>
      </c>
      <c r="V292" t="n">
        <v>4</v>
      </c>
      <c r="W292" t="inlineStr">
        <is>
          <t>2002-12-01</t>
        </is>
      </c>
      <c r="X292" t="inlineStr">
        <is>
          <t>2002-12-01</t>
        </is>
      </c>
      <c r="Y292" t="inlineStr">
        <is>
          <t>1997-02-20</t>
        </is>
      </c>
      <c r="Z292" t="inlineStr">
        <is>
          <t>1997-02-20</t>
        </is>
      </c>
      <c r="AA292" t="n">
        <v>1427</v>
      </c>
      <c r="AB292" t="n">
        <v>1356</v>
      </c>
      <c r="AC292" t="n">
        <v>2611</v>
      </c>
      <c r="AD292" t="n">
        <v>9</v>
      </c>
      <c r="AE292" t="n">
        <v>24</v>
      </c>
      <c r="AF292" t="n">
        <v>26</v>
      </c>
      <c r="AG292" t="n">
        <v>57</v>
      </c>
      <c r="AH292" t="n">
        <v>11</v>
      </c>
      <c r="AI292" t="n">
        <v>25</v>
      </c>
      <c r="AJ292" t="n">
        <v>5</v>
      </c>
      <c r="AK292" t="n">
        <v>9</v>
      </c>
      <c r="AL292" t="n">
        <v>11</v>
      </c>
      <c r="AM292" t="n">
        <v>23</v>
      </c>
      <c r="AN292" t="n">
        <v>3</v>
      </c>
      <c r="AO292" t="n">
        <v>11</v>
      </c>
      <c r="AP292" t="n">
        <v>0</v>
      </c>
      <c r="AQ292" t="n">
        <v>0</v>
      </c>
      <c r="AR292" t="inlineStr">
        <is>
          <t>No</t>
        </is>
      </c>
      <c r="AS292" t="inlineStr">
        <is>
          <t>Yes</t>
        </is>
      </c>
      <c r="AT292">
        <f>HYPERLINK("http://catalog.hathitrust.org/Record/001599066","HathiTrust Record")</f>
        <v/>
      </c>
      <c r="AU292">
        <f>HYPERLINK("https://creighton-primo.hosted.exlibrisgroup.com/primo-explore/search?tab=default_tab&amp;search_scope=EVERYTHING&amp;vid=01CRU&amp;lang=en_US&amp;offset=0&amp;query=any,contains,991005411599702656","Catalog Record")</f>
        <v/>
      </c>
      <c r="AV292">
        <f>HYPERLINK("http://www.worldcat.org/oclc/391178","WorldCat Record")</f>
        <v/>
      </c>
      <c r="AW292" t="inlineStr">
        <is>
          <t>2800160272:eng</t>
        </is>
      </c>
      <c r="AX292" t="inlineStr">
        <is>
          <t>391178</t>
        </is>
      </c>
      <c r="AY292" t="inlineStr">
        <is>
          <t>991005411599702656</t>
        </is>
      </c>
      <c r="AZ292" t="inlineStr">
        <is>
          <t>991005411599702656</t>
        </is>
      </c>
      <c r="BA292" t="inlineStr">
        <is>
          <t>2272307760002656</t>
        </is>
      </c>
      <c r="BB292" t="inlineStr">
        <is>
          <t>BOOK</t>
        </is>
      </c>
      <c r="BE292" t="inlineStr">
        <is>
          <t>32285002438363</t>
        </is>
      </c>
      <c r="BF292" t="inlineStr">
        <is>
          <t>893808423</t>
        </is>
      </c>
    </row>
    <row r="293">
      <c r="B293" t="inlineStr">
        <is>
          <t>CURAL</t>
        </is>
      </c>
      <c r="C293" t="inlineStr">
        <is>
          <t>SHELVES</t>
        </is>
      </c>
      <c r="D293" t="inlineStr">
        <is>
          <t>CT1098.S45 A33 1949</t>
        </is>
      </c>
      <c r="E293" t="inlineStr">
        <is>
          <t>0                      CT 1098000S  45                 A  33          1949</t>
        </is>
      </c>
      <c r="F293" t="inlineStr">
        <is>
          <t>Memoirs of childhood and youth. Translated by C. T. Campion.</t>
        </is>
      </c>
      <c r="H293" t="inlineStr">
        <is>
          <t>No</t>
        </is>
      </c>
      <c r="I293" t="inlineStr">
        <is>
          <t>1</t>
        </is>
      </c>
      <c r="J293" t="inlineStr">
        <is>
          <t>No</t>
        </is>
      </c>
      <c r="K293" t="inlineStr">
        <is>
          <t>No</t>
        </is>
      </c>
      <c r="L293" t="inlineStr">
        <is>
          <t>0</t>
        </is>
      </c>
      <c r="M293" t="inlineStr">
        <is>
          <t>Schweitzer, Albert, 1875-1965.</t>
        </is>
      </c>
      <c r="N293" t="inlineStr">
        <is>
          <t>New York, Macmillan Co. 1949.</t>
        </is>
      </c>
      <c r="O293" t="inlineStr">
        <is>
          <t>1949</t>
        </is>
      </c>
      <c r="P293" t="inlineStr">
        <is>
          <t>1st American ed.</t>
        </is>
      </c>
      <c r="Q293" t="inlineStr">
        <is>
          <t>eng</t>
        </is>
      </c>
      <c r="R293" t="inlineStr">
        <is>
          <t>nyu</t>
        </is>
      </c>
      <c r="T293" t="inlineStr">
        <is>
          <t xml:space="preserve">CT </t>
        </is>
      </c>
      <c r="U293" t="n">
        <v>1</v>
      </c>
      <c r="V293" t="n">
        <v>1</v>
      </c>
      <c r="W293" t="inlineStr">
        <is>
          <t>2000-10-30</t>
        </is>
      </c>
      <c r="X293" t="inlineStr">
        <is>
          <t>2000-10-30</t>
        </is>
      </c>
      <c r="Y293" t="inlineStr">
        <is>
          <t>1996-08-22</t>
        </is>
      </c>
      <c r="Z293" t="inlineStr">
        <is>
          <t>1996-08-22</t>
        </is>
      </c>
      <c r="AA293" t="n">
        <v>422</v>
      </c>
      <c r="AB293" t="n">
        <v>414</v>
      </c>
      <c r="AC293" t="n">
        <v>754</v>
      </c>
      <c r="AD293" t="n">
        <v>4</v>
      </c>
      <c r="AE293" t="n">
        <v>5</v>
      </c>
      <c r="AF293" t="n">
        <v>11</v>
      </c>
      <c r="AG293" t="n">
        <v>26</v>
      </c>
      <c r="AH293" t="n">
        <v>4</v>
      </c>
      <c r="AI293" t="n">
        <v>12</v>
      </c>
      <c r="AJ293" t="n">
        <v>2</v>
      </c>
      <c r="AK293" t="n">
        <v>6</v>
      </c>
      <c r="AL293" t="n">
        <v>3</v>
      </c>
      <c r="AM293" t="n">
        <v>10</v>
      </c>
      <c r="AN293" t="n">
        <v>3</v>
      </c>
      <c r="AO293" t="n">
        <v>4</v>
      </c>
      <c r="AP293" t="n">
        <v>0</v>
      </c>
      <c r="AQ293" t="n">
        <v>0</v>
      </c>
      <c r="AR293" t="inlineStr">
        <is>
          <t>No</t>
        </is>
      </c>
      <c r="AS293" t="inlineStr">
        <is>
          <t>Yes</t>
        </is>
      </c>
      <c r="AT293">
        <f>HYPERLINK("http://catalog.hathitrust.org/Record/001599067","HathiTrust Record")</f>
        <v/>
      </c>
      <c r="AU293">
        <f>HYPERLINK("https://creighton-primo.hosted.exlibrisgroup.com/primo-explore/search?tab=default_tab&amp;search_scope=EVERYTHING&amp;vid=01CRU&amp;lang=en_US&amp;offset=0&amp;query=any,contains,991003840349702656","Catalog Record")</f>
        <v/>
      </c>
      <c r="AV293">
        <f>HYPERLINK("http://www.worldcat.org/oclc/1615703","WorldCat Record")</f>
        <v/>
      </c>
      <c r="AW293" t="inlineStr">
        <is>
          <t>1543680:eng</t>
        </is>
      </c>
      <c r="AX293" t="inlineStr">
        <is>
          <t>1615703</t>
        </is>
      </c>
      <c r="AY293" t="inlineStr">
        <is>
          <t>991003840349702656</t>
        </is>
      </c>
      <c r="AZ293" t="inlineStr">
        <is>
          <t>991003840349702656</t>
        </is>
      </c>
      <c r="BA293" t="inlineStr">
        <is>
          <t>2266094440002656</t>
        </is>
      </c>
      <c r="BB293" t="inlineStr">
        <is>
          <t>BOOK</t>
        </is>
      </c>
      <c r="BE293" t="inlineStr">
        <is>
          <t>32285002286143</t>
        </is>
      </c>
      <c r="BF293" t="inlineStr">
        <is>
          <t>893349207</t>
        </is>
      </c>
    </row>
    <row r="294">
      <c r="B294" t="inlineStr">
        <is>
          <t>CURAL</t>
        </is>
      </c>
      <c r="C294" t="inlineStr">
        <is>
          <t>SHELVES</t>
        </is>
      </c>
      <c r="D294" t="inlineStr">
        <is>
          <t>CT1098.S45 A63</t>
        </is>
      </c>
      <c r="E294" t="inlineStr">
        <is>
          <t>0                      CT 1098000S  45                 A  63</t>
        </is>
      </c>
      <c r="F294" t="inlineStr">
        <is>
          <t>The world of Albert Schweitzer : a book of photographs / by Erica Anderson. With text and captions by Eugene Exman.</t>
        </is>
      </c>
      <c r="H294" t="inlineStr">
        <is>
          <t>No</t>
        </is>
      </c>
      <c r="I294" t="inlineStr">
        <is>
          <t>1</t>
        </is>
      </c>
      <c r="J294" t="inlineStr">
        <is>
          <t>No</t>
        </is>
      </c>
      <c r="K294" t="inlineStr">
        <is>
          <t>No</t>
        </is>
      </c>
      <c r="L294" t="inlineStr">
        <is>
          <t>0</t>
        </is>
      </c>
      <c r="M294" t="inlineStr">
        <is>
          <t>Anderson, Erica.</t>
        </is>
      </c>
      <c r="N294" t="inlineStr">
        <is>
          <t>New York : Harper, [c1955]</t>
        </is>
      </c>
      <c r="O294" t="inlineStr">
        <is>
          <t>1955</t>
        </is>
      </c>
      <c r="Q294" t="inlineStr">
        <is>
          <t>eng</t>
        </is>
      </c>
      <c r="R294" t="inlineStr">
        <is>
          <t>nyu</t>
        </is>
      </c>
      <c r="T294" t="inlineStr">
        <is>
          <t xml:space="preserve">CT </t>
        </is>
      </c>
      <c r="U294" t="n">
        <v>1</v>
      </c>
      <c r="V294" t="n">
        <v>1</v>
      </c>
      <c r="W294" t="inlineStr">
        <is>
          <t>2010-06-23</t>
        </is>
      </c>
      <c r="X294" t="inlineStr">
        <is>
          <t>2010-06-23</t>
        </is>
      </c>
      <c r="Y294" t="inlineStr">
        <is>
          <t>1991-10-07</t>
        </is>
      </c>
      <c r="Z294" t="inlineStr">
        <is>
          <t>1991-10-07</t>
        </is>
      </c>
      <c r="AA294" t="n">
        <v>1358</v>
      </c>
      <c r="AB294" t="n">
        <v>1273</v>
      </c>
      <c r="AC294" t="n">
        <v>1283</v>
      </c>
      <c r="AD294" t="n">
        <v>14</v>
      </c>
      <c r="AE294" t="n">
        <v>14</v>
      </c>
      <c r="AF294" t="n">
        <v>25</v>
      </c>
      <c r="AG294" t="n">
        <v>25</v>
      </c>
      <c r="AH294" t="n">
        <v>12</v>
      </c>
      <c r="AI294" t="n">
        <v>12</v>
      </c>
      <c r="AJ294" t="n">
        <v>1</v>
      </c>
      <c r="AK294" t="n">
        <v>1</v>
      </c>
      <c r="AL294" t="n">
        <v>8</v>
      </c>
      <c r="AM294" t="n">
        <v>8</v>
      </c>
      <c r="AN294" t="n">
        <v>7</v>
      </c>
      <c r="AO294" t="n">
        <v>7</v>
      </c>
      <c r="AP294" t="n">
        <v>0</v>
      </c>
      <c r="AQ294" t="n">
        <v>0</v>
      </c>
      <c r="AR294" t="inlineStr">
        <is>
          <t>No</t>
        </is>
      </c>
      <c r="AS294" t="inlineStr">
        <is>
          <t>Yes</t>
        </is>
      </c>
      <c r="AT294">
        <f>HYPERLINK("http://catalog.hathitrust.org/Record/001599073","HathiTrust Record")</f>
        <v/>
      </c>
      <c r="AU294">
        <f>HYPERLINK("https://creighton-primo.hosted.exlibrisgroup.com/primo-explore/search?tab=default_tab&amp;search_scope=EVERYTHING&amp;vid=01CRU&amp;lang=en_US&amp;offset=0&amp;query=any,contains,991003663729702656","Catalog Record")</f>
        <v/>
      </c>
      <c r="AV294">
        <f>HYPERLINK("http://www.worldcat.org/oclc/1276099","WorldCat Record")</f>
        <v/>
      </c>
      <c r="AW294" t="inlineStr">
        <is>
          <t>200973262:eng</t>
        </is>
      </c>
      <c r="AX294" t="inlineStr">
        <is>
          <t>1276099</t>
        </is>
      </c>
      <c r="AY294" t="inlineStr">
        <is>
          <t>991003663729702656</t>
        </is>
      </c>
      <c r="AZ294" t="inlineStr">
        <is>
          <t>991003663729702656</t>
        </is>
      </c>
      <c r="BA294" t="inlineStr">
        <is>
          <t>2259828230002656</t>
        </is>
      </c>
      <c r="BB294" t="inlineStr">
        <is>
          <t>BOOK</t>
        </is>
      </c>
      <c r="BE294" t="inlineStr">
        <is>
          <t>32285000763986</t>
        </is>
      </c>
      <c r="BF294" t="inlineStr">
        <is>
          <t>893775019</t>
        </is>
      </c>
    </row>
    <row r="295">
      <c r="B295" t="inlineStr">
        <is>
          <t>CURAL</t>
        </is>
      </c>
      <c r="C295" t="inlineStr">
        <is>
          <t>SHELVES</t>
        </is>
      </c>
      <c r="D295" t="inlineStr">
        <is>
          <t>CT1098.S45 F68 1974</t>
        </is>
      </c>
      <c r="E295" t="inlineStr">
        <is>
          <t>0                      CT 1098000S  45                 F  68          1974</t>
        </is>
      </c>
      <c r="F295" t="inlineStr">
        <is>
          <t>Days with Albert Schweitzer; a Lambaréné landscape. Illustrated by the author.</t>
        </is>
      </c>
      <c r="H295" t="inlineStr">
        <is>
          <t>No</t>
        </is>
      </c>
      <c r="I295" t="inlineStr">
        <is>
          <t>1</t>
        </is>
      </c>
      <c r="J295" t="inlineStr">
        <is>
          <t>No</t>
        </is>
      </c>
      <c r="K295" t="inlineStr">
        <is>
          <t>No</t>
        </is>
      </c>
      <c r="L295" t="inlineStr">
        <is>
          <t>0</t>
        </is>
      </c>
      <c r="M295" t="inlineStr">
        <is>
          <t>Franck, Frederick, 1909-2006.</t>
        </is>
      </c>
      <c r="N295" t="inlineStr">
        <is>
          <t>Westport, Conn., Greenwood Press [1974, c1959]</t>
        </is>
      </c>
      <c r="O295" t="inlineStr">
        <is>
          <t>1974</t>
        </is>
      </c>
      <c r="Q295" t="inlineStr">
        <is>
          <t>eng</t>
        </is>
      </c>
      <c r="R295" t="inlineStr">
        <is>
          <t>ctu</t>
        </is>
      </c>
      <c r="T295" t="inlineStr">
        <is>
          <t xml:space="preserve">CT </t>
        </is>
      </c>
      <c r="U295" t="n">
        <v>3</v>
      </c>
      <c r="V295" t="n">
        <v>3</v>
      </c>
      <c r="W295" t="inlineStr">
        <is>
          <t>2005-04-14</t>
        </is>
      </c>
      <c r="X295" t="inlineStr">
        <is>
          <t>2005-04-14</t>
        </is>
      </c>
      <c r="Y295" t="inlineStr">
        <is>
          <t>1996-08-22</t>
        </is>
      </c>
      <c r="Z295" t="inlineStr">
        <is>
          <t>1996-08-22</t>
        </is>
      </c>
      <c r="AA295" t="n">
        <v>68</v>
      </c>
      <c r="AB295" t="n">
        <v>63</v>
      </c>
      <c r="AC295" t="n">
        <v>769</v>
      </c>
      <c r="AD295" t="n">
        <v>1</v>
      </c>
      <c r="AE295" t="n">
        <v>4</v>
      </c>
      <c r="AF295" t="n">
        <v>3</v>
      </c>
      <c r="AG295" t="n">
        <v>14</v>
      </c>
      <c r="AH295" t="n">
        <v>1</v>
      </c>
      <c r="AI295" t="n">
        <v>5</v>
      </c>
      <c r="AJ295" t="n">
        <v>2</v>
      </c>
      <c r="AK295" t="n">
        <v>3</v>
      </c>
      <c r="AL295" t="n">
        <v>1</v>
      </c>
      <c r="AM295" t="n">
        <v>5</v>
      </c>
      <c r="AN295" t="n">
        <v>0</v>
      </c>
      <c r="AO295" t="n">
        <v>2</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HYPERLINK("https://creighton-primo.hosted.exlibrisgroup.com/primo-explore/search?tab=default_tab&amp;search_scope=EVERYTHING&amp;vid=01CRU&amp;lang=en_US&amp;offset=0&amp;query=any,contains,991003304809702656","Catalog Record")</f>
        <v/>
      </c>
      <c r="AV295">
        <f>HYPERLINK("http://www.worldcat.org/oclc/827896","WorldCat Record")</f>
        <v/>
      </c>
      <c r="AW295" t="inlineStr">
        <is>
          <t>200346637:eng</t>
        </is>
      </c>
      <c r="AX295" t="inlineStr">
        <is>
          <t>827896</t>
        </is>
      </c>
      <c r="AY295" t="inlineStr">
        <is>
          <t>991003304809702656</t>
        </is>
      </c>
      <c r="AZ295" t="inlineStr">
        <is>
          <t>991003304809702656</t>
        </is>
      </c>
      <c r="BA295" t="inlineStr">
        <is>
          <t>2270602520002656</t>
        </is>
      </c>
      <c r="BB295" t="inlineStr">
        <is>
          <t>BOOK</t>
        </is>
      </c>
      <c r="BD295" t="inlineStr">
        <is>
          <t>9780837173412</t>
        </is>
      </c>
      <c r="BE295" t="inlineStr">
        <is>
          <t>32285002286168</t>
        </is>
      </c>
      <c r="BF295" t="inlineStr">
        <is>
          <t>893518358</t>
        </is>
      </c>
    </row>
    <row r="296">
      <c r="B296" t="inlineStr">
        <is>
          <t>CURAL</t>
        </is>
      </c>
      <c r="C296" t="inlineStr">
        <is>
          <t>SHELVES</t>
        </is>
      </c>
      <c r="D296" t="inlineStr">
        <is>
          <t>CT1098.S45 P3</t>
        </is>
      </c>
      <c r="E296" t="inlineStr">
        <is>
          <t>0                      CT 1098000S  45                 P  3</t>
        </is>
      </c>
      <c r="F296" t="inlineStr">
        <is>
          <t>The three worlds of Albert Schweitzer.</t>
        </is>
      </c>
      <c r="H296" t="inlineStr">
        <is>
          <t>No</t>
        </is>
      </c>
      <c r="I296" t="inlineStr">
        <is>
          <t>1</t>
        </is>
      </c>
      <c r="J296" t="inlineStr">
        <is>
          <t>No</t>
        </is>
      </c>
      <c r="K296" t="inlineStr">
        <is>
          <t>No</t>
        </is>
      </c>
      <c r="L296" t="inlineStr">
        <is>
          <t>0</t>
        </is>
      </c>
      <c r="M296" t="inlineStr">
        <is>
          <t>Payne, Robert, 1911-1983.</t>
        </is>
      </c>
      <c r="N296" t="inlineStr">
        <is>
          <t>New York, T. Nelson [1957]</t>
        </is>
      </c>
      <c r="O296" t="inlineStr">
        <is>
          <t>1957</t>
        </is>
      </c>
      <c r="Q296" t="inlineStr">
        <is>
          <t>eng</t>
        </is>
      </c>
      <c r="R296" t="inlineStr">
        <is>
          <t>nyu</t>
        </is>
      </c>
      <c r="T296" t="inlineStr">
        <is>
          <t xml:space="preserve">CT </t>
        </is>
      </c>
      <c r="U296" t="n">
        <v>4</v>
      </c>
      <c r="V296" t="n">
        <v>4</v>
      </c>
      <c r="W296" t="inlineStr">
        <is>
          <t>1999-07-21</t>
        </is>
      </c>
      <c r="X296" t="inlineStr">
        <is>
          <t>1999-07-21</t>
        </is>
      </c>
      <c r="Y296" t="inlineStr">
        <is>
          <t>1996-08-22</t>
        </is>
      </c>
      <c r="Z296" t="inlineStr">
        <is>
          <t>1996-08-22</t>
        </is>
      </c>
      <c r="AA296" t="n">
        <v>948</v>
      </c>
      <c r="AB296" t="n">
        <v>918</v>
      </c>
      <c r="AC296" t="n">
        <v>930</v>
      </c>
      <c r="AD296" t="n">
        <v>14</v>
      </c>
      <c r="AE296" t="n">
        <v>14</v>
      </c>
      <c r="AF296" t="n">
        <v>24</v>
      </c>
      <c r="AG296" t="n">
        <v>24</v>
      </c>
      <c r="AH296" t="n">
        <v>9</v>
      </c>
      <c r="AI296" t="n">
        <v>9</v>
      </c>
      <c r="AJ296" t="n">
        <v>3</v>
      </c>
      <c r="AK296" t="n">
        <v>3</v>
      </c>
      <c r="AL296" t="n">
        <v>7</v>
      </c>
      <c r="AM296" t="n">
        <v>7</v>
      </c>
      <c r="AN296" t="n">
        <v>8</v>
      </c>
      <c r="AO296" t="n">
        <v>8</v>
      </c>
      <c r="AP296" t="n">
        <v>0</v>
      </c>
      <c r="AQ296" t="n">
        <v>0</v>
      </c>
      <c r="AR296" t="inlineStr">
        <is>
          <t>No</t>
        </is>
      </c>
      <c r="AS296" t="inlineStr">
        <is>
          <t>Yes</t>
        </is>
      </c>
      <c r="AT296">
        <f>HYPERLINK("http://catalog.hathitrust.org/Record/001599088","HathiTrust Record")</f>
        <v/>
      </c>
      <c r="AU296">
        <f>HYPERLINK("https://creighton-primo.hosted.exlibrisgroup.com/primo-explore/search?tab=default_tab&amp;search_scope=EVERYTHING&amp;vid=01CRU&amp;lang=en_US&amp;offset=0&amp;query=any,contains,991002660489702656","Catalog Record")</f>
        <v/>
      </c>
      <c r="AV296">
        <f>HYPERLINK("http://www.worldcat.org/oclc/391196","WorldCat Record")</f>
        <v/>
      </c>
      <c r="AW296" t="inlineStr">
        <is>
          <t>57104134:eng</t>
        </is>
      </c>
      <c r="AX296" t="inlineStr">
        <is>
          <t>391196</t>
        </is>
      </c>
      <c r="AY296" t="inlineStr">
        <is>
          <t>991002660489702656</t>
        </is>
      </c>
      <c r="AZ296" t="inlineStr">
        <is>
          <t>991002660489702656</t>
        </is>
      </c>
      <c r="BA296" t="inlineStr">
        <is>
          <t>2263137420002656</t>
        </is>
      </c>
      <c r="BB296" t="inlineStr">
        <is>
          <t>BOOK</t>
        </is>
      </c>
      <c r="BE296" t="inlineStr">
        <is>
          <t>32285002286176</t>
        </is>
      </c>
      <c r="BF296" t="inlineStr">
        <is>
          <t>893535122</t>
        </is>
      </c>
    </row>
    <row r="297">
      <c r="B297" t="inlineStr">
        <is>
          <t>CURAL</t>
        </is>
      </c>
      <c r="C297" t="inlineStr">
        <is>
          <t>SHELVES</t>
        </is>
      </c>
      <c r="D297" t="inlineStr">
        <is>
          <t>CT1098.S45 P47</t>
        </is>
      </c>
      <c r="E297" t="inlineStr">
        <is>
          <t>0                      CT 1098000S  45                 P  47</t>
        </is>
      </c>
      <c r="F297" t="inlineStr">
        <is>
          <t>Safari of discovery : the universe of Albert Schweitzer / by Herbert M. Phillips.</t>
        </is>
      </c>
      <c r="H297" t="inlineStr">
        <is>
          <t>No</t>
        </is>
      </c>
      <c r="I297" t="inlineStr">
        <is>
          <t>1</t>
        </is>
      </c>
      <c r="J297" t="inlineStr">
        <is>
          <t>No</t>
        </is>
      </c>
      <c r="K297" t="inlineStr">
        <is>
          <t>No</t>
        </is>
      </c>
      <c r="L297" t="inlineStr">
        <is>
          <t>0</t>
        </is>
      </c>
      <c r="M297" t="inlineStr">
        <is>
          <t>Phillips, Herbert M., 1910-1965.</t>
        </is>
      </c>
      <c r="N297" t="inlineStr">
        <is>
          <t>New York : Twayne Publishers, 1958.</t>
        </is>
      </c>
      <c r="O297" t="inlineStr">
        <is>
          <t>1958</t>
        </is>
      </c>
      <c r="Q297" t="inlineStr">
        <is>
          <t>eng</t>
        </is>
      </c>
      <c r="R297" t="inlineStr">
        <is>
          <t>___</t>
        </is>
      </c>
      <c r="T297" t="inlineStr">
        <is>
          <t xml:space="preserve">CT </t>
        </is>
      </c>
      <c r="U297" t="n">
        <v>1</v>
      </c>
      <c r="V297" t="n">
        <v>1</v>
      </c>
      <c r="W297" t="inlineStr">
        <is>
          <t>2002-12-01</t>
        </is>
      </c>
      <c r="X297" t="inlineStr">
        <is>
          <t>2002-12-01</t>
        </is>
      </c>
      <c r="Y297" t="inlineStr">
        <is>
          <t>1992-06-10</t>
        </is>
      </c>
      <c r="Z297" t="inlineStr">
        <is>
          <t>1992-06-10</t>
        </is>
      </c>
      <c r="AA297" t="n">
        <v>200</v>
      </c>
      <c r="AB297" t="n">
        <v>186</v>
      </c>
      <c r="AC297" t="n">
        <v>207</v>
      </c>
      <c r="AD297" t="n">
        <v>2</v>
      </c>
      <c r="AE297" t="n">
        <v>2</v>
      </c>
      <c r="AF297" t="n">
        <v>2</v>
      </c>
      <c r="AG297" t="n">
        <v>3</v>
      </c>
      <c r="AH297" t="n">
        <v>1</v>
      </c>
      <c r="AI297" t="n">
        <v>2</v>
      </c>
      <c r="AJ297" t="n">
        <v>0</v>
      </c>
      <c r="AK297" t="n">
        <v>0</v>
      </c>
      <c r="AL297" t="n">
        <v>0</v>
      </c>
      <c r="AM297" t="n">
        <v>0</v>
      </c>
      <c r="AN297" t="n">
        <v>1</v>
      </c>
      <c r="AO297" t="n">
        <v>1</v>
      </c>
      <c r="AP297" t="n">
        <v>0</v>
      </c>
      <c r="AQ297" t="n">
        <v>0</v>
      </c>
      <c r="AR297" t="inlineStr">
        <is>
          <t>Yes</t>
        </is>
      </c>
      <c r="AS297" t="inlineStr">
        <is>
          <t>No</t>
        </is>
      </c>
      <c r="AT297">
        <f>HYPERLINK("http://catalog.hathitrust.org/Record/001599089","HathiTrust Record")</f>
        <v/>
      </c>
      <c r="AU297">
        <f>HYPERLINK("https://creighton-primo.hosted.exlibrisgroup.com/primo-explore/search?tab=default_tab&amp;search_scope=EVERYTHING&amp;vid=01CRU&amp;lang=en_US&amp;offset=0&amp;query=any,contains,991002761629702656","Catalog Record")</f>
        <v/>
      </c>
      <c r="AV297">
        <f>HYPERLINK("http://www.worldcat.org/oclc/429116","WorldCat Record")</f>
        <v/>
      </c>
      <c r="AW297" t="inlineStr">
        <is>
          <t>290891502:eng</t>
        </is>
      </c>
      <c r="AX297" t="inlineStr">
        <is>
          <t>429116</t>
        </is>
      </c>
      <c r="AY297" t="inlineStr">
        <is>
          <t>991002761629702656</t>
        </is>
      </c>
      <c r="AZ297" t="inlineStr">
        <is>
          <t>991002761629702656</t>
        </is>
      </c>
      <c r="BA297" t="inlineStr">
        <is>
          <t>2264433250002656</t>
        </is>
      </c>
      <c r="BB297" t="inlineStr">
        <is>
          <t>BOOK</t>
        </is>
      </c>
      <c r="BE297" t="inlineStr">
        <is>
          <t>32285001166197</t>
        </is>
      </c>
      <c r="BF297" t="inlineStr">
        <is>
          <t>893899196</t>
        </is>
      </c>
    </row>
    <row r="298">
      <c r="B298" t="inlineStr">
        <is>
          <t>CURAL</t>
        </is>
      </c>
      <c r="C298" t="inlineStr">
        <is>
          <t>SHELVES</t>
        </is>
      </c>
      <c r="D298" t="inlineStr">
        <is>
          <t>CT1098.S45 S35</t>
        </is>
      </c>
      <c r="E298" t="inlineStr">
        <is>
          <t>0                      CT 1098000S  45                 S  35</t>
        </is>
      </c>
      <c r="F298" t="inlineStr">
        <is>
          <t>Albert Schweitzer, the man and his mind.</t>
        </is>
      </c>
      <c r="H298" t="inlineStr">
        <is>
          <t>No</t>
        </is>
      </c>
      <c r="I298" t="inlineStr">
        <is>
          <t>1</t>
        </is>
      </c>
      <c r="J298" t="inlineStr">
        <is>
          <t>No</t>
        </is>
      </c>
      <c r="K298" t="inlineStr">
        <is>
          <t>No</t>
        </is>
      </c>
      <c r="L298" t="inlineStr">
        <is>
          <t>0</t>
        </is>
      </c>
      <c r="M298" t="inlineStr">
        <is>
          <t>Seaver, George, 1890-1976.</t>
        </is>
      </c>
      <c r="N298" t="inlineStr">
        <is>
          <t>New York, Harper [1955]</t>
        </is>
      </c>
      <c r="O298" t="inlineStr">
        <is>
          <t>1955</t>
        </is>
      </c>
      <c r="P298" t="inlineStr">
        <is>
          <t>Rev. ed.</t>
        </is>
      </c>
      <c r="Q298" t="inlineStr">
        <is>
          <t>eng</t>
        </is>
      </c>
      <c r="R298" t="inlineStr">
        <is>
          <t>nyu</t>
        </is>
      </c>
      <c r="T298" t="inlineStr">
        <is>
          <t xml:space="preserve">CT </t>
        </is>
      </c>
      <c r="U298" t="n">
        <v>1</v>
      </c>
      <c r="V298" t="n">
        <v>1</v>
      </c>
      <c r="W298" t="inlineStr">
        <is>
          <t>2002-12-01</t>
        </is>
      </c>
      <c r="X298" t="inlineStr">
        <is>
          <t>2002-12-01</t>
        </is>
      </c>
      <c r="Y298" t="inlineStr">
        <is>
          <t>1996-08-22</t>
        </is>
      </c>
      <c r="Z298" t="inlineStr">
        <is>
          <t>1996-08-22</t>
        </is>
      </c>
      <c r="AA298" t="n">
        <v>255</v>
      </c>
      <c r="AB298" t="n">
        <v>245</v>
      </c>
      <c r="AC298" t="n">
        <v>1043</v>
      </c>
      <c r="AD298" t="n">
        <v>1</v>
      </c>
      <c r="AE298" t="n">
        <v>7</v>
      </c>
      <c r="AF298" t="n">
        <v>2</v>
      </c>
      <c r="AG298" t="n">
        <v>32</v>
      </c>
      <c r="AH298" t="n">
        <v>2</v>
      </c>
      <c r="AI298" t="n">
        <v>15</v>
      </c>
      <c r="AJ298" t="n">
        <v>0</v>
      </c>
      <c r="AK298" t="n">
        <v>7</v>
      </c>
      <c r="AL298" t="n">
        <v>0</v>
      </c>
      <c r="AM298" t="n">
        <v>10</v>
      </c>
      <c r="AN298" t="n">
        <v>0</v>
      </c>
      <c r="AO298" t="n">
        <v>6</v>
      </c>
      <c r="AP298" t="n">
        <v>0</v>
      </c>
      <c r="AQ298" t="n">
        <v>0</v>
      </c>
      <c r="AR298" t="inlineStr">
        <is>
          <t>No</t>
        </is>
      </c>
      <c r="AS298" t="inlineStr">
        <is>
          <t>Yes</t>
        </is>
      </c>
      <c r="AT298">
        <f>HYPERLINK("http://catalog.hathitrust.org/Record/101667560","HathiTrust Record")</f>
        <v/>
      </c>
      <c r="AU298">
        <f>HYPERLINK("https://creighton-primo.hosted.exlibrisgroup.com/primo-explore/search?tab=default_tab&amp;search_scope=EVERYTHING&amp;vid=01CRU&amp;lang=en_US&amp;offset=0&amp;query=any,contains,991005234169702656","Catalog Record")</f>
        <v/>
      </c>
      <c r="AV298">
        <f>HYPERLINK("http://www.worldcat.org/oclc/8348201","WorldCat Record")</f>
        <v/>
      </c>
      <c r="AW298" t="inlineStr">
        <is>
          <t>3804160150:eng</t>
        </is>
      </c>
      <c r="AX298" t="inlineStr">
        <is>
          <t>8348201</t>
        </is>
      </c>
      <c r="AY298" t="inlineStr">
        <is>
          <t>991005234169702656</t>
        </is>
      </c>
      <c r="AZ298" t="inlineStr">
        <is>
          <t>991005234169702656</t>
        </is>
      </c>
      <c r="BA298" t="inlineStr">
        <is>
          <t>2262041830002656</t>
        </is>
      </c>
      <c r="BB298" t="inlineStr">
        <is>
          <t>BOOK</t>
        </is>
      </c>
      <c r="BE298" t="inlineStr">
        <is>
          <t>32285002286184</t>
        </is>
      </c>
      <c r="BF298" t="inlineStr">
        <is>
          <t>893801975</t>
        </is>
      </c>
    </row>
    <row r="299">
      <c r="B299" t="inlineStr">
        <is>
          <t>CURAL</t>
        </is>
      </c>
      <c r="C299" t="inlineStr">
        <is>
          <t>SHELVES</t>
        </is>
      </c>
      <c r="D299" t="inlineStr">
        <is>
          <t>CT1118.G32 G33 1983</t>
        </is>
      </c>
      <c r="E299" t="inlineStr">
        <is>
          <t>0                      CT 1118000G  32                 G  33          1983</t>
        </is>
      </c>
      <c r="F299" t="inlineStr">
        <is>
          <t>Eleni / Nicholas Gage.</t>
        </is>
      </c>
      <c r="H299" t="inlineStr">
        <is>
          <t>No</t>
        </is>
      </c>
      <c r="I299" t="inlineStr">
        <is>
          <t>1</t>
        </is>
      </c>
      <c r="J299" t="inlineStr">
        <is>
          <t>No</t>
        </is>
      </c>
      <c r="K299" t="inlineStr">
        <is>
          <t>No</t>
        </is>
      </c>
      <c r="L299" t="inlineStr">
        <is>
          <t>0</t>
        </is>
      </c>
      <c r="M299" t="inlineStr">
        <is>
          <t>Gage, Nicholas.</t>
        </is>
      </c>
      <c r="N299" t="inlineStr">
        <is>
          <t>New York : Random House, c1983.</t>
        </is>
      </c>
      <c r="O299" t="inlineStr">
        <is>
          <t>1983</t>
        </is>
      </c>
      <c r="P299" t="inlineStr">
        <is>
          <t>1st ed.</t>
        </is>
      </c>
      <c r="Q299" t="inlineStr">
        <is>
          <t>eng</t>
        </is>
      </c>
      <c r="R299" t="inlineStr">
        <is>
          <t>nyu</t>
        </is>
      </c>
      <c r="T299" t="inlineStr">
        <is>
          <t xml:space="preserve">CT </t>
        </is>
      </c>
      <c r="U299" t="n">
        <v>2</v>
      </c>
      <c r="V299" t="n">
        <v>2</v>
      </c>
      <c r="W299" t="inlineStr">
        <is>
          <t>1994-04-20</t>
        </is>
      </c>
      <c r="X299" t="inlineStr">
        <is>
          <t>1994-04-20</t>
        </is>
      </c>
      <c r="Y299" t="inlineStr">
        <is>
          <t>1992-06-10</t>
        </is>
      </c>
      <c r="Z299" t="inlineStr">
        <is>
          <t>1992-06-10</t>
        </is>
      </c>
      <c r="AA299" t="n">
        <v>1721</v>
      </c>
      <c r="AB299" t="n">
        <v>1632</v>
      </c>
      <c r="AC299" t="n">
        <v>1805</v>
      </c>
      <c r="AD299" t="n">
        <v>14</v>
      </c>
      <c r="AE299" t="n">
        <v>16</v>
      </c>
      <c r="AF299" t="n">
        <v>26</v>
      </c>
      <c r="AG299" t="n">
        <v>29</v>
      </c>
      <c r="AH299" t="n">
        <v>8</v>
      </c>
      <c r="AI299" t="n">
        <v>9</v>
      </c>
      <c r="AJ299" t="n">
        <v>5</v>
      </c>
      <c r="AK299" t="n">
        <v>5</v>
      </c>
      <c r="AL299" t="n">
        <v>12</v>
      </c>
      <c r="AM299" t="n">
        <v>13</v>
      </c>
      <c r="AN299" t="n">
        <v>3</v>
      </c>
      <c r="AO299" t="n">
        <v>4</v>
      </c>
      <c r="AP299" t="n">
        <v>0</v>
      </c>
      <c r="AQ299" t="n">
        <v>0</v>
      </c>
      <c r="AR299" t="inlineStr">
        <is>
          <t>No</t>
        </is>
      </c>
      <c r="AS299" t="inlineStr">
        <is>
          <t>Yes</t>
        </is>
      </c>
      <c r="AT299">
        <f>HYPERLINK("http://catalog.hathitrust.org/Record/000198935","HathiTrust Record")</f>
        <v/>
      </c>
      <c r="AU299">
        <f>HYPERLINK("https://creighton-primo.hosted.exlibrisgroup.com/primo-explore/search?tab=default_tab&amp;search_scope=EVERYTHING&amp;vid=01CRU&amp;lang=en_US&amp;offset=0&amp;query=any,contains,991000152159702656","Catalog Record")</f>
        <v/>
      </c>
      <c r="AV299">
        <f>HYPERLINK("http://www.worldcat.org/oclc/9217353","WorldCat Record")</f>
        <v/>
      </c>
      <c r="AW299" t="inlineStr">
        <is>
          <t>1962639:eng</t>
        </is>
      </c>
      <c r="AX299" t="inlineStr">
        <is>
          <t>9217353</t>
        </is>
      </c>
      <c r="AY299" t="inlineStr">
        <is>
          <t>991000152159702656</t>
        </is>
      </c>
      <c r="AZ299" t="inlineStr">
        <is>
          <t>991000152159702656</t>
        </is>
      </c>
      <c r="BA299" t="inlineStr">
        <is>
          <t>2267779180002656</t>
        </is>
      </c>
      <c r="BB299" t="inlineStr">
        <is>
          <t>BOOK</t>
        </is>
      </c>
      <c r="BD299" t="inlineStr">
        <is>
          <t>9780394520933</t>
        </is>
      </c>
      <c r="BE299" t="inlineStr">
        <is>
          <t>32285001166213</t>
        </is>
      </c>
      <c r="BF299" t="inlineStr">
        <is>
          <t>893708170</t>
        </is>
      </c>
    </row>
    <row r="300">
      <c r="B300" t="inlineStr">
        <is>
          <t>CURAL</t>
        </is>
      </c>
      <c r="C300" t="inlineStr">
        <is>
          <t>SHELVES</t>
        </is>
      </c>
      <c r="D300" t="inlineStr">
        <is>
          <t>CT119 .P37 1996</t>
        </is>
      </c>
      <c r="E300" t="inlineStr">
        <is>
          <t>0                      CT 0119000P  37          1996</t>
        </is>
      </c>
      <c r="F300" t="inlineStr">
        <is>
          <t>The Norton book of interviews : an anthology from 1859 to the present day / edited with an introduction by Christopher Silvester.</t>
        </is>
      </c>
      <c r="H300" t="inlineStr">
        <is>
          <t>No</t>
        </is>
      </c>
      <c r="I300" t="inlineStr">
        <is>
          <t>1</t>
        </is>
      </c>
      <c r="J300" t="inlineStr">
        <is>
          <t>No</t>
        </is>
      </c>
      <c r="K300" t="inlineStr">
        <is>
          <t>No</t>
        </is>
      </c>
      <c r="L300" t="inlineStr">
        <is>
          <t>0</t>
        </is>
      </c>
      <c r="M300" t="inlineStr">
        <is>
          <t>Penguin book of interviews.</t>
        </is>
      </c>
      <c r="N300" t="inlineStr">
        <is>
          <t>New York : W.W. Norton &amp; Co., 1996.</t>
        </is>
      </c>
      <c r="O300" t="inlineStr">
        <is>
          <t>1996</t>
        </is>
      </c>
      <c r="P300" t="inlineStr">
        <is>
          <t>1st American ed.</t>
        </is>
      </c>
      <c r="Q300" t="inlineStr">
        <is>
          <t>eng</t>
        </is>
      </c>
      <c r="R300" t="inlineStr">
        <is>
          <t>nyu</t>
        </is>
      </c>
      <c r="T300" t="inlineStr">
        <is>
          <t xml:space="preserve">CT </t>
        </is>
      </c>
      <c r="U300" t="n">
        <v>1</v>
      </c>
      <c r="V300" t="n">
        <v>1</v>
      </c>
      <c r="W300" t="inlineStr">
        <is>
          <t>2009-07-15</t>
        </is>
      </c>
      <c r="X300" t="inlineStr">
        <is>
          <t>2009-07-15</t>
        </is>
      </c>
      <c r="Y300" t="inlineStr">
        <is>
          <t>1996-06-11</t>
        </is>
      </c>
      <c r="Z300" t="inlineStr">
        <is>
          <t>1996-06-11</t>
        </is>
      </c>
      <c r="AA300" t="n">
        <v>629</v>
      </c>
      <c r="AB300" t="n">
        <v>607</v>
      </c>
      <c r="AC300" t="n">
        <v>627</v>
      </c>
      <c r="AD300" t="n">
        <v>3</v>
      </c>
      <c r="AE300" t="n">
        <v>3</v>
      </c>
      <c r="AF300" t="n">
        <v>16</v>
      </c>
      <c r="AG300" t="n">
        <v>16</v>
      </c>
      <c r="AH300" t="n">
        <v>4</v>
      </c>
      <c r="AI300" t="n">
        <v>4</v>
      </c>
      <c r="AJ300" t="n">
        <v>4</v>
      </c>
      <c r="AK300" t="n">
        <v>4</v>
      </c>
      <c r="AL300" t="n">
        <v>11</v>
      </c>
      <c r="AM300" t="n">
        <v>11</v>
      </c>
      <c r="AN300" t="n">
        <v>1</v>
      </c>
      <c r="AO300" t="n">
        <v>1</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HYPERLINK("https://creighton-primo.hosted.exlibrisgroup.com/primo-explore/search?tab=default_tab&amp;search_scope=EVERYTHING&amp;vid=01CRU&amp;lang=en_US&amp;offset=0&amp;query=any,contains,991002462169702656","Catalog Record")</f>
        <v/>
      </c>
      <c r="AV300">
        <f>HYPERLINK("http://www.worldcat.org/oclc/32087169","WorldCat Record")</f>
        <v/>
      </c>
      <c r="AW300" t="inlineStr">
        <is>
          <t>9565710541:eng</t>
        </is>
      </c>
      <c r="AX300" t="inlineStr">
        <is>
          <t>32087169</t>
        </is>
      </c>
      <c r="AY300" t="inlineStr">
        <is>
          <t>991002462169702656</t>
        </is>
      </c>
      <c r="AZ300" t="inlineStr">
        <is>
          <t>991002462169702656</t>
        </is>
      </c>
      <c r="BA300" t="inlineStr">
        <is>
          <t>2271118990002656</t>
        </is>
      </c>
      <c r="BB300" t="inlineStr">
        <is>
          <t>BOOK</t>
        </is>
      </c>
      <c r="BD300" t="inlineStr">
        <is>
          <t>9780393038767</t>
        </is>
      </c>
      <c r="BE300" t="inlineStr">
        <is>
          <t>32285002191152</t>
        </is>
      </c>
      <c r="BF300" t="inlineStr">
        <is>
          <t>893704108</t>
        </is>
      </c>
    </row>
    <row r="301">
      <c r="B301" t="inlineStr">
        <is>
          <t>CURAL</t>
        </is>
      </c>
      <c r="C301" t="inlineStr">
        <is>
          <t>SHELVES</t>
        </is>
      </c>
      <c r="D301" t="inlineStr">
        <is>
          <t>CT119 .S62</t>
        </is>
      </c>
      <c r="E301" t="inlineStr">
        <is>
          <t>0                      CT 0119000S  62</t>
        </is>
      </c>
      <c r="F301" t="inlineStr">
        <is>
          <t>Six major prophets, by Edwin E. Slosson ...</t>
        </is>
      </c>
      <c r="H301" t="inlineStr">
        <is>
          <t>No</t>
        </is>
      </c>
      <c r="I301" t="inlineStr">
        <is>
          <t>1</t>
        </is>
      </c>
      <c r="J301" t="inlineStr">
        <is>
          <t>No</t>
        </is>
      </c>
      <c r="K301" t="inlineStr">
        <is>
          <t>No</t>
        </is>
      </c>
      <c r="L301" t="inlineStr">
        <is>
          <t>0</t>
        </is>
      </c>
      <c r="M301" t="inlineStr">
        <is>
          <t>Slosson, Edwin E. (Edwin Emery), 1865-1929.</t>
        </is>
      </c>
      <c r="N301" t="inlineStr">
        <is>
          <t>Boston, Little, Brown, and Company, 1917.</t>
        </is>
      </c>
      <c r="O301" t="inlineStr">
        <is>
          <t>1917</t>
        </is>
      </c>
      <c r="Q301" t="inlineStr">
        <is>
          <t>eng</t>
        </is>
      </c>
      <c r="R301" t="inlineStr">
        <is>
          <t>mau</t>
        </is>
      </c>
      <c r="T301" t="inlineStr">
        <is>
          <t xml:space="preserve">CT </t>
        </is>
      </c>
      <c r="U301" t="n">
        <v>2</v>
      </c>
      <c r="V301" t="n">
        <v>2</v>
      </c>
      <c r="W301" t="inlineStr">
        <is>
          <t>1997-04-01</t>
        </is>
      </c>
      <c r="X301" t="inlineStr">
        <is>
          <t>1997-04-01</t>
        </is>
      </c>
      <c r="Y301" t="inlineStr">
        <is>
          <t>1996-08-22</t>
        </is>
      </c>
      <c r="Z301" t="inlineStr">
        <is>
          <t>1996-08-22</t>
        </is>
      </c>
      <c r="AA301" t="n">
        <v>182</v>
      </c>
      <c r="AB301" t="n">
        <v>168</v>
      </c>
      <c r="AC301" t="n">
        <v>307</v>
      </c>
      <c r="AD301" t="n">
        <v>1</v>
      </c>
      <c r="AE301" t="n">
        <v>4</v>
      </c>
      <c r="AF301" t="n">
        <v>5</v>
      </c>
      <c r="AG301" t="n">
        <v>13</v>
      </c>
      <c r="AH301" t="n">
        <v>1</v>
      </c>
      <c r="AI301" t="n">
        <v>4</v>
      </c>
      <c r="AJ301" t="n">
        <v>1</v>
      </c>
      <c r="AK301" t="n">
        <v>2</v>
      </c>
      <c r="AL301" t="n">
        <v>5</v>
      </c>
      <c r="AM301" t="n">
        <v>7</v>
      </c>
      <c r="AN301" t="n">
        <v>0</v>
      </c>
      <c r="AO301" t="n">
        <v>3</v>
      </c>
      <c r="AP301" t="n">
        <v>0</v>
      </c>
      <c r="AQ301" t="n">
        <v>0</v>
      </c>
      <c r="AR301" t="inlineStr">
        <is>
          <t>Yes</t>
        </is>
      </c>
      <c r="AS301" t="inlineStr">
        <is>
          <t>No</t>
        </is>
      </c>
      <c r="AT301">
        <f>HYPERLINK("http://catalog.hathitrust.org/Record/007646200","HathiTrust Record")</f>
        <v/>
      </c>
      <c r="AU301">
        <f>HYPERLINK("https://creighton-primo.hosted.exlibrisgroup.com/primo-explore/search?tab=default_tab&amp;search_scope=EVERYTHING&amp;vid=01CRU&amp;lang=en_US&amp;offset=0&amp;query=any,contains,991003459129702656","Catalog Record")</f>
        <v/>
      </c>
      <c r="AV301">
        <f>HYPERLINK("http://www.worldcat.org/oclc/999662","WorldCat Record")</f>
        <v/>
      </c>
      <c r="AW301" t="inlineStr">
        <is>
          <t>315482982:eng</t>
        </is>
      </c>
      <c r="AX301" t="inlineStr">
        <is>
          <t>999662</t>
        </is>
      </c>
      <c r="AY301" t="inlineStr">
        <is>
          <t>991003459129702656</t>
        </is>
      </c>
      <c r="AZ301" t="inlineStr">
        <is>
          <t>991003459129702656</t>
        </is>
      </c>
      <c r="BA301" t="inlineStr">
        <is>
          <t>2272189090002656</t>
        </is>
      </c>
      <c r="BB301" t="inlineStr">
        <is>
          <t>BOOK</t>
        </is>
      </c>
      <c r="BE301" t="inlineStr">
        <is>
          <t>32285002279650</t>
        </is>
      </c>
      <c r="BF301" t="inlineStr">
        <is>
          <t>893893736</t>
        </is>
      </c>
    </row>
    <row r="302">
      <c r="B302" t="inlineStr">
        <is>
          <t>CURAL</t>
        </is>
      </c>
      <c r="C302" t="inlineStr">
        <is>
          <t>SHELVES</t>
        </is>
      </c>
      <c r="D302" t="inlineStr">
        <is>
          <t>CT119 .U5</t>
        </is>
      </c>
      <c r="E302" t="inlineStr">
        <is>
          <t>0                      CT 0119000U  5</t>
        </is>
      </c>
      <c r="F302" t="inlineStr">
        <is>
          <t>Makers of the modern world; the lives of ninety-two writers, artists, scientists, statesmen, inventors, philosophers, composers, and other creators who formed the pattern of our century.</t>
        </is>
      </c>
      <c r="H302" t="inlineStr">
        <is>
          <t>No</t>
        </is>
      </c>
      <c r="I302" t="inlineStr">
        <is>
          <t>1</t>
        </is>
      </c>
      <c r="J302" t="inlineStr">
        <is>
          <t>No</t>
        </is>
      </c>
      <c r="K302" t="inlineStr">
        <is>
          <t>No</t>
        </is>
      </c>
      <c r="L302" t="inlineStr">
        <is>
          <t>0</t>
        </is>
      </c>
      <c r="M302" t="inlineStr">
        <is>
          <t>Untermeyer, Louis, 1885-1977.</t>
        </is>
      </c>
      <c r="N302" t="inlineStr">
        <is>
          <t>New York, Simon and Schuster, 1955.</t>
        </is>
      </c>
      <c r="O302" t="inlineStr">
        <is>
          <t>1955</t>
        </is>
      </c>
      <c r="Q302" t="inlineStr">
        <is>
          <t>eng</t>
        </is>
      </c>
      <c r="R302" t="inlineStr">
        <is>
          <t>nyu</t>
        </is>
      </c>
      <c r="T302" t="inlineStr">
        <is>
          <t xml:space="preserve">CT </t>
        </is>
      </c>
      <c r="U302" t="n">
        <v>3</v>
      </c>
      <c r="V302" t="n">
        <v>3</v>
      </c>
      <c r="W302" t="inlineStr">
        <is>
          <t>2010-06-28</t>
        </is>
      </c>
      <c r="X302" t="inlineStr">
        <is>
          <t>2010-06-28</t>
        </is>
      </c>
      <c r="Y302" t="inlineStr">
        <is>
          <t>1996-08-22</t>
        </is>
      </c>
      <c r="Z302" t="inlineStr">
        <is>
          <t>1996-08-22</t>
        </is>
      </c>
      <c r="AA302" t="n">
        <v>1329</v>
      </c>
      <c r="AB302" t="n">
        <v>1262</v>
      </c>
      <c r="AC302" t="n">
        <v>1300</v>
      </c>
      <c r="AD302" t="n">
        <v>8</v>
      </c>
      <c r="AE302" t="n">
        <v>9</v>
      </c>
      <c r="AF302" t="n">
        <v>29</v>
      </c>
      <c r="AG302" t="n">
        <v>30</v>
      </c>
      <c r="AH302" t="n">
        <v>13</v>
      </c>
      <c r="AI302" t="n">
        <v>13</v>
      </c>
      <c r="AJ302" t="n">
        <v>4</v>
      </c>
      <c r="AK302" t="n">
        <v>4</v>
      </c>
      <c r="AL302" t="n">
        <v>13</v>
      </c>
      <c r="AM302" t="n">
        <v>13</v>
      </c>
      <c r="AN302" t="n">
        <v>5</v>
      </c>
      <c r="AO302" t="n">
        <v>6</v>
      </c>
      <c r="AP302" t="n">
        <v>0</v>
      </c>
      <c r="AQ302" t="n">
        <v>0</v>
      </c>
      <c r="AR302" t="inlineStr">
        <is>
          <t>No</t>
        </is>
      </c>
      <c r="AS302" t="inlineStr">
        <is>
          <t>Yes</t>
        </is>
      </c>
      <c r="AT302">
        <f>HYPERLINK("http://catalog.hathitrust.org/Record/001598422","HathiTrust Record")</f>
        <v/>
      </c>
      <c r="AU302">
        <f>HYPERLINK("https://creighton-primo.hosted.exlibrisgroup.com/primo-explore/search?tab=default_tab&amp;search_scope=EVERYTHING&amp;vid=01CRU&amp;lang=en_US&amp;offset=0&amp;query=any,contains,991002661679702656","Catalog Record")</f>
        <v/>
      </c>
      <c r="AV302">
        <f>HYPERLINK("http://www.worldcat.org/oclc/391718","WorldCat Record")</f>
        <v/>
      </c>
      <c r="AW302" t="inlineStr">
        <is>
          <t>1527558:eng</t>
        </is>
      </c>
      <c r="AX302" t="inlineStr">
        <is>
          <t>391718</t>
        </is>
      </c>
      <c r="AY302" t="inlineStr">
        <is>
          <t>991002661679702656</t>
        </is>
      </c>
      <c r="AZ302" t="inlineStr">
        <is>
          <t>991002661679702656</t>
        </is>
      </c>
      <c r="BA302" t="inlineStr">
        <is>
          <t>2260697090002656</t>
        </is>
      </c>
      <c r="BB302" t="inlineStr">
        <is>
          <t>BOOK</t>
        </is>
      </c>
      <c r="BE302" t="inlineStr">
        <is>
          <t>32285002279668</t>
        </is>
      </c>
      <c r="BF302" t="inlineStr">
        <is>
          <t>893704328</t>
        </is>
      </c>
    </row>
    <row r="303">
      <c r="B303" t="inlineStr">
        <is>
          <t>CURAL</t>
        </is>
      </c>
      <c r="C303" t="inlineStr">
        <is>
          <t>SHELVES</t>
        </is>
      </c>
      <c r="D303" t="inlineStr">
        <is>
          <t>CT120 .A7 1968</t>
        </is>
      </c>
      <c r="E303" t="inlineStr">
        <is>
          <t>0                      CT 0120000A  7           1968</t>
        </is>
      </c>
      <c r="F303" t="inlineStr">
        <is>
          <t>Men in dark times / Hannah Arendt.</t>
        </is>
      </c>
      <c r="H303" t="inlineStr">
        <is>
          <t>No</t>
        </is>
      </c>
      <c r="I303" t="inlineStr">
        <is>
          <t>1</t>
        </is>
      </c>
      <c r="J303" t="inlineStr">
        <is>
          <t>No</t>
        </is>
      </c>
      <c r="K303" t="inlineStr">
        <is>
          <t>No</t>
        </is>
      </c>
      <c r="L303" t="inlineStr">
        <is>
          <t>0</t>
        </is>
      </c>
      <c r="M303" t="inlineStr">
        <is>
          <t>Arendt, Hannah, 1906-1975.</t>
        </is>
      </c>
      <c r="N303" t="inlineStr">
        <is>
          <t>New York : Harcourt, Brace &amp; World, [1968]</t>
        </is>
      </c>
      <c r="O303" t="inlineStr">
        <is>
          <t>1968</t>
        </is>
      </c>
      <c r="P303" t="inlineStr">
        <is>
          <t>[1st ed.]</t>
        </is>
      </c>
      <c r="Q303" t="inlineStr">
        <is>
          <t>eng</t>
        </is>
      </c>
      <c r="R303" t="inlineStr">
        <is>
          <t>nyu</t>
        </is>
      </c>
      <c r="T303" t="inlineStr">
        <is>
          <t xml:space="preserve">CT </t>
        </is>
      </c>
      <c r="U303" t="n">
        <v>3</v>
      </c>
      <c r="V303" t="n">
        <v>3</v>
      </c>
      <c r="W303" t="inlineStr">
        <is>
          <t>1996-03-05</t>
        </is>
      </c>
      <c r="X303" t="inlineStr">
        <is>
          <t>1996-03-05</t>
        </is>
      </c>
      <c r="Y303" t="inlineStr">
        <is>
          <t>1991-04-29</t>
        </is>
      </c>
      <c r="Z303" t="inlineStr">
        <is>
          <t>1991-04-29</t>
        </is>
      </c>
      <c r="AA303" t="n">
        <v>1301</v>
      </c>
      <c r="AB303" t="n">
        <v>1190</v>
      </c>
      <c r="AC303" t="n">
        <v>1279</v>
      </c>
      <c r="AD303" t="n">
        <v>10</v>
      </c>
      <c r="AE303" t="n">
        <v>10</v>
      </c>
      <c r="AF303" t="n">
        <v>51</v>
      </c>
      <c r="AG303" t="n">
        <v>51</v>
      </c>
      <c r="AH303" t="n">
        <v>21</v>
      </c>
      <c r="AI303" t="n">
        <v>21</v>
      </c>
      <c r="AJ303" t="n">
        <v>10</v>
      </c>
      <c r="AK303" t="n">
        <v>10</v>
      </c>
      <c r="AL303" t="n">
        <v>24</v>
      </c>
      <c r="AM303" t="n">
        <v>24</v>
      </c>
      <c r="AN303" t="n">
        <v>8</v>
      </c>
      <c r="AO303" t="n">
        <v>8</v>
      </c>
      <c r="AP303" t="n">
        <v>0</v>
      </c>
      <c r="AQ303" t="n">
        <v>0</v>
      </c>
      <c r="AR303" t="inlineStr">
        <is>
          <t>No</t>
        </is>
      </c>
      <c r="AS303" t="inlineStr">
        <is>
          <t>Yes</t>
        </is>
      </c>
      <c r="AT303">
        <f>HYPERLINK("http://catalog.hathitrust.org/Record/000367377","HathiTrust Record")</f>
        <v/>
      </c>
      <c r="AU303">
        <f>HYPERLINK("https://creighton-primo.hosted.exlibrisgroup.com/primo-explore/search?tab=default_tab&amp;search_scope=EVERYTHING&amp;vid=01CRU&amp;lang=en_US&amp;offset=0&amp;query=any,contains,991002661649702656","Catalog Record")</f>
        <v/>
      </c>
      <c r="AV303">
        <f>HYPERLINK("http://www.worldcat.org/oclc/391716","WorldCat Record")</f>
        <v/>
      </c>
      <c r="AW303" t="inlineStr">
        <is>
          <t>57740484:eng</t>
        </is>
      </c>
      <c r="AX303" t="inlineStr">
        <is>
          <t>391716</t>
        </is>
      </c>
      <c r="AY303" t="inlineStr">
        <is>
          <t>991002661649702656</t>
        </is>
      </c>
      <c r="AZ303" t="inlineStr">
        <is>
          <t>991002661649702656</t>
        </is>
      </c>
      <c r="BA303" t="inlineStr">
        <is>
          <t>2260698820002656</t>
        </is>
      </c>
      <c r="BB303" t="inlineStr">
        <is>
          <t>BOOK</t>
        </is>
      </c>
      <c r="BE303" t="inlineStr">
        <is>
          <t>32285000570233</t>
        </is>
      </c>
      <c r="BF303" t="inlineStr">
        <is>
          <t>893504656</t>
        </is>
      </c>
    </row>
    <row r="304">
      <c r="B304" t="inlineStr">
        <is>
          <t>CURAL</t>
        </is>
      </c>
      <c r="C304" t="inlineStr">
        <is>
          <t>SHELVES</t>
        </is>
      </c>
      <c r="D304" t="inlineStr">
        <is>
          <t>CT120 .B37 1981</t>
        </is>
      </c>
      <c r="E304" t="inlineStr">
        <is>
          <t>0                      CT 0120000B  37          1981</t>
        </is>
      </c>
      <c r="F304" t="inlineStr">
        <is>
          <t>Personal impressions / Isaiah Berlin ; edited by Henry Hardy ; with an introd. by Noel Annan.</t>
        </is>
      </c>
      <c r="H304" t="inlineStr">
        <is>
          <t>No</t>
        </is>
      </c>
      <c r="I304" t="inlineStr">
        <is>
          <t>1</t>
        </is>
      </c>
      <c r="J304" t="inlineStr">
        <is>
          <t>No</t>
        </is>
      </c>
      <c r="K304" t="inlineStr">
        <is>
          <t>No</t>
        </is>
      </c>
      <c r="L304" t="inlineStr">
        <is>
          <t>0</t>
        </is>
      </c>
      <c r="M304" t="inlineStr">
        <is>
          <t>Berlin, Isaiah, 1909-1997.</t>
        </is>
      </c>
      <c r="N304" t="inlineStr">
        <is>
          <t>New York : Viking Press, 1981, c1980.</t>
        </is>
      </c>
      <c r="O304" t="inlineStr">
        <is>
          <t>1981</t>
        </is>
      </c>
      <c r="Q304" t="inlineStr">
        <is>
          <t>eng</t>
        </is>
      </c>
      <c r="R304" t="inlineStr">
        <is>
          <t>nyu</t>
        </is>
      </c>
      <c r="S304" t="inlineStr">
        <is>
          <t>His Selected writings ; [4]</t>
        </is>
      </c>
      <c r="T304" t="inlineStr">
        <is>
          <t xml:space="preserve">CT </t>
        </is>
      </c>
      <c r="U304" t="n">
        <v>11</v>
      </c>
      <c r="V304" t="n">
        <v>11</v>
      </c>
      <c r="W304" t="inlineStr">
        <is>
          <t>1998-05-18</t>
        </is>
      </c>
      <c r="X304" t="inlineStr">
        <is>
          <t>1998-05-18</t>
        </is>
      </c>
      <c r="Y304" t="inlineStr">
        <is>
          <t>1990-06-01</t>
        </is>
      </c>
      <c r="Z304" t="inlineStr">
        <is>
          <t>1990-06-01</t>
        </is>
      </c>
      <c r="AA304" t="n">
        <v>818</v>
      </c>
      <c r="AB304" t="n">
        <v>755</v>
      </c>
      <c r="AC304" t="n">
        <v>1085</v>
      </c>
      <c r="AD304" t="n">
        <v>3</v>
      </c>
      <c r="AE304" t="n">
        <v>6</v>
      </c>
      <c r="AF304" t="n">
        <v>24</v>
      </c>
      <c r="AG304" t="n">
        <v>43</v>
      </c>
      <c r="AH304" t="n">
        <v>7</v>
      </c>
      <c r="AI304" t="n">
        <v>17</v>
      </c>
      <c r="AJ304" t="n">
        <v>8</v>
      </c>
      <c r="AK304" t="n">
        <v>11</v>
      </c>
      <c r="AL304" t="n">
        <v>14</v>
      </c>
      <c r="AM304" t="n">
        <v>20</v>
      </c>
      <c r="AN304" t="n">
        <v>2</v>
      </c>
      <c r="AO304" t="n">
        <v>5</v>
      </c>
      <c r="AP304" t="n">
        <v>0</v>
      </c>
      <c r="AQ304" t="n">
        <v>1</v>
      </c>
      <c r="AR304" t="inlineStr">
        <is>
          <t>No</t>
        </is>
      </c>
      <c r="AS304" t="inlineStr">
        <is>
          <t>Yes</t>
        </is>
      </c>
      <c r="AT304">
        <f>HYPERLINK("http://catalog.hathitrust.org/Record/000222997","HathiTrust Record")</f>
        <v/>
      </c>
      <c r="AU304">
        <f>HYPERLINK("https://creighton-primo.hosted.exlibrisgroup.com/primo-explore/search?tab=default_tab&amp;search_scope=EVERYTHING&amp;vid=01CRU&amp;lang=en_US&amp;offset=0&amp;query=any,contains,991005001749702656","Catalog Record")</f>
        <v/>
      </c>
      <c r="AV304">
        <f>HYPERLINK("http://www.worldcat.org/oclc/6554120","WorldCat Record")</f>
        <v/>
      </c>
      <c r="AW304" t="inlineStr">
        <is>
          <t>111278020:eng</t>
        </is>
      </c>
      <c r="AX304" t="inlineStr">
        <is>
          <t>6554120</t>
        </is>
      </c>
      <c r="AY304" t="inlineStr">
        <is>
          <t>991005001749702656</t>
        </is>
      </c>
      <c r="AZ304" t="inlineStr">
        <is>
          <t>991005001749702656</t>
        </is>
      </c>
      <c r="BA304" t="inlineStr">
        <is>
          <t>2256454120002656</t>
        </is>
      </c>
      <c r="BB304" t="inlineStr">
        <is>
          <t>BOOK</t>
        </is>
      </c>
      <c r="BD304" t="inlineStr">
        <is>
          <t>9780670548330</t>
        </is>
      </c>
      <c r="BE304" t="inlineStr">
        <is>
          <t>32285000169580</t>
        </is>
      </c>
      <c r="BF304" t="inlineStr">
        <is>
          <t>893338362</t>
        </is>
      </c>
    </row>
    <row r="305">
      <c r="B305" t="inlineStr">
        <is>
          <t>CURAL</t>
        </is>
      </c>
      <c r="C305" t="inlineStr">
        <is>
          <t>SHELVES</t>
        </is>
      </c>
      <c r="D305" t="inlineStr">
        <is>
          <t>CT120 .C654 2006</t>
        </is>
      </c>
      <c r="E305" t="inlineStr">
        <is>
          <t>0                      CT 0120000C  654         2006</t>
        </is>
      </c>
      <c r="F305" t="inlineStr">
        <is>
          <t>The company they kept : writers on unforgettable friendships / edited by Robert B. Silvers and Barbara Epstein ; preface by Robert B. Silvers.</t>
        </is>
      </c>
      <c r="H305" t="inlineStr">
        <is>
          <t>No</t>
        </is>
      </c>
      <c r="I305" t="inlineStr">
        <is>
          <t>1</t>
        </is>
      </c>
      <c r="J305" t="inlineStr">
        <is>
          <t>No</t>
        </is>
      </c>
      <c r="K305" t="inlineStr">
        <is>
          <t>No</t>
        </is>
      </c>
      <c r="L305" t="inlineStr">
        <is>
          <t>0</t>
        </is>
      </c>
      <c r="N305" t="inlineStr">
        <is>
          <t>New York : New York Review Books : Distributed in the United States by Random House, c2006.</t>
        </is>
      </c>
      <c r="O305" t="inlineStr">
        <is>
          <t>2006</t>
        </is>
      </c>
      <c r="Q305" t="inlineStr">
        <is>
          <t>eng</t>
        </is>
      </c>
      <c r="R305" t="inlineStr">
        <is>
          <t>nyu</t>
        </is>
      </c>
      <c r="T305" t="inlineStr">
        <is>
          <t xml:space="preserve">CT </t>
        </is>
      </c>
      <c r="U305" t="n">
        <v>2</v>
      </c>
      <c r="V305" t="n">
        <v>2</v>
      </c>
      <c r="W305" t="inlineStr">
        <is>
          <t>2006-11-09</t>
        </is>
      </c>
      <c r="X305" t="inlineStr">
        <is>
          <t>2006-11-09</t>
        </is>
      </c>
      <c r="Y305" t="inlineStr">
        <is>
          <t>2006-11-09</t>
        </is>
      </c>
      <c r="Z305" t="inlineStr">
        <is>
          <t>2006-11-09</t>
        </is>
      </c>
      <c r="AA305" t="n">
        <v>344</v>
      </c>
      <c r="AB305" t="n">
        <v>308</v>
      </c>
      <c r="AC305" t="n">
        <v>379</v>
      </c>
      <c r="AD305" t="n">
        <v>1</v>
      </c>
      <c r="AE305" t="n">
        <v>1</v>
      </c>
      <c r="AF305" t="n">
        <v>6</v>
      </c>
      <c r="AG305" t="n">
        <v>8</v>
      </c>
      <c r="AH305" t="n">
        <v>3</v>
      </c>
      <c r="AI305" t="n">
        <v>3</v>
      </c>
      <c r="AJ305" t="n">
        <v>1</v>
      </c>
      <c r="AK305" t="n">
        <v>2</v>
      </c>
      <c r="AL305" t="n">
        <v>3</v>
      </c>
      <c r="AM305" t="n">
        <v>5</v>
      </c>
      <c r="AN305" t="n">
        <v>0</v>
      </c>
      <c r="AO305" t="n">
        <v>0</v>
      </c>
      <c r="AP305" t="n">
        <v>0</v>
      </c>
      <c r="AQ305" t="n">
        <v>0</v>
      </c>
      <c r="AR305" t="inlineStr">
        <is>
          <t>No</t>
        </is>
      </c>
      <c r="AS305" t="inlineStr">
        <is>
          <t>Yes</t>
        </is>
      </c>
      <c r="AT305">
        <f>HYPERLINK("http://catalog.hathitrust.org/Record/005288043","HathiTrust Record")</f>
        <v/>
      </c>
      <c r="AU305">
        <f>HYPERLINK("https://creighton-primo.hosted.exlibrisgroup.com/primo-explore/search?tab=default_tab&amp;search_scope=EVERYTHING&amp;vid=01CRU&amp;lang=en_US&amp;offset=0&amp;query=any,contains,991004955909702656","Catalog Record")</f>
        <v/>
      </c>
      <c r="AV305">
        <f>HYPERLINK("http://www.worldcat.org/oclc/61859730","WorldCat Record")</f>
        <v/>
      </c>
      <c r="AW305" t="inlineStr">
        <is>
          <t>796456940:eng</t>
        </is>
      </c>
      <c r="AX305" t="inlineStr">
        <is>
          <t>61859730</t>
        </is>
      </c>
      <c r="AY305" t="inlineStr">
        <is>
          <t>991004955909702656</t>
        </is>
      </c>
      <c r="AZ305" t="inlineStr">
        <is>
          <t>991004955909702656</t>
        </is>
      </c>
      <c r="BA305" t="inlineStr">
        <is>
          <t>2270157730002656</t>
        </is>
      </c>
      <c r="BB305" t="inlineStr">
        <is>
          <t>BOOK</t>
        </is>
      </c>
      <c r="BD305" t="inlineStr">
        <is>
          <t>9781590172032</t>
        </is>
      </c>
      <c r="BE305" t="inlineStr">
        <is>
          <t>32285005237622</t>
        </is>
      </c>
      <c r="BF305" t="inlineStr">
        <is>
          <t>893260364</t>
        </is>
      </c>
    </row>
    <row r="306">
      <c r="B306" t="inlineStr">
        <is>
          <t>CURAL</t>
        </is>
      </c>
      <c r="C306" t="inlineStr">
        <is>
          <t>SHELVES</t>
        </is>
      </c>
      <c r="D306" t="inlineStr">
        <is>
          <t>CT120 .J35 1993</t>
        </is>
      </c>
      <c r="E306" t="inlineStr">
        <is>
          <t>0                      CT 0120000J  35          1993</t>
        </is>
      </c>
      <c r="F306" t="inlineStr">
        <is>
          <t>Fame in the 20th century / Clive James.</t>
        </is>
      </c>
      <c r="H306" t="inlineStr">
        <is>
          <t>No</t>
        </is>
      </c>
      <c r="I306" t="inlineStr">
        <is>
          <t>1</t>
        </is>
      </c>
      <c r="J306" t="inlineStr">
        <is>
          <t>No</t>
        </is>
      </c>
      <c r="K306" t="inlineStr">
        <is>
          <t>No</t>
        </is>
      </c>
      <c r="L306" t="inlineStr">
        <is>
          <t>0</t>
        </is>
      </c>
      <c r="M306" t="inlineStr">
        <is>
          <t>James, Clive, 1939-2019.</t>
        </is>
      </c>
      <c r="N306" t="inlineStr">
        <is>
          <t>New York : Random House, 1993.</t>
        </is>
      </c>
      <c r="O306" t="inlineStr">
        <is>
          <t>1993</t>
        </is>
      </c>
      <c r="P306" t="inlineStr">
        <is>
          <t>1st U.S. ed.</t>
        </is>
      </c>
      <c r="Q306" t="inlineStr">
        <is>
          <t>eng</t>
        </is>
      </c>
      <c r="R306" t="inlineStr">
        <is>
          <t>nyu</t>
        </is>
      </c>
      <c r="T306" t="inlineStr">
        <is>
          <t xml:space="preserve">CT </t>
        </is>
      </c>
      <c r="U306" t="n">
        <v>2</v>
      </c>
      <c r="V306" t="n">
        <v>2</v>
      </c>
      <c r="W306" t="inlineStr">
        <is>
          <t>2000-11-14</t>
        </is>
      </c>
      <c r="X306" t="inlineStr">
        <is>
          <t>2000-11-14</t>
        </is>
      </c>
      <c r="Y306" t="inlineStr">
        <is>
          <t>1994-04-25</t>
        </is>
      </c>
      <c r="Z306" t="inlineStr">
        <is>
          <t>1994-04-25</t>
        </is>
      </c>
      <c r="AA306" t="n">
        <v>326</v>
      </c>
      <c r="AB306" t="n">
        <v>300</v>
      </c>
      <c r="AC306" t="n">
        <v>319</v>
      </c>
      <c r="AD306" t="n">
        <v>4</v>
      </c>
      <c r="AE306" t="n">
        <v>5</v>
      </c>
      <c r="AF306" t="n">
        <v>8</v>
      </c>
      <c r="AG306" t="n">
        <v>9</v>
      </c>
      <c r="AH306" t="n">
        <v>1</v>
      </c>
      <c r="AI306" t="n">
        <v>1</v>
      </c>
      <c r="AJ306" t="n">
        <v>1</v>
      </c>
      <c r="AK306" t="n">
        <v>1</v>
      </c>
      <c r="AL306" t="n">
        <v>4</v>
      </c>
      <c r="AM306" t="n">
        <v>4</v>
      </c>
      <c r="AN306" t="n">
        <v>3</v>
      </c>
      <c r="AO306" t="n">
        <v>4</v>
      </c>
      <c r="AP306" t="n">
        <v>0</v>
      </c>
      <c r="AQ306" t="n">
        <v>0</v>
      </c>
      <c r="AR306" t="inlineStr">
        <is>
          <t>No</t>
        </is>
      </c>
      <c r="AS306" t="inlineStr">
        <is>
          <t>Yes</t>
        </is>
      </c>
      <c r="AT306">
        <f>HYPERLINK("http://catalog.hathitrust.org/Record/002726529","HathiTrust Record")</f>
        <v/>
      </c>
      <c r="AU306">
        <f>HYPERLINK("https://creighton-primo.hosted.exlibrisgroup.com/primo-explore/search?tab=default_tab&amp;search_scope=EVERYTHING&amp;vid=01CRU&amp;lang=en_US&amp;offset=0&amp;query=any,contains,991002174569702656","Catalog Record")</f>
        <v/>
      </c>
      <c r="AV306">
        <f>HYPERLINK("http://www.worldcat.org/oclc/27976528","WorldCat Record")</f>
        <v/>
      </c>
      <c r="AW306" t="inlineStr">
        <is>
          <t>4160504251:eng</t>
        </is>
      </c>
      <c r="AX306" t="inlineStr">
        <is>
          <t>27976528</t>
        </is>
      </c>
      <c r="AY306" t="inlineStr">
        <is>
          <t>991002174569702656</t>
        </is>
      </c>
      <c r="AZ306" t="inlineStr">
        <is>
          <t>991002174569702656</t>
        </is>
      </c>
      <c r="BA306" t="inlineStr">
        <is>
          <t>2261080950002656</t>
        </is>
      </c>
      <c r="BB306" t="inlineStr">
        <is>
          <t>BOOK</t>
        </is>
      </c>
      <c r="BD306" t="inlineStr">
        <is>
          <t>9780679426998</t>
        </is>
      </c>
      <c r="BE306" t="inlineStr">
        <is>
          <t>32285001877926</t>
        </is>
      </c>
      <c r="BF306" t="inlineStr">
        <is>
          <t>893609544</t>
        </is>
      </c>
    </row>
    <row r="307">
      <c r="B307" t="inlineStr">
        <is>
          <t>CURAL</t>
        </is>
      </c>
      <c r="C307" t="inlineStr">
        <is>
          <t>SHELVES</t>
        </is>
      </c>
      <c r="D307" t="inlineStr">
        <is>
          <t>CT120 .T96 1979</t>
        </is>
      </c>
      <c r="E307" t="inlineStr">
        <is>
          <t>0                      CT 0120000T  96          1979</t>
        </is>
      </c>
      <c r="F307" t="inlineStr">
        <is>
          <t>Public nuisances / R. Emmett Tyrrell, Jr. ; drawings by Elliott Banfield.</t>
        </is>
      </c>
      <c r="H307" t="inlineStr">
        <is>
          <t>No</t>
        </is>
      </c>
      <c r="I307" t="inlineStr">
        <is>
          <t>1</t>
        </is>
      </c>
      <c r="J307" t="inlineStr">
        <is>
          <t>No</t>
        </is>
      </c>
      <c r="K307" t="inlineStr">
        <is>
          <t>No</t>
        </is>
      </c>
      <c r="L307" t="inlineStr">
        <is>
          <t>0</t>
        </is>
      </c>
      <c r="M307" t="inlineStr">
        <is>
          <t>Tyrrell, R. Emmett.</t>
        </is>
      </c>
      <c r="N307" t="inlineStr">
        <is>
          <t>New York : Basic Books, c1979.</t>
        </is>
      </c>
      <c r="O307" t="inlineStr">
        <is>
          <t>1979</t>
        </is>
      </c>
      <c r="Q307" t="inlineStr">
        <is>
          <t>eng</t>
        </is>
      </c>
      <c r="R307" t="inlineStr">
        <is>
          <t>nyu</t>
        </is>
      </c>
      <c r="T307" t="inlineStr">
        <is>
          <t xml:space="preserve">CT </t>
        </is>
      </c>
      <c r="U307" t="n">
        <v>2</v>
      </c>
      <c r="V307" t="n">
        <v>2</v>
      </c>
      <c r="W307" t="inlineStr">
        <is>
          <t>2001-02-22</t>
        </is>
      </c>
      <c r="X307" t="inlineStr">
        <is>
          <t>2001-02-22</t>
        </is>
      </c>
      <c r="Y307" t="inlineStr">
        <is>
          <t>1992-06-08</t>
        </is>
      </c>
      <c r="Z307" t="inlineStr">
        <is>
          <t>1992-06-08</t>
        </is>
      </c>
      <c r="AA307" t="n">
        <v>426</v>
      </c>
      <c r="AB307" t="n">
        <v>407</v>
      </c>
      <c r="AC307" t="n">
        <v>424</v>
      </c>
      <c r="AD307" t="n">
        <v>3</v>
      </c>
      <c r="AE307" t="n">
        <v>3</v>
      </c>
      <c r="AF307" t="n">
        <v>10</v>
      </c>
      <c r="AG307" t="n">
        <v>12</v>
      </c>
      <c r="AH307" t="n">
        <v>5</v>
      </c>
      <c r="AI307" t="n">
        <v>6</v>
      </c>
      <c r="AJ307" t="n">
        <v>2</v>
      </c>
      <c r="AK307" t="n">
        <v>3</v>
      </c>
      <c r="AL307" t="n">
        <v>6</v>
      </c>
      <c r="AM307" t="n">
        <v>6</v>
      </c>
      <c r="AN307" t="n">
        <v>0</v>
      </c>
      <c r="AO307" t="n">
        <v>0</v>
      </c>
      <c r="AP307" t="n">
        <v>0</v>
      </c>
      <c r="AQ307" t="n">
        <v>0</v>
      </c>
      <c r="AR307" t="inlineStr">
        <is>
          <t>No</t>
        </is>
      </c>
      <c r="AS307" t="inlineStr">
        <is>
          <t>Yes</t>
        </is>
      </c>
      <c r="AT307">
        <f>HYPERLINK("http://catalog.hathitrust.org/Record/000260165","HathiTrust Record")</f>
        <v/>
      </c>
      <c r="AU307">
        <f>HYPERLINK("https://creighton-primo.hosted.exlibrisgroup.com/primo-explore/search?tab=default_tab&amp;search_scope=EVERYTHING&amp;vid=01CRU&amp;lang=en_US&amp;offset=0&amp;query=any,contains,991004696339702656","Catalog Record")</f>
        <v/>
      </c>
      <c r="AV307">
        <f>HYPERLINK("http://www.worldcat.org/oclc/4641940","WorldCat Record")</f>
        <v/>
      </c>
      <c r="AW307" t="inlineStr">
        <is>
          <t>14923742:eng</t>
        </is>
      </c>
      <c r="AX307" t="inlineStr">
        <is>
          <t>4641940</t>
        </is>
      </c>
      <c r="AY307" t="inlineStr">
        <is>
          <t>991004696339702656</t>
        </is>
      </c>
      <c r="AZ307" t="inlineStr">
        <is>
          <t>991004696339702656</t>
        </is>
      </c>
      <c r="BA307" t="inlineStr">
        <is>
          <t>2257471510002656</t>
        </is>
      </c>
      <c r="BB307" t="inlineStr">
        <is>
          <t>BOOK</t>
        </is>
      </c>
      <c r="BD307" t="inlineStr">
        <is>
          <t>9780465067725</t>
        </is>
      </c>
      <c r="BE307" t="inlineStr">
        <is>
          <t>32285001165421</t>
        </is>
      </c>
      <c r="BF307" t="inlineStr">
        <is>
          <t>893722560</t>
        </is>
      </c>
    </row>
    <row r="308">
      <c r="B308" t="inlineStr">
        <is>
          <t>CURAL</t>
        </is>
      </c>
      <c r="C308" t="inlineStr">
        <is>
          <t>SHELVES</t>
        </is>
      </c>
      <c r="D308" t="inlineStr">
        <is>
          <t>CT1217.B79 B79 2006</t>
        </is>
      </c>
      <c r="E308" t="inlineStr">
        <is>
          <t>0                      CT 1217000B  79                 B  79          2006</t>
        </is>
      </c>
      <c r="F308" t="inlineStr">
        <is>
          <t>Empire &amp; odyssey : the Brynners in Far East Russia and beyond / Rock Brynner.</t>
        </is>
      </c>
      <c r="H308" t="inlineStr">
        <is>
          <t>No</t>
        </is>
      </c>
      <c r="I308" t="inlineStr">
        <is>
          <t>1</t>
        </is>
      </c>
      <c r="J308" t="inlineStr">
        <is>
          <t>No</t>
        </is>
      </c>
      <c r="K308" t="inlineStr">
        <is>
          <t>No</t>
        </is>
      </c>
      <c r="L308" t="inlineStr">
        <is>
          <t>0</t>
        </is>
      </c>
      <c r="M308" t="inlineStr">
        <is>
          <t>Brynner, Rock, 1946-</t>
        </is>
      </c>
      <c r="N308" t="inlineStr">
        <is>
          <t>Hanover, N.H. : Steerforth Press, c2006.</t>
        </is>
      </c>
      <c r="O308" t="inlineStr">
        <is>
          <t>2006</t>
        </is>
      </c>
      <c r="P308" t="inlineStr">
        <is>
          <t>1st ed.</t>
        </is>
      </c>
      <c r="Q308" t="inlineStr">
        <is>
          <t>eng</t>
        </is>
      </c>
      <c r="R308" t="inlineStr">
        <is>
          <t>nhu</t>
        </is>
      </c>
      <c r="T308" t="inlineStr">
        <is>
          <t xml:space="preserve">CT </t>
        </is>
      </c>
      <c r="U308" t="n">
        <v>1</v>
      </c>
      <c r="V308" t="n">
        <v>1</v>
      </c>
      <c r="W308" t="inlineStr">
        <is>
          <t>2006-05-02</t>
        </is>
      </c>
      <c r="X308" t="inlineStr">
        <is>
          <t>2006-05-02</t>
        </is>
      </c>
      <c r="Y308" t="inlineStr">
        <is>
          <t>2006-05-02</t>
        </is>
      </c>
      <c r="Z308" t="inlineStr">
        <is>
          <t>2006-05-02</t>
        </is>
      </c>
      <c r="AA308" t="n">
        <v>345</v>
      </c>
      <c r="AB308" t="n">
        <v>327</v>
      </c>
      <c r="AC308" t="n">
        <v>340</v>
      </c>
      <c r="AD308" t="n">
        <v>1</v>
      </c>
      <c r="AE308" t="n">
        <v>1</v>
      </c>
      <c r="AF308" t="n">
        <v>1</v>
      </c>
      <c r="AG308" t="n">
        <v>1</v>
      </c>
      <c r="AH308" t="n">
        <v>0</v>
      </c>
      <c r="AI308" t="n">
        <v>0</v>
      </c>
      <c r="AJ308" t="n">
        <v>1</v>
      </c>
      <c r="AK308" t="n">
        <v>1</v>
      </c>
      <c r="AL308" t="n">
        <v>0</v>
      </c>
      <c r="AM308" t="n">
        <v>0</v>
      </c>
      <c r="AN308" t="n">
        <v>0</v>
      </c>
      <c r="AO308" t="n">
        <v>0</v>
      </c>
      <c r="AP308" t="n">
        <v>0</v>
      </c>
      <c r="AQ308" t="n">
        <v>0</v>
      </c>
      <c r="AR308" t="inlineStr">
        <is>
          <t>No</t>
        </is>
      </c>
      <c r="AS308" t="inlineStr">
        <is>
          <t>Yes</t>
        </is>
      </c>
      <c r="AT308">
        <f>HYPERLINK("http://catalog.hathitrust.org/Record/102044406","HathiTrust Record")</f>
        <v/>
      </c>
      <c r="AU308">
        <f>HYPERLINK("https://creighton-primo.hosted.exlibrisgroup.com/primo-explore/search?tab=default_tab&amp;search_scope=EVERYTHING&amp;vid=01CRU&amp;lang=en_US&amp;offset=0&amp;query=any,contains,991004797549702656","Catalog Record")</f>
        <v/>
      </c>
      <c r="AV308">
        <f>HYPERLINK("http://www.worldcat.org/oclc/62738531","WorldCat Record")</f>
        <v/>
      </c>
      <c r="AW308" t="inlineStr">
        <is>
          <t>47058427:eng</t>
        </is>
      </c>
      <c r="AX308" t="inlineStr">
        <is>
          <t>62738531</t>
        </is>
      </c>
      <c r="AY308" t="inlineStr">
        <is>
          <t>991004797549702656</t>
        </is>
      </c>
      <c r="AZ308" t="inlineStr">
        <is>
          <t>991004797549702656</t>
        </is>
      </c>
      <c r="BA308" t="inlineStr">
        <is>
          <t>2261953210002656</t>
        </is>
      </c>
      <c r="BB308" t="inlineStr">
        <is>
          <t>BOOK</t>
        </is>
      </c>
      <c r="BD308" t="inlineStr">
        <is>
          <t>9781586421021</t>
        </is>
      </c>
      <c r="BE308" t="inlineStr">
        <is>
          <t>32285005184139</t>
        </is>
      </c>
      <c r="BF308" t="inlineStr">
        <is>
          <t>893241849</t>
        </is>
      </c>
    </row>
    <row r="309">
      <c r="B309" t="inlineStr">
        <is>
          <t>CURAL</t>
        </is>
      </c>
      <c r="C309" t="inlineStr">
        <is>
          <t>SHELVES</t>
        </is>
      </c>
      <c r="D309" t="inlineStr">
        <is>
          <t>CT1230 .M5</t>
        </is>
      </c>
      <c r="E309" t="inlineStr">
        <is>
          <t>0                      CT 1230000M  5</t>
        </is>
      </c>
      <c r="F309" t="inlineStr">
        <is>
          <t>Great men and women of Poland, edited by Stephen P. Mizwa.</t>
        </is>
      </c>
      <c r="H309" t="inlineStr">
        <is>
          <t>No</t>
        </is>
      </c>
      <c r="I309" t="inlineStr">
        <is>
          <t>1</t>
        </is>
      </c>
      <c r="J309" t="inlineStr">
        <is>
          <t>No</t>
        </is>
      </c>
      <c r="K309" t="inlineStr">
        <is>
          <t>No</t>
        </is>
      </c>
      <c r="L309" t="inlineStr">
        <is>
          <t>0</t>
        </is>
      </c>
      <c r="M309" t="inlineStr">
        <is>
          <t>Mizwa, Stephen P. (Stephen Paul), 1892-1971.</t>
        </is>
      </c>
      <c r="N309" t="inlineStr">
        <is>
          <t>New York, The Macmillan Company, 1941.</t>
        </is>
      </c>
      <c r="O309" t="inlineStr">
        <is>
          <t>1941</t>
        </is>
      </c>
      <c r="Q309" t="inlineStr">
        <is>
          <t>eng</t>
        </is>
      </c>
      <c r="R309" t="inlineStr">
        <is>
          <t>nyu</t>
        </is>
      </c>
      <c r="T309" t="inlineStr">
        <is>
          <t xml:space="preserve">CT </t>
        </is>
      </c>
      <c r="U309" t="n">
        <v>1</v>
      </c>
      <c r="V309" t="n">
        <v>1</v>
      </c>
      <c r="W309" t="inlineStr">
        <is>
          <t>2007-06-13</t>
        </is>
      </c>
      <c r="X309" t="inlineStr">
        <is>
          <t>2007-06-13</t>
        </is>
      </c>
      <c r="Y309" t="inlineStr">
        <is>
          <t>1996-08-22</t>
        </is>
      </c>
      <c r="Z309" t="inlineStr">
        <is>
          <t>1996-08-22</t>
        </is>
      </c>
      <c r="AA309" t="n">
        <v>369</v>
      </c>
      <c r="AB309" t="n">
        <v>346</v>
      </c>
      <c r="AC309" t="n">
        <v>404</v>
      </c>
      <c r="AD309" t="n">
        <v>4</v>
      </c>
      <c r="AE309" t="n">
        <v>4</v>
      </c>
      <c r="AF309" t="n">
        <v>19</v>
      </c>
      <c r="AG309" t="n">
        <v>22</v>
      </c>
      <c r="AH309" t="n">
        <v>6</v>
      </c>
      <c r="AI309" t="n">
        <v>8</v>
      </c>
      <c r="AJ309" t="n">
        <v>4</v>
      </c>
      <c r="AK309" t="n">
        <v>5</v>
      </c>
      <c r="AL309" t="n">
        <v>10</v>
      </c>
      <c r="AM309" t="n">
        <v>12</v>
      </c>
      <c r="AN309" t="n">
        <v>2</v>
      </c>
      <c r="AO309" t="n">
        <v>2</v>
      </c>
      <c r="AP309" t="n">
        <v>0</v>
      </c>
      <c r="AQ309" t="n">
        <v>0</v>
      </c>
      <c r="AR309" t="inlineStr">
        <is>
          <t>No</t>
        </is>
      </c>
      <c r="AS309" t="inlineStr">
        <is>
          <t>No</t>
        </is>
      </c>
      <c r="AT309">
        <f>HYPERLINK("http://catalog.hathitrust.org/Record/006004470","HathiTrust Record")</f>
        <v/>
      </c>
      <c r="AU309">
        <f>HYPERLINK("https://creighton-primo.hosted.exlibrisgroup.com/primo-explore/search?tab=default_tab&amp;search_scope=EVERYTHING&amp;vid=01CRU&amp;lang=en_US&amp;offset=0&amp;query=any,contains,991003729039702656","Catalog Record")</f>
        <v/>
      </c>
      <c r="AV309">
        <f>HYPERLINK("http://www.worldcat.org/oclc/1379303","WorldCat Record")</f>
        <v/>
      </c>
      <c r="AW309" t="inlineStr">
        <is>
          <t>1937509:eng</t>
        </is>
      </c>
      <c r="AX309" t="inlineStr">
        <is>
          <t>1379303</t>
        </is>
      </c>
      <c r="AY309" t="inlineStr">
        <is>
          <t>991003729039702656</t>
        </is>
      </c>
      <c r="AZ309" t="inlineStr">
        <is>
          <t>991003729039702656</t>
        </is>
      </c>
      <c r="BA309" t="inlineStr">
        <is>
          <t>2256561930002656</t>
        </is>
      </c>
      <c r="BB309" t="inlineStr">
        <is>
          <t>BOOK</t>
        </is>
      </c>
      <c r="BE309" t="inlineStr">
        <is>
          <t>32285002286192</t>
        </is>
      </c>
      <c r="BF309" t="inlineStr">
        <is>
          <t>893787672</t>
        </is>
      </c>
    </row>
    <row r="310">
      <c r="B310" t="inlineStr">
        <is>
          <t>CURAL</t>
        </is>
      </c>
      <c r="C310" t="inlineStr">
        <is>
          <t>SHELVES</t>
        </is>
      </c>
      <c r="D310" t="inlineStr">
        <is>
          <t>CT1358.P28 A36 1990</t>
        </is>
      </c>
      <c r="E310" t="inlineStr">
        <is>
          <t>0                      CT 1358000P  28                 A  36          1990</t>
        </is>
      </c>
      <c r="F310" t="inlineStr">
        <is>
          <t>Primer testamento / Salvador Pániker.</t>
        </is>
      </c>
      <c r="H310" t="inlineStr">
        <is>
          <t>No</t>
        </is>
      </c>
      <c r="I310" t="inlineStr">
        <is>
          <t>1</t>
        </is>
      </c>
      <c r="J310" t="inlineStr">
        <is>
          <t>No</t>
        </is>
      </c>
      <c r="K310" t="inlineStr">
        <is>
          <t>No</t>
        </is>
      </c>
      <c r="L310" t="inlineStr">
        <is>
          <t>0</t>
        </is>
      </c>
      <c r="M310" t="inlineStr">
        <is>
          <t>Pániker, Salvador.</t>
        </is>
      </c>
      <c r="N310" t="inlineStr">
        <is>
          <t>Barcelona : Seix Barral, 1990, c1985.</t>
        </is>
      </c>
      <c r="O310" t="inlineStr">
        <is>
          <t>1990</t>
        </is>
      </c>
      <c r="P310" t="inlineStr">
        <is>
          <t>4a ed.</t>
        </is>
      </c>
      <c r="Q310" t="inlineStr">
        <is>
          <t>spa</t>
        </is>
      </c>
      <c r="R310" t="inlineStr">
        <is>
          <t xml:space="preserve">sp </t>
        </is>
      </c>
      <c r="S310" t="inlineStr">
        <is>
          <t>Biblioteca breve ; 670</t>
        </is>
      </c>
      <c r="T310" t="inlineStr">
        <is>
          <t xml:space="preserve">CT </t>
        </is>
      </c>
      <c r="U310" t="n">
        <v>1</v>
      </c>
      <c r="V310" t="n">
        <v>1</v>
      </c>
      <c r="W310" t="inlineStr">
        <is>
          <t>2003-10-17</t>
        </is>
      </c>
      <c r="X310" t="inlineStr">
        <is>
          <t>2003-10-17</t>
        </is>
      </c>
      <c r="Y310" t="inlineStr">
        <is>
          <t>1990-06-22</t>
        </is>
      </c>
      <c r="Z310" t="inlineStr">
        <is>
          <t>1990-06-22</t>
        </is>
      </c>
      <c r="AA310" t="n">
        <v>69</v>
      </c>
      <c r="AB310" t="n">
        <v>57</v>
      </c>
      <c r="AC310" t="n">
        <v>58</v>
      </c>
      <c r="AD310" t="n">
        <v>1</v>
      </c>
      <c r="AE310" t="n">
        <v>1</v>
      </c>
      <c r="AF310" t="n">
        <v>2</v>
      </c>
      <c r="AG310" t="n">
        <v>2</v>
      </c>
      <c r="AH310" t="n">
        <v>0</v>
      </c>
      <c r="AI310" t="n">
        <v>0</v>
      </c>
      <c r="AJ310" t="n">
        <v>2</v>
      </c>
      <c r="AK310" t="n">
        <v>2</v>
      </c>
      <c r="AL310" t="n">
        <v>0</v>
      </c>
      <c r="AM310" t="n">
        <v>0</v>
      </c>
      <c r="AN310" t="n">
        <v>0</v>
      </c>
      <c r="AO310" t="n">
        <v>0</v>
      </c>
      <c r="AP310" t="n">
        <v>0</v>
      </c>
      <c r="AQ310" t="n">
        <v>0</v>
      </c>
      <c r="AR310" t="inlineStr">
        <is>
          <t>No</t>
        </is>
      </c>
      <c r="AS310" t="inlineStr">
        <is>
          <t>Yes</t>
        </is>
      </c>
      <c r="AT310">
        <f>HYPERLINK("http://catalog.hathitrust.org/Record/000398945","HathiTrust Record")</f>
        <v/>
      </c>
      <c r="AU310">
        <f>HYPERLINK("https://creighton-primo.hosted.exlibrisgroup.com/primo-explore/search?tab=default_tab&amp;search_scope=EVERYTHING&amp;vid=01CRU&amp;lang=en_US&amp;offset=0&amp;query=any,contains,991000692079702656","Catalog Record")</f>
        <v/>
      </c>
      <c r="AV310">
        <f>HYPERLINK("http://www.worldcat.org/oclc/12491989","WorldCat Record")</f>
        <v/>
      </c>
      <c r="AW310" t="inlineStr">
        <is>
          <t>5091258982:spa</t>
        </is>
      </c>
      <c r="AX310" t="inlineStr">
        <is>
          <t>12491989</t>
        </is>
      </c>
      <c r="AY310" t="inlineStr">
        <is>
          <t>991000692079702656</t>
        </is>
      </c>
      <c r="AZ310" t="inlineStr">
        <is>
          <t>991000692079702656</t>
        </is>
      </c>
      <c r="BA310" t="inlineStr">
        <is>
          <t>2270454070002656</t>
        </is>
      </c>
      <c r="BB310" t="inlineStr">
        <is>
          <t>BOOK</t>
        </is>
      </c>
      <c r="BD310" t="inlineStr">
        <is>
          <t>9788432205194</t>
        </is>
      </c>
      <c r="BE310" t="inlineStr">
        <is>
          <t>32285000179951</t>
        </is>
      </c>
      <c r="BF310" t="inlineStr">
        <is>
          <t>893351623</t>
        </is>
      </c>
    </row>
    <row r="311">
      <c r="B311" t="inlineStr">
        <is>
          <t>CURAL</t>
        </is>
      </c>
      <c r="C311" t="inlineStr">
        <is>
          <t>SHELVES</t>
        </is>
      </c>
      <c r="D311" t="inlineStr">
        <is>
          <t>CT1495.M47 A362 1976</t>
        </is>
      </c>
      <c r="E311" t="inlineStr">
        <is>
          <t>0                      CT 1495000M  47                 A  362         1976</t>
        </is>
      </c>
      <c r="F311" t="inlineStr">
        <is>
          <t>Tatiana Metternich : bericht eines ungewöhnlichen Lebens / Tatiana Metternich.</t>
        </is>
      </c>
      <c r="H311" t="inlineStr">
        <is>
          <t>No</t>
        </is>
      </c>
      <c r="I311" t="inlineStr">
        <is>
          <t>1</t>
        </is>
      </c>
      <c r="J311" t="inlineStr">
        <is>
          <t>No</t>
        </is>
      </c>
      <c r="K311" t="inlineStr">
        <is>
          <t>No</t>
        </is>
      </c>
      <c r="L311" t="inlineStr">
        <is>
          <t>0</t>
        </is>
      </c>
      <c r="M311" t="inlineStr">
        <is>
          <t>Metternich, Tatiana, Fürstin von Metternich-Winneburg</t>
        </is>
      </c>
      <c r="N311" t="inlineStr">
        <is>
          <t>Wien ; München : F. Molden, [c1976, 1979 printing]</t>
        </is>
      </c>
      <c r="O311" t="inlineStr">
        <is>
          <t>1976</t>
        </is>
      </c>
      <c r="Q311" t="inlineStr">
        <is>
          <t>ger</t>
        </is>
      </c>
      <c r="R311" t="inlineStr">
        <is>
          <t xml:space="preserve">gw </t>
        </is>
      </c>
      <c r="T311" t="inlineStr">
        <is>
          <t xml:space="preserve">CT </t>
        </is>
      </c>
      <c r="U311" t="n">
        <v>0</v>
      </c>
      <c r="V311" t="n">
        <v>0</v>
      </c>
      <c r="W311" t="inlineStr">
        <is>
          <t>2004-01-16</t>
        </is>
      </c>
      <c r="X311" t="inlineStr">
        <is>
          <t>2004-01-16</t>
        </is>
      </c>
      <c r="Y311" t="inlineStr">
        <is>
          <t>1992-06-10</t>
        </is>
      </c>
      <c r="Z311" t="inlineStr">
        <is>
          <t>1992-06-10</t>
        </is>
      </c>
      <c r="AA311" t="n">
        <v>8</v>
      </c>
      <c r="AB311" t="n">
        <v>5</v>
      </c>
      <c r="AC311" t="n">
        <v>9</v>
      </c>
      <c r="AD311" t="n">
        <v>1</v>
      </c>
      <c r="AE311" t="n">
        <v>1</v>
      </c>
      <c r="AF311" t="n">
        <v>0</v>
      </c>
      <c r="AG311" t="n">
        <v>0</v>
      </c>
      <c r="AH311" t="n">
        <v>0</v>
      </c>
      <c r="AI311" t="n">
        <v>0</v>
      </c>
      <c r="AJ311" t="n">
        <v>0</v>
      </c>
      <c r="AK311" t="n">
        <v>0</v>
      </c>
      <c r="AL311" t="n">
        <v>0</v>
      </c>
      <c r="AM311" t="n">
        <v>0</v>
      </c>
      <c r="AN311" t="n">
        <v>0</v>
      </c>
      <c r="AO311" t="n">
        <v>0</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HYPERLINK("https://creighton-primo.hosted.exlibrisgroup.com/primo-explore/search?tab=default_tab&amp;search_scope=EVERYTHING&amp;vid=01CRU&amp;lang=en_US&amp;offset=0&amp;query=any,contains,991004797049702656","Catalog Record")</f>
        <v/>
      </c>
      <c r="AV311">
        <f>HYPERLINK("http://www.worldcat.org/oclc/5192856","WorldCat Record")</f>
        <v/>
      </c>
      <c r="AW311" t="inlineStr">
        <is>
          <t>2945950300:ger</t>
        </is>
      </c>
      <c r="AX311" t="inlineStr">
        <is>
          <t>5192856</t>
        </is>
      </c>
      <c r="AY311" t="inlineStr">
        <is>
          <t>991004797049702656</t>
        </is>
      </c>
      <c r="AZ311" t="inlineStr">
        <is>
          <t>991004797049702656</t>
        </is>
      </c>
      <c r="BA311" t="inlineStr">
        <is>
          <t>2270851460002656</t>
        </is>
      </c>
      <c r="BB311" t="inlineStr">
        <is>
          <t>BOOK</t>
        </is>
      </c>
      <c r="BD311" t="inlineStr">
        <is>
          <t>9783217009073</t>
        </is>
      </c>
      <c r="BE311" t="inlineStr">
        <is>
          <t>32285001166247</t>
        </is>
      </c>
      <c r="BF311" t="inlineStr">
        <is>
          <t>893344270</t>
        </is>
      </c>
    </row>
    <row r="312">
      <c r="B312" t="inlineStr">
        <is>
          <t>CURAL</t>
        </is>
      </c>
      <c r="C312" t="inlineStr">
        <is>
          <t>SHELVES</t>
        </is>
      </c>
      <c r="D312" t="inlineStr">
        <is>
          <t>CT154 .L8</t>
        </is>
      </c>
      <c r="E312" t="inlineStr">
        <is>
          <t>0                      CT 0154000L  8</t>
        </is>
      </c>
      <c r="F312" t="inlineStr">
        <is>
          <t>Genius and character, by Emil Ludwig; translated by Kenneth Burke ...</t>
        </is>
      </c>
      <c r="H312" t="inlineStr">
        <is>
          <t>No</t>
        </is>
      </c>
      <c r="I312" t="inlineStr">
        <is>
          <t>1</t>
        </is>
      </c>
      <c r="J312" t="inlineStr">
        <is>
          <t>No</t>
        </is>
      </c>
      <c r="K312" t="inlineStr">
        <is>
          <t>No</t>
        </is>
      </c>
      <c r="L312" t="inlineStr">
        <is>
          <t>0</t>
        </is>
      </c>
      <c r="M312" t="inlineStr">
        <is>
          <t>Ludwig, Emil, 1881-1948.</t>
        </is>
      </c>
      <c r="N312" t="inlineStr">
        <is>
          <t>New York, Harcourt, Brace and company [c1927]</t>
        </is>
      </c>
      <c r="O312" t="inlineStr">
        <is>
          <t>1927</t>
        </is>
      </c>
      <c r="Q312" t="inlineStr">
        <is>
          <t>eng</t>
        </is>
      </c>
      <c r="R312" t="inlineStr">
        <is>
          <t>nyu</t>
        </is>
      </c>
      <c r="T312" t="inlineStr">
        <is>
          <t xml:space="preserve">CT </t>
        </is>
      </c>
      <c r="U312" t="n">
        <v>2</v>
      </c>
      <c r="V312" t="n">
        <v>2</v>
      </c>
      <c r="W312" t="inlineStr">
        <is>
          <t>1999-10-30</t>
        </is>
      </c>
      <c r="X312" t="inlineStr">
        <is>
          <t>1999-10-30</t>
        </is>
      </c>
      <c r="Y312" t="inlineStr">
        <is>
          <t>1996-08-22</t>
        </is>
      </c>
      <c r="Z312" t="inlineStr">
        <is>
          <t>1996-08-22</t>
        </is>
      </c>
      <c r="AA312" t="n">
        <v>631</v>
      </c>
      <c r="AB312" t="n">
        <v>597</v>
      </c>
      <c r="AC312" t="n">
        <v>738</v>
      </c>
      <c r="AD312" t="n">
        <v>4</v>
      </c>
      <c r="AE312" t="n">
        <v>4</v>
      </c>
      <c r="AF312" t="n">
        <v>24</v>
      </c>
      <c r="AG312" t="n">
        <v>31</v>
      </c>
      <c r="AH312" t="n">
        <v>11</v>
      </c>
      <c r="AI312" t="n">
        <v>15</v>
      </c>
      <c r="AJ312" t="n">
        <v>3</v>
      </c>
      <c r="AK312" t="n">
        <v>5</v>
      </c>
      <c r="AL312" t="n">
        <v>15</v>
      </c>
      <c r="AM312" t="n">
        <v>17</v>
      </c>
      <c r="AN312" t="n">
        <v>2</v>
      </c>
      <c r="AO312" t="n">
        <v>2</v>
      </c>
      <c r="AP312" t="n">
        <v>0</v>
      </c>
      <c r="AQ312" t="n">
        <v>0</v>
      </c>
      <c r="AR312" t="inlineStr">
        <is>
          <t>No</t>
        </is>
      </c>
      <c r="AS312" t="inlineStr">
        <is>
          <t>Yes</t>
        </is>
      </c>
      <c r="AT312">
        <f>HYPERLINK("http://catalog.hathitrust.org/Record/005767513","HathiTrust Record")</f>
        <v/>
      </c>
      <c r="AU312">
        <f>HYPERLINK("https://creighton-primo.hosted.exlibrisgroup.com/primo-explore/search?tab=default_tab&amp;search_scope=EVERYTHING&amp;vid=01CRU&amp;lang=en_US&amp;offset=0&amp;query=any,contains,991002254769702656","Catalog Record")</f>
        <v/>
      </c>
      <c r="AV312">
        <f>HYPERLINK("http://www.worldcat.org/oclc/301159","WorldCat Record")</f>
        <v/>
      </c>
      <c r="AW312" t="inlineStr">
        <is>
          <t>3900996031:eng</t>
        </is>
      </c>
      <c r="AX312" t="inlineStr">
        <is>
          <t>301159</t>
        </is>
      </c>
      <c r="AY312" t="inlineStr">
        <is>
          <t>991002254769702656</t>
        </is>
      </c>
      <c r="AZ312" t="inlineStr">
        <is>
          <t>991002254769702656</t>
        </is>
      </c>
      <c r="BA312" t="inlineStr">
        <is>
          <t>2269884790002656</t>
        </is>
      </c>
      <c r="BB312" t="inlineStr">
        <is>
          <t>BOOK</t>
        </is>
      </c>
      <c r="BE312" t="inlineStr">
        <is>
          <t>32285002279759</t>
        </is>
      </c>
      <c r="BF312" t="inlineStr">
        <is>
          <t>893232739</t>
        </is>
      </c>
    </row>
    <row r="313">
      <c r="B313" t="inlineStr">
        <is>
          <t>CURAL</t>
        </is>
      </c>
      <c r="C313" t="inlineStr">
        <is>
          <t>SHELVES</t>
        </is>
      </c>
      <c r="D313" t="inlineStr">
        <is>
          <t>CT1828.C5212 C54 1999</t>
        </is>
      </c>
      <c r="E313" t="inlineStr">
        <is>
          <t>0                      CT 1828000C  5212               C  54          1999</t>
        </is>
      </c>
      <c r="F313" t="inlineStr">
        <is>
          <t>Colors of the mountain / Da Chen.</t>
        </is>
      </c>
      <c r="H313" t="inlineStr">
        <is>
          <t>No</t>
        </is>
      </c>
      <c r="I313" t="inlineStr">
        <is>
          <t>1</t>
        </is>
      </c>
      <c r="J313" t="inlineStr">
        <is>
          <t>No</t>
        </is>
      </c>
      <c r="K313" t="inlineStr">
        <is>
          <t>No</t>
        </is>
      </c>
      <c r="L313" t="inlineStr">
        <is>
          <t>0</t>
        </is>
      </c>
      <c r="M313" t="inlineStr">
        <is>
          <t>Chen, Da, 1962-2019.</t>
        </is>
      </c>
      <c r="N313" t="inlineStr">
        <is>
          <t>New York : Random House, c1999.</t>
        </is>
      </c>
      <c r="O313" t="inlineStr">
        <is>
          <t>1999</t>
        </is>
      </c>
      <c r="P313" t="inlineStr">
        <is>
          <t>1st ed.</t>
        </is>
      </c>
      <c r="Q313" t="inlineStr">
        <is>
          <t>eng</t>
        </is>
      </c>
      <c r="R313" t="inlineStr">
        <is>
          <t>nyu</t>
        </is>
      </c>
      <c r="T313" t="inlineStr">
        <is>
          <t xml:space="preserve">CT </t>
        </is>
      </c>
      <c r="U313" t="n">
        <v>2</v>
      </c>
      <c r="V313" t="n">
        <v>2</v>
      </c>
      <c r="W313" t="inlineStr">
        <is>
          <t>2009-01-23</t>
        </is>
      </c>
      <c r="X313" t="inlineStr">
        <is>
          <t>2009-01-23</t>
        </is>
      </c>
      <c r="Y313" t="inlineStr">
        <is>
          <t>2000-03-02</t>
        </is>
      </c>
      <c r="Z313" t="inlineStr">
        <is>
          <t>2000-03-02</t>
        </is>
      </c>
      <c r="AA313" t="n">
        <v>1059</v>
      </c>
      <c r="AB313" t="n">
        <v>1011</v>
      </c>
      <c r="AC313" t="n">
        <v>1300</v>
      </c>
      <c r="AD313" t="n">
        <v>12</v>
      </c>
      <c r="AE313" t="n">
        <v>14</v>
      </c>
      <c r="AF313" t="n">
        <v>24</v>
      </c>
      <c r="AG313" t="n">
        <v>28</v>
      </c>
      <c r="AH313" t="n">
        <v>7</v>
      </c>
      <c r="AI313" t="n">
        <v>9</v>
      </c>
      <c r="AJ313" t="n">
        <v>6</v>
      </c>
      <c r="AK313" t="n">
        <v>6</v>
      </c>
      <c r="AL313" t="n">
        <v>11</v>
      </c>
      <c r="AM313" t="n">
        <v>11</v>
      </c>
      <c r="AN313" t="n">
        <v>6</v>
      </c>
      <c r="AO313" t="n">
        <v>8</v>
      </c>
      <c r="AP313" t="n">
        <v>0</v>
      </c>
      <c r="AQ313" t="n">
        <v>0</v>
      </c>
      <c r="AR313" t="inlineStr">
        <is>
          <t>No</t>
        </is>
      </c>
      <c r="AS313" t="inlineStr">
        <is>
          <t>Yes</t>
        </is>
      </c>
      <c r="AT313">
        <f>HYPERLINK("http://catalog.hathitrust.org/Record/004070431","HathiTrust Record")</f>
        <v/>
      </c>
      <c r="AU313">
        <f>HYPERLINK("https://creighton-primo.hosted.exlibrisgroup.com/primo-explore/search?tab=default_tab&amp;search_scope=EVERYTHING&amp;vid=01CRU&amp;lang=en_US&amp;offset=0&amp;query=any,contains,991003053159702656","Catalog Record")</f>
        <v/>
      </c>
      <c r="AV313">
        <f>HYPERLINK("http://www.worldcat.org/oclc/43422460","WorldCat Record")</f>
        <v/>
      </c>
      <c r="AW313" t="inlineStr">
        <is>
          <t>879423:eng</t>
        </is>
      </c>
      <c r="AX313" t="inlineStr">
        <is>
          <t>43422460</t>
        </is>
      </c>
      <c r="AY313" t="inlineStr">
        <is>
          <t>991003053159702656</t>
        </is>
      </c>
      <c r="AZ313" t="inlineStr">
        <is>
          <t>991003053159702656</t>
        </is>
      </c>
      <c r="BA313" t="inlineStr">
        <is>
          <t>2258116340002656</t>
        </is>
      </c>
      <c r="BB313" t="inlineStr">
        <is>
          <t>BOOK</t>
        </is>
      </c>
      <c r="BD313" t="inlineStr">
        <is>
          <t>9780375502880</t>
        </is>
      </c>
      <c r="BE313" t="inlineStr">
        <is>
          <t>32285003666384</t>
        </is>
      </c>
      <c r="BF313" t="inlineStr">
        <is>
          <t>893623101</t>
        </is>
      </c>
    </row>
    <row r="314">
      <c r="B314" t="inlineStr">
        <is>
          <t>CURAL</t>
        </is>
      </c>
      <c r="C314" t="inlineStr">
        <is>
          <t>SHELVES</t>
        </is>
      </c>
      <c r="D314" t="inlineStr">
        <is>
          <t>CT1828.C5214 A3 2002</t>
        </is>
      </c>
      <c r="E314" t="inlineStr">
        <is>
          <t>0                      CT 1828000C  5214               A  3           2002</t>
        </is>
      </c>
      <c r="F314" t="inlineStr">
        <is>
          <t>Sounds of the river : a memoir / Da Chen.</t>
        </is>
      </c>
      <c r="H314" t="inlineStr">
        <is>
          <t>No</t>
        </is>
      </c>
      <c r="I314" t="inlineStr">
        <is>
          <t>1</t>
        </is>
      </c>
      <c r="J314" t="inlineStr">
        <is>
          <t>No</t>
        </is>
      </c>
      <c r="K314" t="inlineStr">
        <is>
          <t>No</t>
        </is>
      </c>
      <c r="L314" t="inlineStr">
        <is>
          <t>0</t>
        </is>
      </c>
      <c r="M314" t="inlineStr">
        <is>
          <t>Chen, Da, 1962-2019.</t>
        </is>
      </c>
      <c r="N314" t="inlineStr">
        <is>
          <t>New York : HarperCollins, c2002.</t>
        </is>
      </c>
      <c r="O314" t="inlineStr">
        <is>
          <t>2002</t>
        </is>
      </c>
      <c r="P314" t="inlineStr">
        <is>
          <t>1st ed.</t>
        </is>
      </c>
      <c r="Q314" t="inlineStr">
        <is>
          <t>eng</t>
        </is>
      </c>
      <c r="R314" t="inlineStr">
        <is>
          <t>nyu</t>
        </is>
      </c>
      <c r="T314" t="inlineStr">
        <is>
          <t xml:space="preserve">CT </t>
        </is>
      </c>
      <c r="U314" t="n">
        <v>2</v>
      </c>
      <c r="V314" t="n">
        <v>2</v>
      </c>
      <c r="W314" t="inlineStr">
        <is>
          <t>2002-03-11</t>
        </is>
      </c>
      <c r="X314" t="inlineStr">
        <is>
          <t>2002-03-11</t>
        </is>
      </c>
      <c r="Y314" t="inlineStr">
        <is>
          <t>2002-02-11</t>
        </is>
      </c>
      <c r="Z314" t="inlineStr">
        <is>
          <t>2002-02-11</t>
        </is>
      </c>
      <c r="AA314" t="n">
        <v>677</v>
      </c>
      <c r="AB314" t="n">
        <v>644</v>
      </c>
      <c r="AC314" t="n">
        <v>651</v>
      </c>
      <c r="AD314" t="n">
        <v>7</v>
      </c>
      <c r="AE314" t="n">
        <v>7</v>
      </c>
      <c r="AF314" t="n">
        <v>13</v>
      </c>
      <c r="AG314" t="n">
        <v>13</v>
      </c>
      <c r="AH314" t="n">
        <v>3</v>
      </c>
      <c r="AI314" t="n">
        <v>3</v>
      </c>
      <c r="AJ314" t="n">
        <v>3</v>
      </c>
      <c r="AK314" t="n">
        <v>3</v>
      </c>
      <c r="AL314" t="n">
        <v>6</v>
      </c>
      <c r="AM314" t="n">
        <v>6</v>
      </c>
      <c r="AN314" t="n">
        <v>3</v>
      </c>
      <c r="AO314" t="n">
        <v>3</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HYPERLINK("https://creighton-primo.hosted.exlibrisgroup.com/primo-explore/search?tab=default_tab&amp;search_scope=EVERYTHING&amp;vid=01CRU&amp;lang=en_US&amp;offset=0&amp;query=any,contains,991003710109702656","Catalog Record")</f>
        <v/>
      </c>
      <c r="AV314">
        <f>HYPERLINK("http://www.worldcat.org/oclc/47136618","WorldCat Record")</f>
        <v/>
      </c>
      <c r="AW314" t="inlineStr">
        <is>
          <t>9694917:eng</t>
        </is>
      </c>
      <c r="AX314" t="inlineStr">
        <is>
          <t>47136618</t>
        </is>
      </c>
      <c r="AY314" t="inlineStr">
        <is>
          <t>991003710109702656</t>
        </is>
      </c>
      <c r="AZ314" t="inlineStr">
        <is>
          <t>991003710109702656</t>
        </is>
      </c>
      <c r="BA314" t="inlineStr">
        <is>
          <t>2267608670002656</t>
        </is>
      </c>
      <c r="BB314" t="inlineStr">
        <is>
          <t>BOOK</t>
        </is>
      </c>
      <c r="BD314" t="inlineStr">
        <is>
          <t>9780060199258</t>
        </is>
      </c>
      <c r="BE314" t="inlineStr">
        <is>
          <t>32285004453378</t>
        </is>
      </c>
      <c r="BF314" t="inlineStr">
        <is>
          <t>893318311</t>
        </is>
      </c>
    </row>
    <row r="315">
      <c r="B315" t="inlineStr">
        <is>
          <t>CURAL</t>
        </is>
      </c>
      <c r="C315" t="inlineStr">
        <is>
          <t>SHELVES</t>
        </is>
      </c>
      <c r="D315" t="inlineStr">
        <is>
          <t>CT1833 .W47 2002</t>
        </is>
      </c>
      <c r="E315" t="inlineStr">
        <is>
          <t>0                      CT 1833000W  47          2002</t>
        </is>
      </c>
      <c r="F315" t="inlineStr">
        <is>
          <t>Giants of Japan : the lives of Japan's greatest men and women / Mark Weston.</t>
        </is>
      </c>
      <c r="H315" t="inlineStr">
        <is>
          <t>No</t>
        </is>
      </c>
      <c r="I315" t="inlineStr">
        <is>
          <t>1</t>
        </is>
      </c>
      <c r="J315" t="inlineStr">
        <is>
          <t>No</t>
        </is>
      </c>
      <c r="K315" t="inlineStr">
        <is>
          <t>No</t>
        </is>
      </c>
      <c r="L315" t="inlineStr">
        <is>
          <t>0</t>
        </is>
      </c>
      <c r="M315" t="inlineStr">
        <is>
          <t>Weston, Mark.</t>
        </is>
      </c>
      <c r="N315" t="inlineStr">
        <is>
          <t>New York : Kodansha International, 2002.</t>
        </is>
      </c>
      <c r="O315" t="inlineStr">
        <is>
          <t>2002</t>
        </is>
      </c>
      <c r="P315" t="inlineStr">
        <is>
          <t>1st pbk. ed.</t>
        </is>
      </c>
      <c r="Q315" t="inlineStr">
        <is>
          <t>eng</t>
        </is>
      </c>
      <c r="R315" t="inlineStr">
        <is>
          <t>nyu</t>
        </is>
      </c>
      <c r="T315" t="inlineStr">
        <is>
          <t xml:space="preserve">CT </t>
        </is>
      </c>
      <c r="U315" t="n">
        <v>2</v>
      </c>
      <c r="V315" t="n">
        <v>2</v>
      </c>
      <c r="W315" t="inlineStr">
        <is>
          <t>2003-03-03</t>
        </is>
      </c>
      <c r="X315" t="inlineStr">
        <is>
          <t>2003-03-03</t>
        </is>
      </c>
      <c r="Y315" t="inlineStr">
        <is>
          <t>2003-03-03</t>
        </is>
      </c>
      <c r="Z315" t="inlineStr">
        <is>
          <t>2003-03-03</t>
        </is>
      </c>
      <c r="AA315" t="n">
        <v>38</v>
      </c>
      <c r="AB315" t="n">
        <v>34</v>
      </c>
      <c r="AC315" t="n">
        <v>436</v>
      </c>
      <c r="AD315" t="n">
        <v>2</v>
      </c>
      <c r="AE315" t="n">
        <v>5</v>
      </c>
      <c r="AF315" t="n">
        <v>2</v>
      </c>
      <c r="AG315" t="n">
        <v>14</v>
      </c>
      <c r="AH315" t="n">
        <v>0</v>
      </c>
      <c r="AI315" t="n">
        <v>3</v>
      </c>
      <c r="AJ315" t="n">
        <v>0</v>
      </c>
      <c r="AK315" t="n">
        <v>3</v>
      </c>
      <c r="AL315" t="n">
        <v>1</v>
      </c>
      <c r="AM315" t="n">
        <v>7</v>
      </c>
      <c r="AN315" t="n">
        <v>1</v>
      </c>
      <c r="AO315" t="n">
        <v>3</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HYPERLINK("https://creighton-primo.hosted.exlibrisgroup.com/primo-explore/search?tab=default_tab&amp;search_scope=EVERYTHING&amp;vid=01CRU&amp;lang=en_US&amp;offset=0&amp;query=any,contains,991003999669702656","Catalog Record")</f>
        <v/>
      </c>
      <c r="AV315">
        <f>HYPERLINK("http://www.worldcat.org/oclc/51455639","WorldCat Record")</f>
        <v/>
      </c>
      <c r="AW315" t="inlineStr">
        <is>
          <t>196643695:eng</t>
        </is>
      </c>
      <c r="AX315" t="inlineStr">
        <is>
          <t>51455639</t>
        </is>
      </c>
      <c r="AY315" t="inlineStr">
        <is>
          <t>991003999669702656</t>
        </is>
      </c>
      <c r="AZ315" t="inlineStr">
        <is>
          <t>991003999669702656</t>
        </is>
      </c>
      <c r="BA315" t="inlineStr">
        <is>
          <t>2254749110002656</t>
        </is>
      </c>
      <c r="BB315" t="inlineStr">
        <is>
          <t>BOOK</t>
        </is>
      </c>
      <c r="BD315" t="inlineStr">
        <is>
          <t>9781568363240</t>
        </is>
      </c>
      <c r="BE315" t="inlineStr">
        <is>
          <t>32285004681986</t>
        </is>
      </c>
      <c r="BF315" t="inlineStr">
        <is>
          <t>893900664</t>
        </is>
      </c>
    </row>
    <row r="316">
      <c r="B316" t="inlineStr">
        <is>
          <t>CURAL</t>
        </is>
      </c>
      <c r="C316" t="inlineStr">
        <is>
          <t>SHELVES</t>
        </is>
      </c>
      <c r="D316" t="inlineStr">
        <is>
          <t>CT1877.5.K48 S45 2003</t>
        </is>
      </c>
      <c r="E316" t="inlineStr">
        <is>
          <t>0                      CT 1877500K  48                 S  45          2003</t>
        </is>
      </c>
      <c r="F316" t="inlineStr">
        <is>
          <t>The bookseller of Kabul / Åsne Seierstad ; translated by Ingrid Christopher.</t>
        </is>
      </c>
      <c r="H316" t="inlineStr">
        <is>
          <t>No</t>
        </is>
      </c>
      <c r="I316" t="inlineStr">
        <is>
          <t>1</t>
        </is>
      </c>
      <c r="J316" t="inlineStr">
        <is>
          <t>No</t>
        </is>
      </c>
      <c r="K316" t="inlineStr">
        <is>
          <t>No</t>
        </is>
      </c>
      <c r="L316" t="inlineStr">
        <is>
          <t>0</t>
        </is>
      </c>
      <c r="M316" t="inlineStr">
        <is>
          <t>Seierstad, Åsne, 1970-</t>
        </is>
      </c>
      <c r="N316" t="inlineStr">
        <is>
          <t>Boston : Little, Brown, 2003.</t>
        </is>
      </c>
      <c r="O316" t="inlineStr">
        <is>
          <t>2003</t>
        </is>
      </c>
      <c r="P316" t="inlineStr">
        <is>
          <t>1st U.S. ed.</t>
        </is>
      </c>
      <c r="Q316" t="inlineStr">
        <is>
          <t>eng</t>
        </is>
      </c>
      <c r="R316" t="inlineStr">
        <is>
          <t>mau</t>
        </is>
      </c>
      <c r="T316" t="inlineStr">
        <is>
          <t xml:space="preserve">CT </t>
        </is>
      </c>
      <c r="U316" t="n">
        <v>2</v>
      </c>
      <c r="V316" t="n">
        <v>2</v>
      </c>
      <c r="W316" t="inlineStr">
        <is>
          <t>2005-10-18</t>
        </is>
      </c>
      <c r="X316" t="inlineStr">
        <is>
          <t>2005-10-18</t>
        </is>
      </c>
      <c r="Y316" t="inlineStr">
        <is>
          <t>2003-11-17</t>
        </is>
      </c>
      <c r="Z316" t="inlineStr">
        <is>
          <t>2003-11-17</t>
        </is>
      </c>
      <c r="AA316" t="n">
        <v>1500</v>
      </c>
      <c r="AB316" t="n">
        <v>1425</v>
      </c>
      <c r="AC316" t="n">
        <v>2107</v>
      </c>
      <c r="AD316" t="n">
        <v>15</v>
      </c>
      <c r="AE316" t="n">
        <v>24</v>
      </c>
      <c r="AF316" t="n">
        <v>25</v>
      </c>
      <c r="AG316" t="n">
        <v>33</v>
      </c>
      <c r="AH316" t="n">
        <v>12</v>
      </c>
      <c r="AI316" t="n">
        <v>15</v>
      </c>
      <c r="AJ316" t="n">
        <v>6</v>
      </c>
      <c r="AK316" t="n">
        <v>6</v>
      </c>
      <c r="AL316" t="n">
        <v>12</v>
      </c>
      <c r="AM316" t="n">
        <v>16</v>
      </c>
      <c r="AN316" t="n">
        <v>4</v>
      </c>
      <c r="AO316" t="n">
        <v>6</v>
      </c>
      <c r="AP316" t="n">
        <v>0</v>
      </c>
      <c r="AQ316" t="n">
        <v>0</v>
      </c>
      <c r="AR316" t="inlineStr">
        <is>
          <t>No</t>
        </is>
      </c>
      <c r="AS316" t="inlineStr">
        <is>
          <t>No</t>
        </is>
      </c>
      <c r="AU316">
        <f>HYPERLINK("https://creighton-primo.hosted.exlibrisgroup.com/primo-explore/search?tab=default_tab&amp;search_scope=EVERYTHING&amp;vid=01CRU&amp;lang=en_US&amp;offset=0&amp;query=any,contains,991004171519702656","Catalog Record")</f>
        <v/>
      </c>
      <c r="AV316">
        <f>HYPERLINK("http://www.worldcat.org/oclc/52575352","WorldCat Record")</f>
        <v/>
      </c>
      <c r="AW316" t="inlineStr">
        <is>
          <t>10596184551:eng</t>
        </is>
      </c>
      <c r="AX316" t="inlineStr">
        <is>
          <t>52575352</t>
        </is>
      </c>
      <c r="AY316" t="inlineStr">
        <is>
          <t>991004171519702656</t>
        </is>
      </c>
      <c r="AZ316" t="inlineStr">
        <is>
          <t>991004171519702656</t>
        </is>
      </c>
      <c r="BA316" t="inlineStr">
        <is>
          <t>2258099200002656</t>
        </is>
      </c>
      <c r="BB316" t="inlineStr">
        <is>
          <t>BOOK</t>
        </is>
      </c>
      <c r="BD316" t="inlineStr">
        <is>
          <t>9780316734509</t>
        </is>
      </c>
      <c r="BE316" t="inlineStr">
        <is>
          <t>32285004798418</t>
        </is>
      </c>
      <c r="BF316" t="inlineStr">
        <is>
          <t>893331277</t>
        </is>
      </c>
    </row>
    <row r="317">
      <c r="B317" t="inlineStr">
        <is>
          <t>CURAL</t>
        </is>
      </c>
      <c r="C317" t="inlineStr">
        <is>
          <t>SHELVES</t>
        </is>
      </c>
      <c r="D317" t="inlineStr">
        <is>
          <t>CT1888.F37 A3 1992</t>
        </is>
      </c>
      <c r="E317" t="inlineStr">
        <is>
          <t>0                      CT 1888000F  37                 A  3           1992</t>
        </is>
      </c>
      <c r="F317" t="inlineStr">
        <is>
          <t>Daughter of Persia : a woman's journey from her father's harem through the Islamic Revolution / by Sattareh Farman Farmaian with Dona Munker.</t>
        </is>
      </c>
      <c r="H317" t="inlineStr">
        <is>
          <t>No</t>
        </is>
      </c>
      <c r="I317" t="inlineStr">
        <is>
          <t>1</t>
        </is>
      </c>
      <c r="J317" t="inlineStr">
        <is>
          <t>No</t>
        </is>
      </c>
      <c r="K317" t="inlineStr">
        <is>
          <t>No</t>
        </is>
      </c>
      <c r="L317" t="inlineStr">
        <is>
          <t>0</t>
        </is>
      </c>
      <c r="M317" t="inlineStr">
        <is>
          <t>Farman-Farmaian, Sattareh.</t>
        </is>
      </c>
      <c r="N317" t="inlineStr">
        <is>
          <t>New York : Crown, c1992.</t>
        </is>
      </c>
      <c r="O317" t="inlineStr">
        <is>
          <t>1992</t>
        </is>
      </c>
      <c r="P317" t="inlineStr">
        <is>
          <t>1st ed.</t>
        </is>
      </c>
      <c r="Q317" t="inlineStr">
        <is>
          <t>eng</t>
        </is>
      </c>
      <c r="R317" t="inlineStr">
        <is>
          <t>nyu</t>
        </is>
      </c>
      <c r="T317" t="inlineStr">
        <is>
          <t xml:space="preserve">CT </t>
        </is>
      </c>
      <c r="U317" t="n">
        <v>2</v>
      </c>
      <c r="V317" t="n">
        <v>2</v>
      </c>
      <c r="W317" t="inlineStr">
        <is>
          <t>1993-05-18</t>
        </is>
      </c>
      <c r="X317" t="inlineStr">
        <is>
          <t>1993-05-18</t>
        </is>
      </c>
      <c r="Y317" t="inlineStr">
        <is>
          <t>1992-05-22</t>
        </is>
      </c>
      <c r="Z317" t="inlineStr">
        <is>
          <t>1992-05-22</t>
        </is>
      </c>
      <c r="AA317" t="n">
        <v>924</v>
      </c>
      <c r="AB317" t="n">
        <v>868</v>
      </c>
      <c r="AC317" t="n">
        <v>1131</v>
      </c>
      <c r="AD317" t="n">
        <v>8</v>
      </c>
      <c r="AE317" t="n">
        <v>10</v>
      </c>
      <c r="AF317" t="n">
        <v>20</v>
      </c>
      <c r="AG317" t="n">
        <v>31</v>
      </c>
      <c r="AH317" t="n">
        <v>6</v>
      </c>
      <c r="AI317" t="n">
        <v>10</v>
      </c>
      <c r="AJ317" t="n">
        <v>6</v>
      </c>
      <c r="AK317" t="n">
        <v>7</v>
      </c>
      <c r="AL317" t="n">
        <v>7</v>
      </c>
      <c r="AM317" t="n">
        <v>13</v>
      </c>
      <c r="AN317" t="n">
        <v>4</v>
      </c>
      <c r="AO317" t="n">
        <v>6</v>
      </c>
      <c r="AP317" t="n">
        <v>0</v>
      </c>
      <c r="AQ317" t="n">
        <v>0</v>
      </c>
      <c r="AR317" t="inlineStr">
        <is>
          <t>No</t>
        </is>
      </c>
      <c r="AS317" t="inlineStr">
        <is>
          <t>Yes</t>
        </is>
      </c>
      <c r="AT317">
        <f>HYPERLINK("http://catalog.hathitrust.org/Record/002527019","HathiTrust Record")</f>
        <v/>
      </c>
      <c r="AU317">
        <f>HYPERLINK("https://creighton-primo.hosted.exlibrisgroup.com/primo-explore/search?tab=default_tab&amp;search_scope=EVERYTHING&amp;vid=01CRU&amp;lang=en_US&amp;offset=0&amp;query=any,contains,991001900389702656","Catalog Record")</f>
        <v/>
      </c>
      <c r="AV317">
        <f>HYPERLINK("http://www.worldcat.org/oclc/24009718","WorldCat Record")</f>
        <v/>
      </c>
      <c r="AW317" t="inlineStr">
        <is>
          <t>13842276:eng</t>
        </is>
      </c>
      <c r="AX317" t="inlineStr">
        <is>
          <t>24009718</t>
        </is>
      </c>
      <c r="AY317" t="inlineStr">
        <is>
          <t>991001900389702656</t>
        </is>
      </c>
      <c r="AZ317" t="inlineStr">
        <is>
          <t>991001900389702656</t>
        </is>
      </c>
      <c r="BA317" t="inlineStr">
        <is>
          <t>2262020950002656</t>
        </is>
      </c>
      <c r="BB317" t="inlineStr">
        <is>
          <t>BOOK</t>
        </is>
      </c>
      <c r="BD317" t="inlineStr">
        <is>
          <t>9780517586976</t>
        </is>
      </c>
      <c r="BE317" t="inlineStr">
        <is>
          <t>32285001117083</t>
        </is>
      </c>
      <c r="BF317" t="inlineStr">
        <is>
          <t>893340802</t>
        </is>
      </c>
    </row>
    <row r="318">
      <c r="B318" t="inlineStr">
        <is>
          <t>CURAL</t>
        </is>
      </c>
      <c r="C318" t="inlineStr">
        <is>
          <t>SHELVES</t>
        </is>
      </c>
      <c r="D318" t="inlineStr">
        <is>
          <t>CT1919.P38 R333 1996</t>
        </is>
      </c>
      <c r="E318" t="inlineStr">
        <is>
          <t>0                      CT 1919000P  38                 R  333         1996</t>
        </is>
      </c>
      <c r="F318" t="inlineStr">
        <is>
          <t>In the name of sorrow and hope / Noa Ben Artzi-Pelossof.</t>
        </is>
      </c>
      <c r="H318" t="inlineStr">
        <is>
          <t>No</t>
        </is>
      </c>
      <c r="I318" t="inlineStr">
        <is>
          <t>1</t>
        </is>
      </c>
      <c r="J318" t="inlineStr">
        <is>
          <t>No</t>
        </is>
      </c>
      <c r="K318" t="inlineStr">
        <is>
          <t>No</t>
        </is>
      </c>
      <c r="L318" t="inlineStr">
        <is>
          <t>0</t>
        </is>
      </c>
      <c r="M318" t="inlineStr">
        <is>
          <t>Ben Artzi-Pelossof, Noa.</t>
        </is>
      </c>
      <c r="N318" t="inlineStr">
        <is>
          <t>New York : Knopf : Distributed by Random House, 1996.</t>
        </is>
      </c>
      <c r="O318" t="inlineStr">
        <is>
          <t>1996</t>
        </is>
      </c>
      <c r="P318" t="inlineStr">
        <is>
          <t>1st American ed.</t>
        </is>
      </c>
      <c r="Q318" t="inlineStr">
        <is>
          <t>eng</t>
        </is>
      </c>
      <c r="R318" t="inlineStr">
        <is>
          <t>nyu</t>
        </is>
      </c>
      <c r="T318" t="inlineStr">
        <is>
          <t xml:space="preserve">CT </t>
        </is>
      </c>
      <c r="U318" t="n">
        <v>1</v>
      </c>
      <c r="V318" t="n">
        <v>1</v>
      </c>
      <c r="W318" t="inlineStr">
        <is>
          <t>2001-05-22</t>
        </is>
      </c>
      <c r="X318" t="inlineStr">
        <is>
          <t>2001-05-22</t>
        </is>
      </c>
      <c r="Y318" t="inlineStr">
        <is>
          <t>1996-05-17</t>
        </is>
      </c>
      <c r="Z318" t="inlineStr">
        <is>
          <t>1996-05-17</t>
        </is>
      </c>
      <c r="AA318" t="n">
        <v>331</v>
      </c>
      <c r="AB318" t="n">
        <v>306</v>
      </c>
      <c r="AC318" t="n">
        <v>827</v>
      </c>
      <c r="AD318" t="n">
        <v>3</v>
      </c>
      <c r="AE318" t="n">
        <v>6</v>
      </c>
      <c r="AF318" t="n">
        <v>5</v>
      </c>
      <c r="AG318" t="n">
        <v>14</v>
      </c>
      <c r="AH318" t="n">
        <v>1</v>
      </c>
      <c r="AI318" t="n">
        <v>6</v>
      </c>
      <c r="AJ318" t="n">
        <v>2</v>
      </c>
      <c r="AK318" t="n">
        <v>3</v>
      </c>
      <c r="AL318" t="n">
        <v>2</v>
      </c>
      <c r="AM318" t="n">
        <v>7</v>
      </c>
      <c r="AN318" t="n">
        <v>1</v>
      </c>
      <c r="AO318" t="n">
        <v>2</v>
      </c>
      <c r="AP318" t="n">
        <v>0</v>
      </c>
      <c r="AQ318" t="n">
        <v>0</v>
      </c>
      <c r="AR318" t="inlineStr">
        <is>
          <t>No</t>
        </is>
      </c>
      <c r="AS318" t="inlineStr">
        <is>
          <t>Yes</t>
        </is>
      </c>
      <c r="AT318">
        <f>HYPERLINK("http://catalog.hathitrust.org/Record/003063008","HathiTrust Record")</f>
        <v/>
      </c>
      <c r="AU318">
        <f>HYPERLINK("https://creighton-primo.hosted.exlibrisgroup.com/primo-explore/search?tab=default_tab&amp;search_scope=EVERYTHING&amp;vid=01CRU&amp;lang=en_US&amp;offset=0&amp;query=any,contains,991002620749702656","Catalog Record")</f>
        <v/>
      </c>
      <c r="AV318">
        <f>HYPERLINK("http://www.worldcat.org/oclc/34114968","WorldCat Record")</f>
        <v/>
      </c>
      <c r="AW318" t="inlineStr">
        <is>
          <t>9415742:eng</t>
        </is>
      </c>
      <c r="AX318" t="inlineStr">
        <is>
          <t>34114968</t>
        </is>
      </c>
      <c r="AY318" t="inlineStr">
        <is>
          <t>991002620749702656</t>
        </is>
      </c>
      <c r="AZ318" t="inlineStr">
        <is>
          <t>991002620749702656</t>
        </is>
      </c>
      <c r="BA318" t="inlineStr">
        <is>
          <t>2264081850002656</t>
        </is>
      </c>
      <c r="BB318" t="inlineStr">
        <is>
          <t>BOOK</t>
        </is>
      </c>
      <c r="BD318" t="inlineStr">
        <is>
          <t>9780679450795</t>
        </is>
      </c>
      <c r="BE318" t="inlineStr">
        <is>
          <t>32285002175130</t>
        </is>
      </c>
      <c r="BF318" t="inlineStr">
        <is>
          <t>893716679</t>
        </is>
      </c>
    </row>
    <row r="319">
      <c r="B319" t="inlineStr">
        <is>
          <t>CURAL</t>
        </is>
      </c>
      <c r="C319" t="inlineStr">
        <is>
          <t>SHELVES</t>
        </is>
      </c>
      <c r="D319" t="inlineStr">
        <is>
          <t>CT21 .B466 1993</t>
        </is>
      </c>
      <c r="E319" t="inlineStr">
        <is>
          <t>0                      CT 0021000B  466         1993</t>
        </is>
      </c>
      <c r="F319" t="inlineStr">
        <is>
          <t>Biography and autobiography : essays on Irish and Canadian history and literature / edited by James Noonan.</t>
        </is>
      </c>
      <c r="H319" t="inlineStr">
        <is>
          <t>No</t>
        </is>
      </c>
      <c r="I319" t="inlineStr">
        <is>
          <t>1</t>
        </is>
      </c>
      <c r="J319" t="inlineStr">
        <is>
          <t>No</t>
        </is>
      </c>
      <c r="K319" t="inlineStr">
        <is>
          <t>No</t>
        </is>
      </c>
      <c r="L319" t="inlineStr">
        <is>
          <t>0</t>
        </is>
      </c>
      <c r="N319" t="inlineStr">
        <is>
          <t>Ottawa : Carleton University Press, 1993.</t>
        </is>
      </c>
      <c r="O319" t="inlineStr">
        <is>
          <t>1993</t>
        </is>
      </c>
      <c r="Q319" t="inlineStr">
        <is>
          <t>eng</t>
        </is>
      </c>
      <c r="R319" t="inlineStr">
        <is>
          <t>onc</t>
        </is>
      </c>
      <c r="T319" t="inlineStr">
        <is>
          <t xml:space="preserve">CT </t>
        </is>
      </c>
      <c r="U319" t="n">
        <v>7</v>
      </c>
      <c r="V319" t="n">
        <v>7</v>
      </c>
      <c r="W319" t="inlineStr">
        <is>
          <t>2004-11-21</t>
        </is>
      </c>
      <c r="X319" t="inlineStr">
        <is>
          <t>2004-11-21</t>
        </is>
      </c>
      <c r="Y319" t="inlineStr">
        <is>
          <t>1994-12-06</t>
        </is>
      </c>
      <c r="Z319" t="inlineStr">
        <is>
          <t>1994-12-06</t>
        </is>
      </c>
      <c r="AA319" t="n">
        <v>157</v>
      </c>
      <c r="AB319" t="n">
        <v>101</v>
      </c>
      <c r="AC319" t="n">
        <v>222</v>
      </c>
      <c r="AD319" t="n">
        <v>2</v>
      </c>
      <c r="AE319" t="n">
        <v>3</v>
      </c>
      <c r="AF319" t="n">
        <v>4</v>
      </c>
      <c r="AG319" t="n">
        <v>12</v>
      </c>
      <c r="AH319" t="n">
        <v>0</v>
      </c>
      <c r="AI319" t="n">
        <v>5</v>
      </c>
      <c r="AJ319" t="n">
        <v>2</v>
      </c>
      <c r="AK319" t="n">
        <v>4</v>
      </c>
      <c r="AL319" t="n">
        <v>2</v>
      </c>
      <c r="AM319" t="n">
        <v>3</v>
      </c>
      <c r="AN319" t="n">
        <v>1</v>
      </c>
      <c r="AO319" t="n">
        <v>2</v>
      </c>
      <c r="AP319" t="n">
        <v>0</v>
      </c>
      <c r="AQ319" t="n">
        <v>0</v>
      </c>
      <c r="AR319" t="inlineStr">
        <is>
          <t>No</t>
        </is>
      </c>
      <c r="AS319" t="inlineStr">
        <is>
          <t>Yes</t>
        </is>
      </c>
      <c r="AT319">
        <f>HYPERLINK("http://catalog.hathitrust.org/Record/002801884","HathiTrust Record")</f>
        <v/>
      </c>
      <c r="AU319">
        <f>HYPERLINK("https://creighton-primo.hosted.exlibrisgroup.com/primo-explore/search?tab=default_tab&amp;search_scope=EVERYTHING&amp;vid=01CRU&amp;lang=en_US&amp;offset=0&amp;query=any,contains,991002213139702656","Catalog Record")</f>
        <v/>
      </c>
      <c r="AV319">
        <f>HYPERLINK("http://www.worldcat.org/oclc/28496762","WorldCat Record")</f>
        <v/>
      </c>
      <c r="AW319" t="inlineStr">
        <is>
          <t>143990200:eng</t>
        </is>
      </c>
      <c r="AX319" t="inlineStr">
        <is>
          <t>28496762</t>
        </is>
      </c>
      <c r="AY319" t="inlineStr">
        <is>
          <t>991002213139702656</t>
        </is>
      </c>
      <c r="AZ319" t="inlineStr">
        <is>
          <t>991002213139702656</t>
        </is>
      </c>
      <c r="BA319" t="inlineStr">
        <is>
          <t>2265878400002656</t>
        </is>
      </c>
      <c r="BB319" t="inlineStr">
        <is>
          <t>BOOK</t>
        </is>
      </c>
      <c r="BD319" t="inlineStr">
        <is>
          <t>9780886292089</t>
        </is>
      </c>
      <c r="BE319" t="inlineStr">
        <is>
          <t>32285001976561</t>
        </is>
      </c>
      <c r="BF319" t="inlineStr">
        <is>
          <t>893523327</t>
        </is>
      </c>
    </row>
    <row r="320">
      <c r="B320" t="inlineStr">
        <is>
          <t>CURAL</t>
        </is>
      </c>
      <c r="C320" t="inlineStr">
        <is>
          <t>SHELVES</t>
        </is>
      </c>
      <c r="D320" t="inlineStr">
        <is>
          <t>CT21 .E3 1973</t>
        </is>
      </c>
      <c r="E320" t="inlineStr">
        <is>
          <t>0                      CT 0021000E  3           1973</t>
        </is>
      </c>
      <c r="F320" t="inlineStr">
        <is>
          <t>Literary biography.</t>
        </is>
      </c>
      <c r="H320" t="inlineStr">
        <is>
          <t>No</t>
        </is>
      </c>
      <c r="I320" t="inlineStr">
        <is>
          <t>1</t>
        </is>
      </c>
      <c r="J320" t="inlineStr">
        <is>
          <t>No</t>
        </is>
      </c>
      <c r="K320" t="inlineStr">
        <is>
          <t>Yes</t>
        </is>
      </c>
      <c r="L320" t="inlineStr">
        <is>
          <t>0</t>
        </is>
      </c>
      <c r="M320" t="inlineStr">
        <is>
          <t>Edel, Leon, 1907-1997.</t>
        </is>
      </c>
      <c r="N320" t="inlineStr">
        <is>
          <t>Bloomington, Indiana University Press [1973]</t>
        </is>
      </c>
      <c r="O320" t="inlineStr">
        <is>
          <t>1973</t>
        </is>
      </c>
      <c r="Q320" t="inlineStr">
        <is>
          <t>eng</t>
        </is>
      </c>
      <c r="R320" t="inlineStr">
        <is>
          <t>inu</t>
        </is>
      </c>
      <c r="S320" t="inlineStr">
        <is>
          <t>A Midland book, MB- 69</t>
        </is>
      </c>
      <c r="T320" t="inlineStr">
        <is>
          <t xml:space="preserve">CT </t>
        </is>
      </c>
      <c r="U320" t="n">
        <v>1</v>
      </c>
      <c r="V320" t="n">
        <v>1</v>
      </c>
      <c r="W320" t="inlineStr">
        <is>
          <t>2009-05-27</t>
        </is>
      </c>
      <c r="X320" t="inlineStr">
        <is>
          <t>2009-05-27</t>
        </is>
      </c>
      <c r="Y320" t="inlineStr">
        <is>
          <t>1996-08-21</t>
        </is>
      </c>
      <c r="Z320" t="inlineStr">
        <is>
          <t>1996-08-21</t>
        </is>
      </c>
      <c r="AA320" t="n">
        <v>293</v>
      </c>
      <c r="AB320" t="n">
        <v>272</v>
      </c>
      <c r="AC320" t="n">
        <v>703</v>
      </c>
      <c r="AD320" t="n">
        <v>3</v>
      </c>
      <c r="AE320" t="n">
        <v>6</v>
      </c>
      <c r="AF320" t="n">
        <v>14</v>
      </c>
      <c r="AG320" t="n">
        <v>40</v>
      </c>
      <c r="AH320" t="n">
        <v>3</v>
      </c>
      <c r="AI320" t="n">
        <v>15</v>
      </c>
      <c r="AJ320" t="n">
        <v>5</v>
      </c>
      <c r="AK320" t="n">
        <v>9</v>
      </c>
      <c r="AL320" t="n">
        <v>8</v>
      </c>
      <c r="AM320" t="n">
        <v>21</v>
      </c>
      <c r="AN320" t="n">
        <v>2</v>
      </c>
      <c r="AO320" t="n">
        <v>5</v>
      </c>
      <c r="AP320" t="n">
        <v>0</v>
      </c>
      <c r="AQ320" t="n">
        <v>0</v>
      </c>
      <c r="AR320" t="inlineStr">
        <is>
          <t>No</t>
        </is>
      </c>
      <c r="AS320" t="inlineStr">
        <is>
          <t>Yes</t>
        </is>
      </c>
      <c r="AT320">
        <f>HYPERLINK("http://catalog.hathitrust.org/Record/102073984","HathiTrust Record")</f>
        <v/>
      </c>
      <c r="AU320">
        <f>HYPERLINK("https://creighton-primo.hosted.exlibrisgroup.com/primo-explore/search?tab=default_tab&amp;search_scope=EVERYTHING&amp;vid=01CRU&amp;lang=en_US&amp;offset=0&amp;query=any,contains,991003221259702656","Catalog Record")</f>
        <v/>
      </c>
      <c r="AV320">
        <f>HYPERLINK("http://www.worldcat.org/oclc/746146","WorldCat Record")</f>
        <v/>
      </c>
      <c r="AW320" t="inlineStr">
        <is>
          <t>50870757:eng</t>
        </is>
      </c>
      <c r="AX320" t="inlineStr">
        <is>
          <t>746146</t>
        </is>
      </c>
      <c r="AY320" t="inlineStr">
        <is>
          <t>991003221259702656</t>
        </is>
      </c>
      <c r="AZ320" t="inlineStr">
        <is>
          <t>991003221259702656</t>
        </is>
      </c>
      <c r="BA320" t="inlineStr">
        <is>
          <t>2255587640002656</t>
        </is>
      </c>
      <c r="BB320" t="inlineStr">
        <is>
          <t>BOOK</t>
        </is>
      </c>
      <c r="BD320" t="inlineStr">
        <is>
          <t>9780253335401</t>
        </is>
      </c>
      <c r="BE320" t="inlineStr">
        <is>
          <t>32285002278884</t>
        </is>
      </c>
      <c r="BF320" t="inlineStr">
        <is>
          <t>893428564</t>
        </is>
      </c>
    </row>
    <row r="321">
      <c r="B321" t="inlineStr">
        <is>
          <t>CURAL</t>
        </is>
      </c>
      <c r="C321" t="inlineStr">
        <is>
          <t>SHELVES</t>
        </is>
      </c>
      <c r="D321" t="inlineStr">
        <is>
          <t>CT21 .E34</t>
        </is>
      </c>
      <c r="E321" t="inlineStr">
        <is>
          <t>0                      CT 0021000E  34</t>
        </is>
      </c>
      <c r="F321" t="inlineStr">
        <is>
          <t>Literary biography.</t>
        </is>
      </c>
      <c r="H321" t="inlineStr">
        <is>
          <t>No</t>
        </is>
      </c>
      <c r="I321" t="inlineStr">
        <is>
          <t>1</t>
        </is>
      </c>
      <c r="J321" t="inlineStr">
        <is>
          <t>No</t>
        </is>
      </c>
      <c r="K321" t="inlineStr">
        <is>
          <t>Yes</t>
        </is>
      </c>
      <c r="L321" t="inlineStr">
        <is>
          <t>0</t>
        </is>
      </c>
      <c r="M321" t="inlineStr">
        <is>
          <t>Edel, Leon, 1907-1997.</t>
        </is>
      </c>
      <c r="N321" t="inlineStr">
        <is>
          <t>London, R. Hart-Davis, 1957.</t>
        </is>
      </c>
      <c r="O321" t="inlineStr">
        <is>
          <t>1957</t>
        </is>
      </c>
      <c r="Q321" t="inlineStr">
        <is>
          <t>eng</t>
        </is>
      </c>
      <c r="R321" t="inlineStr">
        <is>
          <t>enk</t>
        </is>
      </c>
      <c r="S321" t="inlineStr">
        <is>
          <t>The Alexander lectures, 1955-56</t>
        </is>
      </c>
      <c r="T321" t="inlineStr">
        <is>
          <t xml:space="preserve">CT </t>
        </is>
      </c>
      <c r="U321" t="n">
        <v>1</v>
      </c>
      <c r="V321" t="n">
        <v>1</v>
      </c>
      <c r="W321" t="inlineStr">
        <is>
          <t>2009-05-27</t>
        </is>
      </c>
      <c r="X321" t="inlineStr">
        <is>
          <t>2009-05-27</t>
        </is>
      </c>
      <c r="Y321" t="inlineStr">
        <is>
          <t>1996-08-21</t>
        </is>
      </c>
      <c r="Z321" t="inlineStr">
        <is>
          <t>1996-08-21</t>
        </is>
      </c>
      <c r="AA321" t="n">
        <v>196</v>
      </c>
      <c r="AB321" t="n">
        <v>141</v>
      </c>
      <c r="AC321" t="n">
        <v>703</v>
      </c>
      <c r="AD321" t="n">
        <v>2</v>
      </c>
      <c r="AE321" t="n">
        <v>6</v>
      </c>
      <c r="AF321" t="n">
        <v>10</v>
      </c>
      <c r="AG321" t="n">
        <v>40</v>
      </c>
      <c r="AH321" t="n">
        <v>5</v>
      </c>
      <c r="AI321" t="n">
        <v>15</v>
      </c>
      <c r="AJ321" t="n">
        <v>2</v>
      </c>
      <c r="AK321" t="n">
        <v>9</v>
      </c>
      <c r="AL321" t="n">
        <v>6</v>
      </c>
      <c r="AM321" t="n">
        <v>21</v>
      </c>
      <c r="AN321" t="n">
        <v>1</v>
      </c>
      <c r="AO321" t="n">
        <v>5</v>
      </c>
      <c r="AP321" t="n">
        <v>0</v>
      </c>
      <c r="AQ321" t="n">
        <v>0</v>
      </c>
      <c r="AR321" t="inlineStr">
        <is>
          <t>No</t>
        </is>
      </c>
      <c r="AS321" t="inlineStr">
        <is>
          <t>Yes</t>
        </is>
      </c>
      <c r="AT321">
        <f>HYPERLINK("http://catalog.hathitrust.org/Record/001964237","HathiTrust Record")</f>
        <v/>
      </c>
      <c r="AU321">
        <f>HYPERLINK("https://creighton-primo.hosted.exlibrisgroup.com/primo-explore/search?tab=default_tab&amp;search_scope=EVERYTHING&amp;vid=01CRU&amp;lang=en_US&amp;offset=0&amp;query=any,contains,991003278839702656","Catalog Record")</f>
        <v/>
      </c>
      <c r="AV321">
        <f>HYPERLINK("http://www.worldcat.org/oclc/801743","WorldCat Record")</f>
        <v/>
      </c>
      <c r="AW321" t="inlineStr">
        <is>
          <t>50870757:eng</t>
        </is>
      </c>
      <c r="AX321" t="inlineStr">
        <is>
          <t>801743</t>
        </is>
      </c>
      <c r="AY321" t="inlineStr">
        <is>
          <t>991003278839702656</t>
        </is>
      </c>
      <c r="AZ321" t="inlineStr">
        <is>
          <t>991003278839702656</t>
        </is>
      </c>
      <c r="BA321" t="inlineStr">
        <is>
          <t>2270054670002656</t>
        </is>
      </c>
      <c r="BB321" t="inlineStr">
        <is>
          <t>BOOK</t>
        </is>
      </c>
      <c r="BE321" t="inlineStr">
        <is>
          <t>32285002278892</t>
        </is>
      </c>
      <c r="BF321" t="inlineStr">
        <is>
          <t>893330162</t>
        </is>
      </c>
    </row>
    <row r="322">
      <c r="B322" t="inlineStr">
        <is>
          <t>CURAL</t>
        </is>
      </c>
      <c r="C322" t="inlineStr">
        <is>
          <t>SHELVES</t>
        </is>
      </c>
      <c r="D322" t="inlineStr">
        <is>
          <t>CT21 .E97 1988</t>
        </is>
      </c>
      <c r="E322" t="inlineStr">
        <is>
          <t>0                      CT 0021000E  97          1988</t>
        </is>
      </c>
      <c r="F322" t="inlineStr">
        <is>
          <t>Extraordinary lives : the art and craft of American biography / Robert A. Caro ... [et al.] ; edited by William Zinsser.</t>
        </is>
      </c>
      <c r="H322" t="inlineStr">
        <is>
          <t>No</t>
        </is>
      </c>
      <c r="I322" t="inlineStr">
        <is>
          <t>1</t>
        </is>
      </c>
      <c r="J322" t="inlineStr">
        <is>
          <t>No</t>
        </is>
      </c>
      <c r="K322" t="inlineStr">
        <is>
          <t>No</t>
        </is>
      </c>
      <c r="L322" t="inlineStr">
        <is>
          <t>0</t>
        </is>
      </c>
      <c r="N322" t="inlineStr">
        <is>
          <t>Boston : Houghton Mifflin, [1988]</t>
        </is>
      </c>
      <c r="O322" t="inlineStr">
        <is>
          <t>1988</t>
        </is>
      </c>
      <c r="Q322" t="inlineStr">
        <is>
          <t>eng</t>
        </is>
      </c>
      <c r="R322" t="inlineStr">
        <is>
          <t>mau</t>
        </is>
      </c>
      <c r="S322" t="inlineStr">
        <is>
          <t>The writer's craft</t>
        </is>
      </c>
      <c r="T322" t="inlineStr">
        <is>
          <t xml:space="preserve">CT </t>
        </is>
      </c>
      <c r="U322" t="n">
        <v>2</v>
      </c>
      <c r="V322" t="n">
        <v>2</v>
      </c>
      <c r="W322" t="inlineStr">
        <is>
          <t>2005-10-05</t>
        </is>
      </c>
      <c r="X322" t="inlineStr">
        <is>
          <t>2005-10-05</t>
        </is>
      </c>
      <c r="Y322" t="inlineStr">
        <is>
          <t>2005-10-05</t>
        </is>
      </c>
      <c r="Z322" t="inlineStr">
        <is>
          <t>2005-10-05</t>
        </is>
      </c>
      <c r="AA322" t="n">
        <v>133</v>
      </c>
      <c r="AB322" t="n">
        <v>121</v>
      </c>
      <c r="AC322" t="n">
        <v>983</v>
      </c>
      <c r="AD322" t="n">
        <v>1</v>
      </c>
      <c r="AE322" t="n">
        <v>7</v>
      </c>
      <c r="AF322" t="n">
        <v>2</v>
      </c>
      <c r="AG322" t="n">
        <v>36</v>
      </c>
      <c r="AH322" t="n">
        <v>1</v>
      </c>
      <c r="AI322" t="n">
        <v>15</v>
      </c>
      <c r="AJ322" t="n">
        <v>1</v>
      </c>
      <c r="AK322" t="n">
        <v>8</v>
      </c>
      <c r="AL322" t="n">
        <v>2</v>
      </c>
      <c r="AM322" t="n">
        <v>19</v>
      </c>
      <c r="AN322" t="n">
        <v>0</v>
      </c>
      <c r="AO322" t="n">
        <v>4</v>
      </c>
      <c r="AP322" t="n">
        <v>0</v>
      </c>
      <c r="AQ322" t="n">
        <v>1</v>
      </c>
      <c r="AR322" t="inlineStr">
        <is>
          <t>No</t>
        </is>
      </c>
      <c r="AS322" t="inlineStr">
        <is>
          <t>No</t>
        </is>
      </c>
      <c r="AU322">
        <f>HYPERLINK("https://creighton-primo.hosted.exlibrisgroup.com/primo-explore/search?tab=default_tab&amp;search_scope=EVERYTHING&amp;vid=01CRU&amp;lang=en_US&amp;offset=0&amp;query=any,contains,991004673869702656","Catalog Record")</f>
        <v/>
      </c>
      <c r="AV322">
        <f>HYPERLINK("http://www.worldcat.org/oclc/17951316","WorldCat Record")</f>
        <v/>
      </c>
      <c r="AW322" t="inlineStr">
        <is>
          <t>907707327:eng</t>
        </is>
      </c>
      <c r="AX322" t="inlineStr">
        <is>
          <t>17951316</t>
        </is>
      </c>
      <c r="AY322" t="inlineStr">
        <is>
          <t>991004673869702656</t>
        </is>
      </c>
      <c r="AZ322" t="inlineStr">
        <is>
          <t>991004673869702656</t>
        </is>
      </c>
      <c r="BA322" t="inlineStr">
        <is>
          <t>2271181150002656</t>
        </is>
      </c>
      <c r="BB322" t="inlineStr">
        <is>
          <t>BOOK</t>
        </is>
      </c>
      <c r="BD322" t="inlineStr">
        <is>
          <t>9780395486177</t>
        </is>
      </c>
      <c r="BE322" t="inlineStr">
        <is>
          <t>32285005087662</t>
        </is>
      </c>
      <c r="BF322" t="inlineStr">
        <is>
          <t>893436584</t>
        </is>
      </c>
    </row>
    <row r="323">
      <c r="B323" t="inlineStr">
        <is>
          <t>CURAL</t>
        </is>
      </c>
      <c r="C323" t="inlineStr">
        <is>
          <t>SHELVES</t>
        </is>
      </c>
      <c r="D323" t="inlineStr">
        <is>
          <t>CT21 .N3 1984</t>
        </is>
      </c>
      <c r="E323" t="inlineStr">
        <is>
          <t>0                      CT 0021000N  3           1984</t>
        </is>
      </c>
      <c r="F323" t="inlineStr">
        <is>
          <t>Biography : fiction, fact, and form / Ira Bruce Nadel.</t>
        </is>
      </c>
      <c r="H323" t="inlineStr">
        <is>
          <t>No</t>
        </is>
      </c>
      <c r="I323" t="inlineStr">
        <is>
          <t>1</t>
        </is>
      </c>
      <c r="J323" t="inlineStr">
        <is>
          <t>No</t>
        </is>
      </c>
      <c r="K323" t="inlineStr">
        <is>
          <t>No</t>
        </is>
      </c>
      <c r="L323" t="inlineStr">
        <is>
          <t>0</t>
        </is>
      </c>
      <c r="M323" t="inlineStr">
        <is>
          <t>Nadel, Ira Bruce.</t>
        </is>
      </c>
      <c r="N323" t="inlineStr">
        <is>
          <t>New York : St. Martin's Press, 1984.</t>
        </is>
      </c>
      <c r="O323" t="inlineStr">
        <is>
          <t>1984</t>
        </is>
      </c>
      <c r="Q323" t="inlineStr">
        <is>
          <t>eng</t>
        </is>
      </c>
      <c r="R323" t="inlineStr">
        <is>
          <t>nyu</t>
        </is>
      </c>
      <c r="T323" t="inlineStr">
        <is>
          <t xml:space="preserve">CT </t>
        </is>
      </c>
      <c r="U323" t="n">
        <v>3</v>
      </c>
      <c r="V323" t="n">
        <v>3</v>
      </c>
      <c r="W323" t="inlineStr">
        <is>
          <t>2006-05-22</t>
        </is>
      </c>
      <c r="X323" t="inlineStr">
        <is>
          <t>2006-05-22</t>
        </is>
      </c>
      <c r="Y323" t="inlineStr">
        <is>
          <t>1992-06-08</t>
        </is>
      </c>
      <c r="Z323" t="inlineStr">
        <is>
          <t>1992-06-08</t>
        </is>
      </c>
      <c r="AA323" t="n">
        <v>495</v>
      </c>
      <c r="AB323" t="n">
        <v>446</v>
      </c>
      <c r="AC323" t="n">
        <v>504</v>
      </c>
      <c r="AD323" t="n">
        <v>2</v>
      </c>
      <c r="AE323" t="n">
        <v>3</v>
      </c>
      <c r="AF323" t="n">
        <v>17</v>
      </c>
      <c r="AG323" t="n">
        <v>20</v>
      </c>
      <c r="AH323" t="n">
        <v>7</v>
      </c>
      <c r="AI323" t="n">
        <v>8</v>
      </c>
      <c r="AJ323" t="n">
        <v>4</v>
      </c>
      <c r="AK323" t="n">
        <v>4</v>
      </c>
      <c r="AL323" t="n">
        <v>9</v>
      </c>
      <c r="AM323" t="n">
        <v>11</v>
      </c>
      <c r="AN323" t="n">
        <v>1</v>
      </c>
      <c r="AO323" t="n">
        <v>2</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HYPERLINK("https://creighton-primo.hosted.exlibrisgroup.com/primo-explore/search?tab=default_tab&amp;search_scope=EVERYTHING&amp;vid=01CRU&amp;lang=en_US&amp;offset=0&amp;query=any,contains,991000304189702656","Catalog Record")</f>
        <v/>
      </c>
      <c r="AV323">
        <f>HYPERLINK("http://www.worldcat.org/oclc/10046102","WorldCat Record")</f>
        <v/>
      </c>
      <c r="AW323" t="inlineStr">
        <is>
          <t>3775359:eng</t>
        </is>
      </c>
      <c r="AX323" t="inlineStr">
        <is>
          <t>10046102</t>
        </is>
      </c>
      <c r="AY323" t="inlineStr">
        <is>
          <t>991000304189702656</t>
        </is>
      </c>
      <c r="AZ323" t="inlineStr">
        <is>
          <t>991000304189702656</t>
        </is>
      </c>
      <c r="BA323" t="inlineStr">
        <is>
          <t>2256263220002656</t>
        </is>
      </c>
      <c r="BB323" t="inlineStr">
        <is>
          <t>BOOK</t>
        </is>
      </c>
      <c r="BD323" t="inlineStr">
        <is>
          <t>9780312078683</t>
        </is>
      </c>
      <c r="BE323" t="inlineStr">
        <is>
          <t>32285001165280</t>
        </is>
      </c>
      <c r="BF323" t="inlineStr">
        <is>
          <t>893607806</t>
        </is>
      </c>
    </row>
    <row r="324">
      <c r="B324" t="inlineStr">
        <is>
          <t>CURAL</t>
        </is>
      </c>
      <c r="C324" t="inlineStr">
        <is>
          <t>SHELVES</t>
        </is>
      </c>
      <c r="D324" t="inlineStr">
        <is>
          <t>CT21 .N68 1986</t>
        </is>
      </c>
      <c r="E324" t="inlineStr">
        <is>
          <t>0                      CT 0021000N  68          1986</t>
        </is>
      </c>
      <c r="F324" t="inlineStr">
        <is>
          <t>The lines of life : theories of biography, 1880-1970 / David Novarr.</t>
        </is>
      </c>
      <c r="H324" t="inlineStr">
        <is>
          <t>No</t>
        </is>
      </c>
      <c r="I324" t="inlineStr">
        <is>
          <t>1</t>
        </is>
      </c>
      <c r="J324" t="inlineStr">
        <is>
          <t>No</t>
        </is>
      </c>
      <c r="K324" t="inlineStr">
        <is>
          <t>No</t>
        </is>
      </c>
      <c r="L324" t="inlineStr">
        <is>
          <t>0</t>
        </is>
      </c>
      <c r="M324" t="inlineStr">
        <is>
          <t>Novarr, David.</t>
        </is>
      </c>
      <c r="N324" t="inlineStr">
        <is>
          <t>West Lafayette, Ind. : Purdue University Press, 1986.</t>
        </is>
      </c>
      <c r="O324" t="inlineStr">
        <is>
          <t>1986</t>
        </is>
      </c>
      <c r="Q324" t="inlineStr">
        <is>
          <t>eng</t>
        </is>
      </c>
      <c r="R324" t="inlineStr">
        <is>
          <t>inu</t>
        </is>
      </c>
      <c r="T324" t="inlineStr">
        <is>
          <t xml:space="preserve">CT </t>
        </is>
      </c>
      <c r="U324" t="n">
        <v>2</v>
      </c>
      <c r="V324" t="n">
        <v>2</v>
      </c>
      <c r="W324" t="inlineStr">
        <is>
          <t>2006-05-22</t>
        </is>
      </c>
      <c r="X324" t="inlineStr">
        <is>
          <t>2006-05-22</t>
        </is>
      </c>
      <c r="Y324" t="inlineStr">
        <is>
          <t>2005-09-19</t>
        </is>
      </c>
      <c r="Z324" t="inlineStr">
        <is>
          <t>2005-09-19</t>
        </is>
      </c>
      <c r="AA324" t="n">
        <v>476</v>
      </c>
      <c r="AB324" t="n">
        <v>410</v>
      </c>
      <c r="AC324" t="n">
        <v>412</v>
      </c>
      <c r="AD324" t="n">
        <v>3</v>
      </c>
      <c r="AE324" t="n">
        <v>3</v>
      </c>
      <c r="AF324" t="n">
        <v>22</v>
      </c>
      <c r="AG324" t="n">
        <v>22</v>
      </c>
      <c r="AH324" t="n">
        <v>10</v>
      </c>
      <c r="AI324" t="n">
        <v>10</v>
      </c>
      <c r="AJ324" t="n">
        <v>5</v>
      </c>
      <c r="AK324" t="n">
        <v>5</v>
      </c>
      <c r="AL324" t="n">
        <v>12</v>
      </c>
      <c r="AM324" t="n">
        <v>12</v>
      </c>
      <c r="AN324" t="n">
        <v>2</v>
      </c>
      <c r="AO324" t="n">
        <v>2</v>
      </c>
      <c r="AP324" t="n">
        <v>0</v>
      </c>
      <c r="AQ324" t="n">
        <v>0</v>
      </c>
      <c r="AR324" t="inlineStr">
        <is>
          <t>No</t>
        </is>
      </c>
      <c r="AS324" t="inlineStr">
        <is>
          <t>Yes</t>
        </is>
      </c>
      <c r="AT324">
        <f>HYPERLINK("http://catalog.hathitrust.org/Record/000622836","HathiTrust Record")</f>
        <v/>
      </c>
      <c r="AU324">
        <f>HYPERLINK("https://creighton-primo.hosted.exlibrisgroup.com/primo-explore/search?tab=default_tab&amp;search_scope=EVERYTHING&amp;vid=01CRU&amp;lang=en_US&amp;offset=0&amp;query=any,contains,991004654489702656","Catalog Record")</f>
        <v/>
      </c>
      <c r="AV324">
        <f>HYPERLINK("http://www.worldcat.org/oclc/12751391","WorldCat Record")</f>
        <v/>
      </c>
      <c r="AW324" t="inlineStr">
        <is>
          <t>5346496:eng</t>
        </is>
      </c>
      <c r="AX324" t="inlineStr">
        <is>
          <t>12751391</t>
        </is>
      </c>
      <c r="AY324" t="inlineStr">
        <is>
          <t>991004654489702656</t>
        </is>
      </c>
      <c r="AZ324" t="inlineStr">
        <is>
          <t>991004654489702656</t>
        </is>
      </c>
      <c r="BA324" t="inlineStr">
        <is>
          <t>2269682310002656</t>
        </is>
      </c>
      <c r="BB324" t="inlineStr">
        <is>
          <t>BOOK</t>
        </is>
      </c>
      <c r="BD324" t="inlineStr">
        <is>
          <t>9780911198799</t>
        </is>
      </c>
      <c r="BE324" t="inlineStr">
        <is>
          <t>32285005084305</t>
        </is>
      </c>
      <c r="BF324" t="inlineStr">
        <is>
          <t>893719182</t>
        </is>
      </c>
    </row>
    <row r="325">
      <c r="B325" t="inlineStr">
        <is>
          <t>CURAL</t>
        </is>
      </c>
      <c r="C325" t="inlineStr">
        <is>
          <t>SHELVES</t>
        </is>
      </c>
      <c r="D325" t="inlineStr">
        <is>
          <t>CT21 .R47 1990</t>
        </is>
      </c>
      <c r="E325" t="inlineStr">
        <is>
          <t>0                      CT 0021000R  47          1990</t>
        </is>
      </c>
      <c r="F325" t="inlineStr">
        <is>
          <t>Revealing lives : autobiography, biography, and gender / editors, Susan Groag Bell and Marilyn Yalom ; consulting editors, Diane Wood Middlebrook and Peter Stansky.</t>
        </is>
      </c>
      <c r="H325" t="inlineStr">
        <is>
          <t>No</t>
        </is>
      </c>
      <c r="I325" t="inlineStr">
        <is>
          <t>1</t>
        </is>
      </c>
      <c r="J325" t="inlineStr">
        <is>
          <t>No</t>
        </is>
      </c>
      <c r="K325" t="inlineStr">
        <is>
          <t>No</t>
        </is>
      </c>
      <c r="L325" t="inlineStr">
        <is>
          <t>0</t>
        </is>
      </c>
      <c r="N325" t="inlineStr">
        <is>
          <t>Albany : State University of New York Press, c1990.</t>
        </is>
      </c>
      <c r="O325" t="inlineStr">
        <is>
          <t>1990</t>
        </is>
      </c>
      <c r="Q325" t="inlineStr">
        <is>
          <t>eng</t>
        </is>
      </c>
      <c r="R325" t="inlineStr">
        <is>
          <t>nyu</t>
        </is>
      </c>
      <c r="S325" t="inlineStr">
        <is>
          <t>SUNY series in feminist criticism and theory</t>
        </is>
      </c>
      <c r="T325" t="inlineStr">
        <is>
          <t xml:space="preserve">CT </t>
        </is>
      </c>
      <c r="U325" t="n">
        <v>2</v>
      </c>
      <c r="V325" t="n">
        <v>2</v>
      </c>
      <c r="W325" t="inlineStr">
        <is>
          <t>2006-05-22</t>
        </is>
      </c>
      <c r="X325" t="inlineStr">
        <is>
          <t>2006-05-22</t>
        </is>
      </c>
      <c r="Y325" t="inlineStr">
        <is>
          <t>2005-10-05</t>
        </is>
      </c>
      <c r="Z325" t="inlineStr">
        <is>
          <t>2005-10-05</t>
        </is>
      </c>
      <c r="AA325" t="n">
        <v>419</v>
      </c>
      <c r="AB325" t="n">
        <v>339</v>
      </c>
      <c r="AC325" t="n">
        <v>339</v>
      </c>
      <c r="AD325" t="n">
        <v>3</v>
      </c>
      <c r="AE325" t="n">
        <v>3</v>
      </c>
      <c r="AF325" t="n">
        <v>23</v>
      </c>
      <c r="AG325" t="n">
        <v>23</v>
      </c>
      <c r="AH325" t="n">
        <v>6</v>
      </c>
      <c r="AI325" t="n">
        <v>6</v>
      </c>
      <c r="AJ325" t="n">
        <v>7</v>
      </c>
      <c r="AK325" t="n">
        <v>7</v>
      </c>
      <c r="AL325" t="n">
        <v>15</v>
      </c>
      <c r="AM325" t="n">
        <v>15</v>
      </c>
      <c r="AN325" t="n">
        <v>2</v>
      </c>
      <c r="AO325" t="n">
        <v>2</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HYPERLINK("https://creighton-primo.hosted.exlibrisgroup.com/primo-explore/search?tab=default_tab&amp;search_scope=EVERYTHING&amp;vid=01CRU&amp;lang=en_US&amp;offset=0&amp;query=any,contains,991004673639702656","Catalog Record")</f>
        <v/>
      </c>
      <c r="AV325">
        <f>HYPERLINK("http://www.worldcat.org/oclc/20827898","WorldCat Record")</f>
        <v/>
      </c>
      <c r="AW325" t="inlineStr">
        <is>
          <t>894509089:eng</t>
        </is>
      </c>
      <c r="AX325" t="inlineStr">
        <is>
          <t>20827898</t>
        </is>
      </c>
      <c r="AY325" t="inlineStr">
        <is>
          <t>991004673639702656</t>
        </is>
      </c>
      <c r="AZ325" t="inlineStr">
        <is>
          <t>991004673639702656</t>
        </is>
      </c>
      <c r="BA325" t="inlineStr">
        <is>
          <t>2261690590002656</t>
        </is>
      </c>
      <c r="BB325" t="inlineStr">
        <is>
          <t>BOOK</t>
        </is>
      </c>
      <c r="BD325" t="inlineStr">
        <is>
          <t>9780791404355</t>
        </is>
      </c>
      <c r="BE325" t="inlineStr">
        <is>
          <t>32285005087613</t>
        </is>
      </c>
      <c r="BF325" t="inlineStr">
        <is>
          <t>893882775</t>
        </is>
      </c>
    </row>
    <row r="326">
      <c r="B326" t="inlineStr">
        <is>
          <t>CURAL</t>
        </is>
      </c>
      <c r="C326" t="inlineStr">
        <is>
          <t>SHELVES</t>
        </is>
      </c>
      <c r="D326" t="inlineStr">
        <is>
          <t>CT21 .S85</t>
        </is>
      </c>
      <c r="E326" t="inlineStr">
        <is>
          <t>0                      CT 0021000S  85</t>
        </is>
      </c>
      <c r="F326" t="inlineStr">
        <is>
          <t>Studies in biography / edited by Daniel Aaron.</t>
        </is>
      </c>
      <c r="H326" t="inlineStr">
        <is>
          <t>No</t>
        </is>
      </c>
      <c r="I326" t="inlineStr">
        <is>
          <t>1</t>
        </is>
      </c>
      <c r="J326" t="inlineStr">
        <is>
          <t>No</t>
        </is>
      </c>
      <c r="K326" t="inlineStr">
        <is>
          <t>No</t>
        </is>
      </c>
      <c r="L326" t="inlineStr">
        <is>
          <t>0</t>
        </is>
      </c>
      <c r="N326" t="inlineStr">
        <is>
          <t>Cambridge, Mass. : Harvard University Press, 1978.</t>
        </is>
      </c>
      <c r="O326" t="inlineStr">
        <is>
          <t>1978</t>
        </is>
      </c>
      <c r="Q326" t="inlineStr">
        <is>
          <t>eng</t>
        </is>
      </c>
      <c r="R326" t="inlineStr">
        <is>
          <t>mau</t>
        </is>
      </c>
      <c r="S326" t="inlineStr">
        <is>
          <t>Harvard English studies ; 8</t>
        </is>
      </c>
      <c r="T326" t="inlineStr">
        <is>
          <t xml:space="preserve">CT </t>
        </is>
      </c>
      <c r="U326" t="n">
        <v>2</v>
      </c>
      <c r="V326" t="n">
        <v>2</v>
      </c>
      <c r="W326" t="inlineStr">
        <is>
          <t>1998-06-02</t>
        </is>
      </c>
      <c r="X326" t="inlineStr">
        <is>
          <t>1998-06-02</t>
        </is>
      </c>
      <c r="Y326" t="inlineStr">
        <is>
          <t>1996-08-21</t>
        </is>
      </c>
      <c r="Z326" t="inlineStr">
        <is>
          <t>1996-08-21</t>
        </is>
      </c>
      <c r="AA326" t="n">
        <v>608</v>
      </c>
      <c r="AB326" t="n">
        <v>480</v>
      </c>
      <c r="AC326" t="n">
        <v>487</v>
      </c>
      <c r="AD326" t="n">
        <v>6</v>
      </c>
      <c r="AE326" t="n">
        <v>6</v>
      </c>
      <c r="AF326" t="n">
        <v>30</v>
      </c>
      <c r="AG326" t="n">
        <v>30</v>
      </c>
      <c r="AH326" t="n">
        <v>10</v>
      </c>
      <c r="AI326" t="n">
        <v>10</v>
      </c>
      <c r="AJ326" t="n">
        <v>6</v>
      </c>
      <c r="AK326" t="n">
        <v>6</v>
      </c>
      <c r="AL326" t="n">
        <v>16</v>
      </c>
      <c r="AM326" t="n">
        <v>16</v>
      </c>
      <c r="AN326" t="n">
        <v>5</v>
      </c>
      <c r="AO326" t="n">
        <v>5</v>
      </c>
      <c r="AP326" t="n">
        <v>0</v>
      </c>
      <c r="AQ326" t="n">
        <v>0</v>
      </c>
      <c r="AR326" t="inlineStr">
        <is>
          <t>No</t>
        </is>
      </c>
      <c r="AS326" t="inlineStr">
        <is>
          <t>Yes</t>
        </is>
      </c>
      <c r="AT326">
        <f>HYPERLINK("http://catalog.hathitrust.org/Record/000752871","HathiTrust Record")</f>
        <v/>
      </c>
      <c r="AU326">
        <f>HYPERLINK("https://creighton-primo.hosted.exlibrisgroup.com/primo-explore/search?tab=default_tab&amp;search_scope=EVERYTHING&amp;vid=01CRU&amp;lang=en_US&amp;offset=0&amp;query=any,contains,991004437799702656","Catalog Record")</f>
        <v/>
      </c>
      <c r="AV326">
        <f>HYPERLINK("http://www.worldcat.org/oclc/3447262","WorldCat Record")</f>
        <v/>
      </c>
      <c r="AW326" t="inlineStr">
        <is>
          <t>430618:eng</t>
        </is>
      </c>
      <c r="AX326" t="inlineStr">
        <is>
          <t>3447262</t>
        </is>
      </c>
      <c r="AY326" t="inlineStr">
        <is>
          <t>991004437799702656</t>
        </is>
      </c>
      <c r="AZ326" t="inlineStr">
        <is>
          <t>991004437799702656</t>
        </is>
      </c>
      <c r="BA326" t="inlineStr">
        <is>
          <t>2268608110002656</t>
        </is>
      </c>
      <c r="BB326" t="inlineStr">
        <is>
          <t>BOOK</t>
        </is>
      </c>
      <c r="BD326" t="inlineStr">
        <is>
          <t>9780674846517</t>
        </is>
      </c>
      <c r="BE326" t="inlineStr">
        <is>
          <t>32285002278959</t>
        </is>
      </c>
      <c r="BF326" t="inlineStr">
        <is>
          <t>893247580</t>
        </is>
      </c>
    </row>
    <row r="327">
      <c r="B327" t="inlineStr">
        <is>
          <t>CURAL</t>
        </is>
      </c>
      <c r="C327" t="inlineStr">
        <is>
          <t>SHELVES</t>
        </is>
      </c>
      <c r="D327" t="inlineStr">
        <is>
          <t>CT21 .T44</t>
        </is>
      </c>
      <c r="E327" t="inlineStr">
        <is>
          <t>0                      CT 0021000T  44</t>
        </is>
      </c>
      <c r="F327" t="inlineStr">
        <is>
          <t>Telling lives, the biographer's art / by Leon Edel ... [et al.] ; edited by Marc Pachter.</t>
        </is>
      </c>
      <c r="H327" t="inlineStr">
        <is>
          <t>No</t>
        </is>
      </c>
      <c r="I327" t="inlineStr">
        <is>
          <t>1</t>
        </is>
      </c>
      <c r="J327" t="inlineStr">
        <is>
          <t>No</t>
        </is>
      </c>
      <c r="K327" t="inlineStr">
        <is>
          <t>No</t>
        </is>
      </c>
      <c r="L327" t="inlineStr">
        <is>
          <t>0</t>
        </is>
      </c>
      <c r="N327" t="inlineStr">
        <is>
          <t>Washington : New Republic Books, 1979.</t>
        </is>
      </c>
      <c r="O327" t="inlineStr">
        <is>
          <t>1979</t>
        </is>
      </c>
      <c r="Q327" t="inlineStr">
        <is>
          <t>eng</t>
        </is>
      </c>
      <c r="R327" t="inlineStr">
        <is>
          <t>dcu</t>
        </is>
      </c>
      <c r="T327" t="inlineStr">
        <is>
          <t xml:space="preserve">CT </t>
        </is>
      </c>
      <c r="U327" t="n">
        <v>3</v>
      </c>
      <c r="V327" t="n">
        <v>3</v>
      </c>
      <c r="W327" t="inlineStr">
        <is>
          <t>2006-05-22</t>
        </is>
      </c>
      <c r="X327" t="inlineStr">
        <is>
          <t>2006-05-22</t>
        </is>
      </c>
      <c r="Y327" t="inlineStr">
        <is>
          <t>1992-06-08</t>
        </is>
      </c>
      <c r="Z327" t="inlineStr">
        <is>
          <t>1992-06-08</t>
        </is>
      </c>
      <c r="AA327" t="n">
        <v>869</v>
      </c>
      <c r="AB327" t="n">
        <v>791</v>
      </c>
      <c r="AC327" t="n">
        <v>944</v>
      </c>
      <c r="AD327" t="n">
        <v>4</v>
      </c>
      <c r="AE327" t="n">
        <v>6</v>
      </c>
      <c r="AF327" t="n">
        <v>32</v>
      </c>
      <c r="AG327" t="n">
        <v>40</v>
      </c>
      <c r="AH327" t="n">
        <v>12</v>
      </c>
      <c r="AI327" t="n">
        <v>16</v>
      </c>
      <c r="AJ327" t="n">
        <v>7</v>
      </c>
      <c r="AK327" t="n">
        <v>8</v>
      </c>
      <c r="AL327" t="n">
        <v>19</v>
      </c>
      <c r="AM327" t="n">
        <v>21</v>
      </c>
      <c r="AN327" t="n">
        <v>3</v>
      </c>
      <c r="AO327" t="n">
        <v>5</v>
      </c>
      <c r="AP327" t="n">
        <v>0</v>
      </c>
      <c r="AQ327" t="n">
        <v>0</v>
      </c>
      <c r="AR327" t="inlineStr">
        <is>
          <t>No</t>
        </is>
      </c>
      <c r="AS327" t="inlineStr">
        <is>
          <t>Yes</t>
        </is>
      </c>
      <c r="AT327">
        <f>HYPERLINK("http://catalog.hathitrust.org/Record/000259931","HathiTrust Record")</f>
        <v/>
      </c>
      <c r="AU327">
        <f>HYPERLINK("https://creighton-primo.hosted.exlibrisgroup.com/primo-explore/search?tab=default_tab&amp;search_scope=EVERYTHING&amp;vid=01CRU&amp;lang=en_US&amp;offset=0&amp;query=any,contains,991004694789702656","Catalog Record")</f>
        <v/>
      </c>
      <c r="AV327">
        <f>HYPERLINK("http://www.worldcat.org/oclc/4638498","WorldCat Record")</f>
        <v/>
      </c>
      <c r="AW327" t="inlineStr">
        <is>
          <t>425571124:eng</t>
        </is>
      </c>
      <c r="AX327" t="inlineStr">
        <is>
          <t>4638498</t>
        </is>
      </c>
      <c r="AY327" t="inlineStr">
        <is>
          <t>991004694789702656</t>
        </is>
      </c>
      <c r="AZ327" t="inlineStr">
        <is>
          <t>991004694789702656</t>
        </is>
      </c>
      <c r="BA327" t="inlineStr">
        <is>
          <t>2255781480002656</t>
        </is>
      </c>
      <c r="BB327" t="inlineStr">
        <is>
          <t>BOOK</t>
        </is>
      </c>
      <c r="BD327" t="inlineStr">
        <is>
          <t>9780915220540</t>
        </is>
      </c>
      <c r="BE327" t="inlineStr">
        <is>
          <t>32285001165314</t>
        </is>
      </c>
      <c r="BF327" t="inlineStr">
        <is>
          <t>893882821</t>
        </is>
      </c>
    </row>
    <row r="328">
      <c r="B328" t="inlineStr">
        <is>
          <t>CURAL</t>
        </is>
      </c>
      <c r="C328" t="inlineStr">
        <is>
          <t>SHELVES</t>
        </is>
      </c>
      <c r="D328" t="inlineStr">
        <is>
          <t>CT21 .W52 1989</t>
        </is>
      </c>
      <c r="E328" t="inlineStr">
        <is>
          <t>0                      CT 0021000W  52          1989</t>
        </is>
      </c>
      <c r="F328" t="inlineStr">
        <is>
          <t>Whole lives : shapers of modern biography / Reed Whittemore.</t>
        </is>
      </c>
      <c r="H328" t="inlineStr">
        <is>
          <t>No</t>
        </is>
      </c>
      <c r="I328" t="inlineStr">
        <is>
          <t>1</t>
        </is>
      </c>
      <c r="J328" t="inlineStr">
        <is>
          <t>No</t>
        </is>
      </c>
      <c r="K328" t="inlineStr">
        <is>
          <t>No</t>
        </is>
      </c>
      <c r="L328" t="inlineStr">
        <is>
          <t>0</t>
        </is>
      </c>
      <c r="M328" t="inlineStr">
        <is>
          <t>Whittemore, Reed, 1919-2012.</t>
        </is>
      </c>
      <c r="N328" t="inlineStr">
        <is>
          <t>Baltimore : Johns Hopkins University Press, c1989.</t>
        </is>
      </c>
      <c r="O328" t="inlineStr">
        <is>
          <t>1989</t>
        </is>
      </c>
      <c r="Q328" t="inlineStr">
        <is>
          <t>eng</t>
        </is>
      </c>
      <c r="R328" t="inlineStr">
        <is>
          <t>mdu</t>
        </is>
      </c>
      <c r="T328" t="inlineStr">
        <is>
          <t xml:space="preserve">CT </t>
        </is>
      </c>
      <c r="U328" t="n">
        <v>1</v>
      </c>
      <c r="V328" t="n">
        <v>1</v>
      </c>
      <c r="W328" t="inlineStr">
        <is>
          <t>2005-10-03</t>
        </is>
      </c>
      <c r="X328" t="inlineStr">
        <is>
          <t>2005-10-03</t>
        </is>
      </c>
      <c r="Y328" t="inlineStr">
        <is>
          <t>2005-10-03</t>
        </is>
      </c>
      <c r="Z328" t="inlineStr">
        <is>
          <t>2005-10-03</t>
        </is>
      </c>
      <c r="AA328" t="n">
        <v>641</v>
      </c>
      <c r="AB328" t="n">
        <v>575</v>
      </c>
      <c r="AC328" t="n">
        <v>586</v>
      </c>
      <c r="AD328" t="n">
        <v>5</v>
      </c>
      <c r="AE328" t="n">
        <v>5</v>
      </c>
      <c r="AF328" t="n">
        <v>27</v>
      </c>
      <c r="AG328" t="n">
        <v>27</v>
      </c>
      <c r="AH328" t="n">
        <v>7</v>
      </c>
      <c r="AI328" t="n">
        <v>7</v>
      </c>
      <c r="AJ328" t="n">
        <v>7</v>
      </c>
      <c r="AK328" t="n">
        <v>7</v>
      </c>
      <c r="AL328" t="n">
        <v>16</v>
      </c>
      <c r="AM328" t="n">
        <v>16</v>
      </c>
      <c r="AN328" t="n">
        <v>4</v>
      </c>
      <c r="AO328" t="n">
        <v>4</v>
      </c>
      <c r="AP328" t="n">
        <v>0</v>
      </c>
      <c r="AQ328" t="n">
        <v>0</v>
      </c>
      <c r="AR328" t="inlineStr">
        <is>
          <t>No</t>
        </is>
      </c>
      <c r="AS328" t="inlineStr">
        <is>
          <t>Yes</t>
        </is>
      </c>
      <c r="AT328">
        <f>HYPERLINK("http://catalog.hathitrust.org/Record/001815358","HathiTrust Record")</f>
        <v/>
      </c>
      <c r="AU328">
        <f>HYPERLINK("https://creighton-primo.hosted.exlibrisgroup.com/primo-explore/search?tab=default_tab&amp;search_scope=EVERYTHING&amp;vid=01CRU&amp;lang=en_US&amp;offset=0&amp;query=any,contains,991004671249702656","Catalog Record")</f>
        <v/>
      </c>
      <c r="AV328">
        <f>HYPERLINK("http://www.worldcat.org/oclc/19388283","WorldCat Record")</f>
        <v/>
      </c>
      <c r="AW328" t="inlineStr">
        <is>
          <t>21740333:eng</t>
        </is>
      </c>
      <c r="AX328" t="inlineStr">
        <is>
          <t>19388283</t>
        </is>
      </c>
      <c r="AY328" t="inlineStr">
        <is>
          <t>991004671249702656</t>
        </is>
      </c>
      <c r="AZ328" t="inlineStr">
        <is>
          <t>991004671249702656</t>
        </is>
      </c>
      <c r="BA328" t="inlineStr">
        <is>
          <t>2258741540002656</t>
        </is>
      </c>
      <c r="BB328" t="inlineStr">
        <is>
          <t>BOOK</t>
        </is>
      </c>
      <c r="BD328" t="inlineStr">
        <is>
          <t>9780801838170</t>
        </is>
      </c>
      <c r="BE328" t="inlineStr">
        <is>
          <t>32285005086334</t>
        </is>
      </c>
      <c r="BF328" t="inlineStr">
        <is>
          <t>893895325</t>
        </is>
      </c>
    </row>
    <row r="329">
      <c r="B329" t="inlineStr">
        <is>
          <t>CURAL</t>
        </is>
      </c>
      <c r="C329" t="inlineStr">
        <is>
          <t>SHELVES</t>
        </is>
      </c>
      <c r="D329" t="inlineStr">
        <is>
          <t>CT211 .B84 2008</t>
        </is>
      </c>
      <c r="E329" t="inlineStr">
        <is>
          <t>0                      CT 0211000B  84          2008</t>
        </is>
      </c>
      <c r="F329" t="inlineStr">
        <is>
          <t>Grasping the ring : nine unique winners in life and sports / by Gene A. Budig ; with foreword by Bob Costas.</t>
        </is>
      </c>
      <c r="H329" t="inlineStr">
        <is>
          <t>No</t>
        </is>
      </c>
      <c r="I329" t="inlineStr">
        <is>
          <t>1</t>
        </is>
      </c>
      <c r="J329" t="inlineStr">
        <is>
          <t>No</t>
        </is>
      </c>
      <c r="K329" t="inlineStr">
        <is>
          <t>No</t>
        </is>
      </c>
      <c r="L329" t="inlineStr">
        <is>
          <t>0</t>
        </is>
      </c>
      <c r="M329" t="inlineStr">
        <is>
          <t>Budig, Gene A.</t>
        </is>
      </c>
      <c r="N329" t="inlineStr">
        <is>
          <t>Champaign, IL : The News-Gazette, c2008.</t>
        </is>
      </c>
      <c r="O329" t="inlineStr">
        <is>
          <t>2008</t>
        </is>
      </c>
      <c r="Q329" t="inlineStr">
        <is>
          <t>eng</t>
        </is>
      </c>
      <c r="R329" t="inlineStr">
        <is>
          <t>ilu</t>
        </is>
      </c>
      <c r="T329" t="inlineStr">
        <is>
          <t xml:space="preserve">CT </t>
        </is>
      </c>
      <c r="U329" t="n">
        <v>1</v>
      </c>
      <c r="V329" t="n">
        <v>1</v>
      </c>
      <c r="W329" t="inlineStr">
        <is>
          <t>2008-12-03</t>
        </is>
      </c>
      <c r="X329" t="inlineStr">
        <is>
          <t>2008-12-03</t>
        </is>
      </c>
      <c r="Y329" t="inlineStr">
        <is>
          <t>2008-12-03</t>
        </is>
      </c>
      <c r="Z329" t="inlineStr">
        <is>
          <t>2008-12-03</t>
        </is>
      </c>
      <c r="AA329" t="n">
        <v>191</v>
      </c>
      <c r="AB329" t="n">
        <v>191</v>
      </c>
      <c r="AC329" t="n">
        <v>298</v>
      </c>
      <c r="AD329" t="n">
        <v>8</v>
      </c>
      <c r="AE329" t="n">
        <v>26</v>
      </c>
      <c r="AF329" t="n">
        <v>9</v>
      </c>
      <c r="AG329" t="n">
        <v>15</v>
      </c>
      <c r="AH329" t="n">
        <v>3</v>
      </c>
      <c r="AI329" t="n">
        <v>3</v>
      </c>
      <c r="AJ329" t="n">
        <v>0</v>
      </c>
      <c r="AK329" t="n">
        <v>0</v>
      </c>
      <c r="AL329" t="n">
        <v>1</v>
      </c>
      <c r="AM329" t="n">
        <v>1</v>
      </c>
      <c r="AN329" t="n">
        <v>5</v>
      </c>
      <c r="AO329" t="n">
        <v>11</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HYPERLINK("https://creighton-primo.hosted.exlibrisgroup.com/primo-explore/search?tab=default_tab&amp;search_scope=EVERYTHING&amp;vid=01CRU&amp;lang=en_US&amp;offset=0&amp;query=any,contains,991005279619702656","Catalog Record")</f>
        <v/>
      </c>
      <c r="AV329">
        <f>HYPERLINK("http://www.worldcat.org/oclc/239671202","WorldCat Record")</f>
        <v/>
      </c>
      <c r="AW329" t="inlineStr">
        <is>
          <t>195193415:eng</t>
        </is>
      </c>
      <c r="AX329" t="inlineStr">
        <is>
          <t>239671202</t>
        </is>
      </c>
      <c r="AY329" t="inlineStr">
        <is>
          <t>991005279619702656</t>
        </is>
      </c>
      <c r="AZ329" t="inlineStr">
        <is>
          <t>991005279619702656</t>
        </is>
      </c>
      <c r="BA329" t="inlineStr">
        <is>
          <t>2260608230002656</t>
        </is>
      </c>
      <c r="BB329" t="inlineStr">
        <is>
          <t>BOOK</t>
        </is>
      </c>
      <c r="BD329" t="inlineStr">
        <is>
          <t>9780979842030</t>
        </is>
      </c>
      <c r="BE329" t="inlineStr">
        <is>
          <t>32285005469829</t>
        </is>
      </c>
      <c r="BF329" t="inlineStr">
        <is>
          <t>893501628</t>
        </is>
      </c>
    </row>
    <row r="330">
      <c r="B330" t="inlineStr">
        <is>
          <t>CURAL</t>
        </is>
      </c>
      <c r="C330" t="inlineStr">
        <is>
          <t>SHELVES</t>
        </is>
      </c>
      <c r="D330" t="inlineStr">
        <is>
          <t>CT215 .N45</t>
        </is>
      </c>
      <c r="E330" t="inlineStr">
        <is>
          <t>0                      CT 0215000N  45</t>
        </is>
      </c>
      <c r="F330" t="inlineStr">
        <is>
          <t>Great immigrants, by Cecyle S. Neidle.</t>
        </is>
      </c>
      <c r="H330" t="inlineStr">
        <is>
          <t>No</t>
        </is>
      </c>
      <c r="I330" t="inlineStr">
        <is>
          <t>1</t>
        </is>
      </c>
      <c r="J330" t="inlineStr">
        <is>
          <t>No</t>
        </is>
      </c>
      <c r="K330" t="inlineStr">
        <is>
          <t>No</t>
        </is>
      </c>
      <c r="L330" t="inlineStr">
        <is>
          <t>0</t>
        </is>
      </c>
      <c r="M330" t="inlineStr">
        <is>
          <t>Neidle, Cecyle S.</t>
        </is>
      </c>
      <c r="N330" t="inlineStr">
        <is>
          <t>New York, Twayne Publishers [1973]</t>
        </is>
      </c>
      <c r="O330" t="inlineStr">
        <is>
          <t>1973</t>
        </is>
      </c>
      <c r="Q330" t="inlineStr">
        <is>
          <t>eng</t>
        </is>
      </c>
      <c r="R330" t="inlineStr">
        <is>
          <t>nyu</t>
        </is>
      </c>
      <c r="S330" t="inlineStr">
        <is>
          <t>The Immigrant heritage of America series</t>
        </is>
      </c>
      <c r="T330" t="inlineStr">
        <is>
          <t xml:space="preserve">CT </t>
        </is>
      </c>
      <c r="U330" t="n">
        <v>1</v>
      </c>
      <c r="V330" t="n">
        <v>1</v>
      </c>
      <c r="W330" t="inlineStr">
        <is>
          <t>2007-09-25</t>
        </is>
      </c>
      <c r="X330" t="inlineStr">
        <is>
          <t>2007-09-25</t>
        </is>
      </c>
      <c r="Y330" t="inlineStr">
        <is>
          <t>1996-08-22</t>
        </is>
      </c>
      <c r="Z330" t="inlineStr">
        <is>
          <t>1996-08-22</t>
        </is>
      </c>
      <c r="AA330" t="n">
        <v>366</v>
      </c>
      <c r="AB330" t="n">
        <v>347</v>
      </c>
      <c r="AC330" t="n">
        <v>354</v>
      </c>
      <c r="AD330" t="n">
        <v>3</v>
      </c>
      <c r="AE330" t="n">
        <v>3</v>
      </c>
      <c r="AF330" t="n">
        <v>10</v>
      </c>
      <c r="AG330" t="n">
        <v>10</v>
      </c>
      <c r="AH330" t="n">
        <v>1</v>
      </c>
      <c r="AI330" t="n">
        <v>1</v>
      </c>
      <c r="AJ330" t="n">
        <v>3</v>
      </c>
      <c r="AK330" t="n">
        <v>3</v>
      </c>
      <c r="AL330" t="n">
        <v>5</v>
      </c>
      <c r="AM330" t="n">
        <v>5</v>
      </c>
      <c r="AN330" t="n">
        <v>2</v>
      </c>
      <c r="AO330" t="n">
        <v>2</v>
      </c>
      <c r="AP330" t="n">
        <v>0</v>
      </c>
      <c r="AQ330" t="n">
        <v>0</v>
      </c>
      <c r="AR330" t="inlineStr">
        <is>
          <t>No</t>
        </is>
      </c>
      <c r="AS330" t="inlineStr">
        <is>
          <t>Yes</t>
        </is>
      </c>
      <c r="AT330">
        <f>HYPERLINK("http://catalog.hathitrust.org/Record/001598504","HathiTrust Record")</f>
        <v/>
      </c>
      <c r="AU330">
        <f>HYPERLINK("https://creighton-primo.hosted.exlibrisgroup.com/primo-explore/search?tab=default_tab&amp;search_scope=EVERYTHING&amp;vid=01CRU&amp;lang=en_US&amp;offset=0&amp;query=any,contains,991003067629702656","Catalog Record")</f>
        <v/>
      </c>
      <c r="AV330">
        <f>HYPERLINK("http://www.worldcat.org/oclc/623249","WorldCat Record")</f>
        <v/>
      </c>
      <c r="AW330" t="inlineStr">
        <is>
          <t>1703968:eng</t>
        </is>
      </c>
      <c r="AX330" t="inlineStr">
        <is>
          <t>623249</t>
        </is>
      </c>
      <c r="AY330" t="inlineStr">
        <is>
          <t>991003067629702656</t>
        </is>
      </c>
      <c r="AZ330" t="inlineStr">
        <is>
          <t>991003067629702656</t>
        </is>
      </c>
      <c r="BA330" t="inlineStr">
        <is>
          <t>2255932770002656</t>
        </is>
      </c>
      <c r="BB330" t="inlineStr">
        <is>
          <t>BOOK</t>
        </is>
      </c>
      <c r="BE330" t="inlineStr">
        <is>
          <t>32285002279809</t>
        </is>
      </c>
      <c r="BF330" t="inlineStr">
        <is>
          <t>893505165</t>
        </is>
      </c>
    </row>
    <row r="331">
      <c r="B331" t="inlineStr">
        <is>
          <t>CURAL</t>
        </is>
      </c>
      <c r="C331" t="inlineStr">
        <is>
          <t>SHELVES</t>
        </is>
      </c>
      <c r="D331" t="inlineStr">
        <is>
          <t>CT217.F3 M6</t>
        </is>
      </c>
      <c r="E331" t="inlineStr">
        <is>
          <t>0                      CT 0217000F  3                  M  6</t>
        </is>
      </c>
      <c r="F331" t="inlineStr">
        <is>
          <t>Famous leaders of industry, fifth series; life stories of men who have succeeded.</t>
        </is>
      </c>
      <c r="H331" t="inlineStr">
        <is>
          <t>No</t>
        </is>
      </c>
      <c r="I331" t="inlineStr">
        <is>
          <t>1</t>
        </is>
      </c>
      <c r="J331" t="inlineStr">
        <is>
          <t>No</t>
        </is>
      </c>
      <c r="K331" t="inlineStr">
        <is>
          <t>No</t>
        </is>
      </c>
      <c r="L331" t="inlineStr">
        <is>
          <t>0</t>
        </is>
      </c>
      <c r="M331" t="inlineStr">
        <is>
          <t>Moore, Joseph A.</t>
        </is>
      </c>
      <c r="N331" t="inlineStr">
        <is>
          <t>Boston, L. C. Page &amp; Co., c1945.</t>
        </is>
      </c>
      <c r="O331" t="inlineStr">
        <is>
          <t>1945</t>
        </is>
      </c>
      <c r="Q331" t="inlineStr">
        <is>
          <t>eng</t>
        </is>
      </c>
      <c r="R331" t="inlineStr">
        <is>
          <t xml:space="preserve">xx </t>
        </is>
      </c>
      <c r="S331" t="inlineStr">
        <is>
          <t>Famous leaders series</t>
        </is>
      </c>
      <c r="T331" t="inlineStr">
        <is>
          <t xml:space="preserve">CT </t>
        </is>
      </c>
      <c r="U331" t="n">
        <v>6</v>
      </c>
      <c r="V331" t="n">
        <v>6</v>
      </c>
      <c r="W331" t="inlineStr">
        <is>
          <t>1999-02-08</t>
        </is>
      </c>
      <c r="X331" t="inlineStr">
        <is>
          <t>1999-02-08</t>
        </is>
      </c>
      <c r="Y331" t="inlineStr">
        <is>
          <t>1996-08-22</t>
        </is>
      </c>
      <c r="Z331" t="inlineStr">
        <is>
          <t>1996-08-22</t>
        </is>
      </c>
      <c r="AA331" t="n">
        <v>54</v>
      </c>
      <c r="AB331" t="n">
        <v>52</v>
      </c>
      <c r="AC331" t="n">
        <v>70</v>
      </c>
      <c r="AD331" t="n">
        <v>1</v>
      </c>
      <c r="AE331" t="n">
        <v>1</v>
      </c>
      <c r="AF331" t="n">
        <v>0</v>
      </c>
      <c r="AG331" t="n">
        <v>0</v>
      </c>
      <c r="AH331" t="n">
        <v>0</v>
      </c>
      <c r="AI331" t="n">
        <v>0</v>
      </c>
      <c r="AJ331" t="n">
        <v>0</v>
      </c>
      <c r="AK331" t="n">
        <v>0</v>
      </c>
      <c r="AL331" t="n">
        <v>0</v>
      </c>
      <c r="AM331" t="n">
        <v>0</v>
      </c>
      <c r="AN331" t="n">
        <v>0</v>
      </c>
      <c r="AO331" t="n">
        <v>0</v>
      </c>
      <c r="AP331" t="n">
        <v>0</v>
      </c>
      <c r="AQ331" t="n">
        <v>0</v>
      </c>
      <c r="AR331" t="inlineStr">
        <is>
          <t>No</t>
        </is>
      </c>
      <c r="AS331" t="inlineStr">
        <is>
          <t>No</t>
        </is>
      </c>
      <c r="AT331">
        <f>HYPERLINK("http://catalog.hathitrust.org/Record/009007906","HathiTrust Record")</f>
        <v/>
      </c>
      <c r="AU331">
        <f>HYPERLINK("https://creighton-primo.hosted.exlibrisgroup.com/primo-explore/search?tab=default_tab&amp;search_scope=EVERYTHING&amp;vid=01CRU&amp;lang=en_US&amp;offset=0&amp;query=any,contains,991004417849702656","Catalog Record")</f>
        <v/>
      </c>
      <c r="AV331">
        <f>HYPERLINK("http://www.worldcat.org/oclc/3370845","WorldCat Record")</f>
        <v/>
      </c>
      <c r="AW331" t="inlineStr">
        <is>
          <t>919390023:eng</t>
        </is>
      </c>
      <c r="AX331" t="inlineStr">
        <is>
          <t>3370845</t>
        </is>
      </c>
      <c r="AY331" t="inlineStr">
        <is>
          <t>991004417849702656</t>
        </is>
      </c>
      <c r="AZ331" t="inlineStr">
        <is>
          <t>991004417849702656</t>
        </is>
      </c>
      <c r="BA331" t="inlineStr">
        <is>
          <t>2267164050002656</t>
        </is>
      </c>
      <c r="BB331" t="inlineStr">
        <is>
          <t>BOOK</t>
        </is>
      </c>
      <c r="BE331" t="inlineStr">
        <is>
          <t>32285002279825</t>
        </is>
      </c>
      <c r="BF331" t="inlineStr">
        <is>
          <t>893235473</t>
        </is>
      </c>
    </row>
    <row r="332">
      <c r="B332" t="inlineStr">
        <is>
          <t>CURAL</t>
        </is>
      </c>
      <c r="C332" t="inlineStr">
        <is>
          <t>SHELVES</t>
        </is>
      </c>
      <c r="D332" t="inlineStr">
        <is>
          <t>CT22 .D45 1989</t>
        </is>
      </c>
      <c r="E332" t="inlineStr">
        <is>
          <t>0                      CT 0022000D  45          1989</t>
        </is>
      </c>
      <c r="F332" t="inlineStr">
        <is>
          <t>Interpretive biography / Norman K. Denzin.</t>
        </is>
      </c>
      <c r="H332" t="inlineStr">
        <is>
          <t>No</t>
        </is>
      </c>
      <c r="I332" t="inlineStr">
        <is>
          <t>1</t>
        </is>
      </c>
      <c r="J332" t="inlineStr">
        <is>
          <t>No</t>
        </is>
      </c>
      <c r="K332" t="inlineStr">
        <is>
          <t>No</t>
        </is>
      </c>
      <c r="L332" t="inlineStr">
        <is>
          <t>0</t>
        </is>
      </c>
      <c r="M332" t="inlineStr">
        <is>
          <t>Denzin, Norman K.</t>
        </is>
      </c>
      <c r="N332" t="inlineStr">
        <is>
          <t>Newbury Park : Sage, c1989.</t>
        </is>
      </c>
      <c r="O332" t="inlineStr">
        <is>
          <t>1989</t>
        </is>
      </c>
      <c r="Q332" t="inlineStr">
        <is>
          <t>eng</t>
        </is>
      </c>
      <c r="R332" t="inlineStr">
        <is>
          <t>cau</t>
        </is>
      </c>
      <c r="S332" t="inlineStr">
        <is>
          <t>Qualitative research methods ; v. 17</t>
        </is>
      </c>
      <c r="T332" t="inlineStr">
        <is>
          <t xml:space="preserve">CT </t>
        </is>
      </c>
      <c r="U332" t="n">
        <v>4</v>
      </c>
      <c r="V332" t="n">
        <v>4</v>
      </c>
      <c r="W332" t="inlineStr">
        <is>
          <t>2006-07-25</t>
        </is>
      </c>
      <c r="X332" t="inlineStr">
        <is>
          <t>2006-07-25</t>
        </is>
      </c>
      <c r="Y332" t="inlineStr">
        <is>
          <t>1991-10-31</t>
        </is>
      </c>
      <c r="Z332" t="inlineStr">
        <is>
          <t>1991-10-31</t>
        </is>
      </c>
      <c r="AA332" t="n">
        <v>565</v>
      </c>
      <c r="AB332" t="n">
        <v>347</v>
      </c>
      <c r="AC332" t="n">
        <v>404</v>
      </c>
      <c r="AD332" t="n">
        <v>4</v>
      </c>
      <c r="AE332" t="n">
        <v>4</v>
      </c>
      <c r="AF332" t="n">
        <v>27</v>
      </c>
      <c r="AG332" t="n">
        <v>28</v>
      </c>
      <c r="AH332" t="n">
        <v>12</v>
      </c>
      <c r="AI332" t="n">
        <v>12</v>
      </c>
      <c r="AJ332" t="n">
        <v>5</v>
      </c>
      <c r="AK332" t="n">
        <v>6</v>
      </c>
      <c r="AL332" t="n">
        <v>14</v>
      </c>
      <c r="AM332" t="n">
        <v>14</v>
      </c>
      <c r="AN332" t="n">
        <v>3</v>
      </c>
      <c r="AO332" t="n">
        <v>3</v>
      </c>
      <c r="AP332" t="n">
        <v>0</v>
      </c>
      <c r="AQ332" t="n">
        <v>0</v>
      </c>
      <c r="AR332" t="inlineStr">
        <is>
          <t>No</t>
        </is>
      </c>
      <c r="AS332" t="inlineStr">
        <is>
          <t>Yes</t>
        </is>
      </c>
      <c r="AT332">
        <f>HYPERLINK("http://catalog.hathitrust.org/Record/004549996","HathiTrust Record")</f>
        <v/>
      </c>
      <c r="AU332">
        <f>HYPERLINK("https://creighton-primo.hosted.exlibrisgroup.com/primo-explore/search?tab=default_tab&amp;search_scope=EVERYTHING&amp;vid=01CRU&amp;lang=en_US&amp;offset=0&amp;query=any,contains,991001533739702656","Catalog Record")</f>
        <v/>
      </c>
      <c r="AV332">
        <f>HYPERLINK("http://www.worldcat.org/oclc/20056835","WorldCat Record")</f>
        <v/>
      </c>
      <c r="AW332" t="inlineStr">
        <is>
          <t>21218200:eng</t>
        </is>
      </c>
      <c r="AX332" t="inlineStr">
        <is>
          <t>20056835</t>
        </is>
      </c>
      <c r="AY332" t="inlineStr">
        <is>
          <t>991001533739702656</t>
        </is>
      </c>
      <c r="AZ332" t="inlineStr">
        <is>
          <t>991001533739702656</t>
        </is>
      </c>
      <c r="BA332" t="inlineStr">
        <is>
          <t>2271034620002656</t>
        </is>
      </c>
      <c r="BB332" t="inlineStr">
        <is>
          <t>BOOK</t>
        </is>
      </c>
      <c r="BD332" t="inlineStr">
        <is>
          <t>9780803933590</t>
        </is>
      </c>
      <c r="BE332" t="inlineStr">
        <is>
          <t>32285000728856</t>
        </is>
      </c>
      <c r="BF332" t="inlineStr">
        <is>
          <t>893872584</t>
        </is>
      </c>
    </row>
    <row r="333">
      <c r="B333" t="inlineStr">
        <is>
          <t>CURAL</t>
        </is>
      </c>
      <c r="C333" t="inlineStr">
        <is>
          <t>SHELVES</t>
        </is>
      </c>
      <c r="D333" t="inlineStr">
        <is>
          <t>CT22 .S55</t>
        </is>
      </c>
      <c r="E333" t="inlineStr">
        <is>
          <t>0                      CT 0022000S  55</t>
        </is>
      </c>
      <c r="F333" t="inlineStr">
        <is>
          <t>Keeping your personal journal / by George F. Simons.</t>
        </is>
      </c>
      <c r="H333" t="inlineStr">
        <is>
          <t>No</t>
        </is>
      </c>
      <c r="I333" t="inlineStr">
        <is>
          <t>1</t>
        </is>
      </c>
      <c r="J333" t="inlineStr">
        <is>
          <t>No</t>
        </is>
      </c>
      <c r="K333" t="inlineStr">
        <is>
          <t>No</t>
        </is>
      </c>
      <c r="L333" t="inlineStr">
        <is>
          <t>0</t>
        </is>
      </c>
      <c r="M333" t="inlineStr">
        <is>
          <t>Simons, George F.</t>
        </is>
      </c>
      <c r="N333" t="inlineStr">
        <is>
          <t>New York: Paulist Press, c1978.</t>
        </is>
      </c>
      <c r="O333" t="inlineStr">
        <is>
          <t>1978</t>
        </is>
      </c>
      <c r="Q333" t="inlineStr">
        <is>
          <t>eng</t>
        </is>
      </c>
      <c r="R333" t="inlineStr">
        <is>
          <t>nyu</t>
        </is>
      </c>
      <c r="T333" t="inlineStr">
        <is>
          <t xml:space="preserve">CT </t>
        </is>
      </c>
      <c r="U333" t="n">
        <v>8</v>
      </c>
      <c r="V333" t="n">
        <v>8</v>
      </c>
      <c r="W333" t="inlineStr">
        <is>
          <t>2005-11-17</t>
        </is>
      </c>
      <c r="X333" t="inlineStr">
        <is>
          <t>2005-11-17</t>
        </is>
      </c>
      <c r="Y333" t="inlineStr">
        <is>
          <t>1992-04-30</t>
        </is>
      </c>
      <c r="Z333" t="inlineStr">
        <is>
          <t>1992-04-30</t>
        </is>
      </c>
      <c r="AA333" t="n">
        <v>414</v>
      </c>
      <c r="AB333" t="n">
        <v>375</v>
      </c>
      <c r="AC333" t="n">
        <v>395</v>
      </c>
      <c r="AD333" t="n">
        <v>2</v>
      </c>
      <c r="AE333" t="n">
        <v>2</v>
      </c>
      <c r="AF333" t="n">
        <v>15</v>
      </c>
      <c r="AG333" t="n">
        <v>16</v>
      </c>
      <c r="AH333" t="n">
        <v>5</v>
      </c>
      <c r="AI333" t="n">
        <v>6</v>
      </c>
      <c r="AJ333" t="n">
        <v>2</v>
      </c>
      <c r="AK333" t="n">
        <v>2</v>
      </c>
      <c r="AL333" t="n">
        <v>15</v>
      </c>
      <c r="AM333" t="n">
        <v>15</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HYPERLINK("https://creighton-primo.hosted.exlibrisgroup.com/primo-explore/search?tab=default_tab&amp;search_scope=EVERYTHING&amp;vid=01CRU&amp;lang=en_US&amp;offset=0&amp;query=any,contains,991004574639702656","Catalog Record")</f>
        <v/>
      </c>
      <c r="AV333">
        <f>HYPERLINK("http://www.worldcat.org/oclc/4037126","WorldCat Record")</f>
        <v/>
      </c>
      <c r="AW333" t="inlineStr">
        <is>
          <t>466144:eng</t>
        </is>
      </c>
      <c r="AX333" t="inlineStr">
        <is>
          <t>4037126</t>
        </is>
      </c>
      <c r="AY333" t="inlineStr">
        <is>
          <t>991004574639702656</t>
        </is>
      </c>
      <c r="AZ333" t="inlineStr">
        <is>
          <t>991004574639702656</t>
        </is>
      </c>
      <c r="BA333" t="inlineStr">
        <is>
          <t>2270853010002656</t>
        </is>
      </c>
      <c r="BB333" t="inlineStr">
        <is>
          <t>BOOK</t>
        </is>
      </c>
      <c r="BD333" t="inlineStr">
        <is>
          <t>9780809120925</t>
        </is>
      </c>
      <c r="BE333" t="inlineStr">
        <is>
          <t>32285001103497</t>
        </is>
      </c>
      <c r="BF333" t="inlineStr">
        <is>
          <t>893436439</t>
        </is>
      </c>
    </row>
    <row r="334">
      <c r="B334" t="inlineStr">
        <is>
          <t>CURAL</t>
        </is>
      </c>
      <c r="C334" t="inlineStr">
        <is>
          <t>SHELVES</t>
        </is>
      </c>
      <c r="D334" t="inlineStr">
        <is>
          <t>CT234 .P87</t>
        </is>
      </c>
      <c r="E334" t="inlineStr">
        <is>
          <t>0                      CT 0234000P  87</t>
        </is>
      </c>
      <c r="F334" t="inlineStr">
        <is>
          <t>Pure nostalgia : memories of early Iowa / edited and with introductions by Carl Hamilton.</t>
        </is>
      </c>
      <c r="H334" t="inlineStr">
        <is>
          <t>No</t>
        </is>
      </c>
      <c r="I334" t="inlineStr">
        <is>
          <t>1</t>
        </is>
      </c>
      <c r="J334" t="inlineStr">
        <is>
          <t>No</t>
        </is>
      </c>
      <c r="K334" t="inlineStr">
        <is>
          <t>No</t>
        </is>
      </c>
      <c r="L334" t="inlineStr">
        <is>
          <t>0</t>
        </is>
      </c>
      <c r="N334" t="inlineStr">
        <is>
          <t>Ames : Iowa State University Press, 1979.</t>
        </is>
      </c>
      <c r="O334" t="inlineStr">
        <is>
          <t>1979</t>
        </is>
      </c>
      <c r="P334" t="inlineStr">
        <is>
          <t>1st ed.</t>
        </is>
      </c>
      <c r="Q334" t="inlineStr">
        <is>
          <t>eng</t>
        </is>
      </c>
      <c r="R334" t="inlineStr">
        <is>
          <t>iau</t>
        </is>
      </c>
      <c r="T334" t="inlineStr">
        <is>
          <t xml:space="preserve">CT </t>
        </is>
      </c>
      <c r="U334" t="n">
        <v>2</v>
      </c>
      <c r="V334" t="n">
        <v>2</v>
      </c>
      <c r="W334" t="inlineStr">
        <is>
          <t>1992-03-05</t>
        </is>
      </c>
      <c r="X334" t="inlineStr">
        <is>
          <t>1992-03-05</t>
        </is>
      </c>
      <c r="Y334" t="inlineStr">
        <is>
          <t>1992-03-04</t>
        </is>
      </c>
      <c r="Z334" t="inlineStr">
        <is>
          <t>1992-03-04</t>
        </is>
      </c>
      <c r="AA334" t="n">
        <v>174</v>
      </c>
      <c r="AB334" t="n">
        <v>167</v>
      </c>
      <c r="AC334" t="n">
        <v>195</v>
      </c>
      <c r="AD334" t="n">
        <v>8</v>
      </c>
      <c r="AE334" t="n">
        <v>8</v>
      </c>
      <c r="AF334" t="n">
        <v>7</v>
      </c>
      <c r="AG334" t="n">
        <v>7</v>
      </c>
      <c r="AH334" t="n">
        <v>1</v>
      </c>
      <c r="AI334" t="n">
        <v>1</v>
      </c>
      <c r="AJ334" t="n">
        <v>1</v>
      </c>
      <c r="AK334" t="n">
        <v>1</v>
      </c>
      <c r="AL334" t="n">
        <v>2</v>
      </c>
      <c r="AM334" t="n">
        <v>2</v>
      </c>
      <c r="AN334" t="n">
        <v>3</v>
      </c>
      <c r="AO334" t="n">
        <v>3</v>
      </c>
      <c r="AP334" t="n">
        <v>0</v>
      </c>
      <c r="AQ334" t="n">
        <v>0</v>
      </c>
      <c r="AR334" t="inlineStr">
        <is>
          <t>No</t>
        </is>
      </c>
      <c r="AS334" t="inlineStr">
        <is>
          <t>Yes</t>
        </is>
      </c>
      <c r="AT334">
        <f>HYPERLINK("http://catalog.hathitrust.org/Record/000304435","HathiTrust Record")</f>
        <v/>
      </c>
      <c r="AU334">
        <f>HYPERLINK("https://creighton-primo.hosted.exlibrisgroup.com/primo-explore/search?tab=default_tab&amp;search_scope=EVERYTHING&amp;vid=01CRU&amp;lang=en_US&amp;offset=0&amp;query=any,contains,991004658079702656","Catalog Record")</f>
        <v/>
      </c>
      <c r="AV334">
        <f>HYPERLINK("http://www.worldcat.org/oclc/4495871","WorldCat Record")</f>
        <v/>
      </c>
      <c r="AW334" t="inlineStr">
        <is>
          <t>54263421:eng</t>
        </is>
      </c>
      <c r="AX334" t="inlineStr">
        <is>
          <t>4495871</t>
        </is>
      </c>
      <c r="AY334" t="inlineStr">
        <is>
          <t>991004658079702656</t>
        </is>
      </c>
      <c r="AZ334" t="inlineStr">
        <is>
          <t>991004658079702656</t>
        </is>
      </c>
      <c r="BA334" t="inlineStr">
        <is>
          <t>2267959880002656</t>
        </is>
      </c>
      <c r="BB334" t="inlineStr">
        <is>
          <t>BOOK</t>
        </is>
      </c>
      <c r="BD334" t="inlineStr">
        <is>
          <t>9780813809755</t>
        </is>
      </c>
      <c r="BE334" t="inlineStr">
        <is>
          <t>32285000992692</t>
        </is>
      </c>
      <c r="BF334" t="inlineStr">
        <is>
          <t>893624936</t>
        </is>
      </c>
    </row>
    <row r="335">
      <c r="B335" t="inlineStr">
        <is>
          <t>CURAL</t>
        </is>
      </c>
      <c r="C335" t="inlineStr">
        <is>
          <t>SHELVES</t>
        </is>
      </c>
      <c r="D335" t="inlineStr">
        <is>
          <t>CT25 .B58 1998</t>
        </is>
      </c>
      <c r="E335" t="inlineStr">
        <is>
          <t>0                      CT 0025000B  58          1998</t>
        </is>
      </c>
      <c r="F335" t="inlineStr">
        <is>
          <t>Interpreting the self : two hundred years of American autobiography / Diane Bjorklund.</t>
        </is>
      </c>
      <c r="H335" t="inlineStr">
        <is>
          <t>No</t>
        </is>
      </c>
      <c r="I335" t="inlineStr">
        <is>
          <t>1</t>
        </is>
      </c>
      <c r="J335" t="inlineStr">
        <is>
          <t>No</t>
        </is>
      </c>
      <c r="K335" t="inlineStr">
        <is>
          <t>No</t>
        </is>
      </c>
      <c r="L335" t="inlineStr">
        <is>
          <t>0</t>
        </is>
      </c>
      <c r="M335" t="inlineStr">
        <is>
          <t>Bjorklund, Diane.</t>
        </is>
      </c>
      <c r="N335" t="inlineStr">
        <is>
          <t>Chicago : University of Chicago Press, c1998.</t>
        </is>
      </c>
      <c r="O335" t="inlineStr">
        <is>
          <t>1998</t>
        </is>
      </c>
      <c r="Q335" t="inlineStr">
        <is>
          <t>eng</t>
        </is>
      </c>
      <c r="R335" t="inlineStr">
        <is>
          <t>ilu</t>
        </is>
      </c>
      <c r="T335" t="inlineStr">
        <is>
          <t xml:space="preserve">CT </t>
        </is>
      </c>
      <c r="U335" t="n">
        <v>4</v>
      </c>
      <c r="V335" t="n">
        <v>4</v>
      </c>
      <c r="W335" t="inlineStr">
        <is>
          <t>2000-11-21</t>
        </is>
      </c>
      <c r="X335" t="inlineStr">
        <is>
          <t>2000-11-21</t>
        </is>
      </c>
      <c r="Y335" t="inlineStr">
        <is>
          <t>1999-11-09</t>
        </is>
      </c>
      <c r="Z335" t="inlineStr">
        <is>
          <t>1999-11-09</t>
        </is>
      </c>
      <c r="AA335" t="n">
        <v>648</v>
      </c>
      <c r="AB335" t="n">
        <v>566</v>
      </c>
      <c r="AC335" t="n">
        <v>566</v>
      </c>
      <c r="AD335" t="n">
        <v>4</v>
      </c>
      <c r="AE335" t="n">
        <v>4</v>
      </c>
      <c r="AF335" t="n">
        <v>28</v>
      </c>
      <c r="AG335" t="n">
        <v>28</v>
      </c>
      <c r="AH335" t="n">
        <v>10</v>
      </c>
      <c r="AI335" t="n">
        <v>10</v>
      </c>
      <c r="AJ335" t="n">
        <v>9</v>
      </c>
      <c r="AK335" t="n">
        <v>9</v>
      </c>
      <c r="AL335" t="n">
        <v>17</v>
      </c>
      <c r="AM335" t="n">
        <v>17</v>
      </c>
      <c r="AN335" t="n">
        <v>3</v>
      </c>
      <c r="AO335" t="n">
        <v>3</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HYPERLINK("https://creighton-primo.hosted.exlibrisgroup.com/primo-explore/search?tab=default_tab&amp;search_scope=EVERYTHING&amp;vid=01CRU&amp;lang=en_US&amp;offset=0&amp;query=any,contains,991002935509702656","Catalog Record")</f>
        <v/>
      </c>
      <c r="AV335">
        <f>HYPERLINK("http://www.worldcat.org/oclc/39045225","WorldCat Record")</f>
        <v/>
      </c>
      <c r="AW335" t="inlineStr">
        <is>
          <t>307819737:eng</t>
        </is>
      </c>
      <c r="AX335" t="inlineStr">
        <is>
          <t>39045225</t>
        </is>
      </c>
      <c r="AY335" t="inlineStr">
        <is>
          <t>991002935509702656</t>
        </is>
      </c>
      <c r="AZ335" t="inlineStr">
        <is>
          <t>991002935509702656</t>
        </is>
      </c>
      <c r="BA335" t="inlineStr">
        <is>
          <t>2270744200002656</t>
        </is>
      </c>
      <c r="BB335" t="inlineStr">
        <is>
          <t>BOOK</t>
        </is>
      </c>
      <c r="BD335" t="inlineStr">
        <is>
          <t>9780226054476</t>
        </is>
      </c>
      <c r="BE335" t="inlineStr">
        <is>
          <t>32285003619888</t>
        </is>
      </c>
      <c r="BF335" t="inlineStr">
        <is>
          <t>893721719</t>
        </is>
      </c>
    </row>
    <row r="336">
      <c r="B336" t="inlineStr">
        <is>
          <t>CURAL</t>
        </is>
      </c>
      <c r="C336" t="inlineStr">
        <is>
          <t>SHELVES</t>
        </is>
      </c>
      <c r="D336" t="inlineStr">
        <is>
          <t>CT25 .C63 1984</t>
        </is>
      </c>
      <c r="E336" t="inlineStr">
        <is>
          <t>0                      CT 0025000C  63          1984</t>
        </is>
      </c>
      <c r="F336" t="inlineStr">
        <is>
          <t>The art of autobiography in 19th and 20th century England / A.O.J. Cockshut.</t>
        </is>
      </c>
      <c r="H336" t="inlineStr">
        <is>
          <t>No</t>
        </is>
      </c>
      <c r="I336" t="inlineStr">
        <is>
          <t>1</t>
        </is>
      </c>
      <c r="J336" t="inlineStr">
        <is>
          <t>No</t>
        </is>
      </c>
      <c r="K336" t="inlineStr">
        <is>
          <t>No</t>
        </is>
      </c>
      <c r="L336" t="inlineStr">
        <is>
          <t>0</t>
        </is>
      </c>
      <c r="M336" t="inlineStr">
        <is>
          <t>Cockshut, A. O. J.</t>
        </is>
      </c>
      <c r="N336" t="inlineStr">
        <is>
          <t>New Haven : Yale University Press, 1984.</t>
        </is>
      </c>
      <c r="O336" t="inlineStr">
        <is>
          <t>1984</t>
        </is>
      </c>
      <c r="Q336" t="inlineStr">
        <is>
          <t>eng</t>
        </is>
      </c>
      <c r="R336" t="inlineStr">
        <is>
          <t>ctu</t>
        </is>
      </c>
      <c r="T336" t="inlineStr">
        <is>
          <t xml:space="preserve">CT </t>
        </is>
      </c>
      <c r="U336" t="n">
        <v>5</v>
      </c>
      <c r="V336" t="n">
        <v>5</v>
      </c>
      <c r="W336" t="inlineStr">
        <is>
          <t>2000-03-21</t>
        </is>
      </c>
      <c r="X336" t="inlineStr">
        <is>
          <t>2000-03-21</t>
        </is>
      </c>
      <c r="Y336" t="inlineStr">
        <is>
          <t>1992-06-08</t>
        </is>
      </c>
      <c r="Z336" t="inlineStr">
        <is>
          <t>1992-06-08</t>
        </is>
      </c>
      <c r="AA336" t="n">
        <v>689</v>
      </c>
      <c r="AB336" t="n">
        <v>544</v>
      </c>
      <c r="AC336" t="n">
        <v>547</v>
      </c>
      <c r="AD336" t="n">
        <v>2</v>
      </c>
      <c r="AE336" t="n">
        <v>2</v>
      </c>
      <c r="AF336" t="n">
        <v>28</v>
      </c>
      <c r="AG336" t="n">
        <v>28</v>
      </c>
      <c r="AH336" t="n">
        <v>9</v>
      </c>
      <c r="AI336" t="n">
        <v>9</v>
      </c>
      <c r="AJ336" t="n">
        <v>10</v>
      </c>
      <c r="AK336" t="n">
        <v>10</v>
      </c>
      <c r="AL336" t="n">
        <v>17</v>
      </c>
      <c r="AM336" t="n">
        <v>17</v>
      </c>
      <c r="AN336" t="n">
        <v>1</v>
      </c>
      <c r="AO336" t="n">
        <v>1</v>
      </c>
      <c r="AP336" t="n">
        <v>0</v>
      </c>
      <c r="AQ336" t="n">
        <v>0</v>
      </c>
      <c r="AR336" t="inlineStr">
        <is>
          <t>No</t>
        </is>
      </c>
      <c r="AS336" t="inlineStr">
        <is>
          <t>Yes</t>
        </is>
      </c>
      <c r="AT336">
        <f>HYPERLINK("http://catalog.hathitrust.org/Record/000558733","HathiTrust Record")</f>
        <v/>
      </c>
      <c r="AU336">
        <f>HYPERLINK("https://creighton-primo.hosted.exlibrisgroup.com/primo-explore/search?tab=default_tab&amp;search_scope=EVERYTHING&amp;vid=01CRU&amp;lang=en_US&amp;offset=0&amp;query=any,contains,991000426219702656","Catalog Record")</f>
        <v/>
      </c>
      <c r="AV336">
        <f>HYPERLINK("http://www.worldcat.org/oclc/10753542","WorldCat Record")</f>
        <v/>
      </c>
      <c r="AW336" t="inlineStr">
        <is>
          <t>2923915:eng</t>
        </is>
      </c>
      <c r="AX336" t="inlineStr">
        <is>
          <t>10753542</t>
        </is>
      </c>
      <c r="AY336" t="inlineStr">
        <is>
          <t>991000426219702656</t>
        </is>
      </c>
      <c r="AZ336" t="inlineStr">
        <is>
          <t>991000426219702656</t>
        </is>
      </c>
      <c r="BA336" t="inlineStr">
        <is>
          <t>2265491750002656</t>
        </is>
      </c>
      <c r="BB336" t="inlineStr">
        <is>
          <t>BOOK</t>
        </is>
      </c>
      <c r="BD336" t="inlineStr">
        <is>
          <t>9780300032352</t>
        </is>
      </c>
      <c r="BE336" t="inlineStr">
        <is>
          <t>32285001165322</t>
        </is>
      </c>
      <c r="BF336" t="inlineStr">
        <is>
          <t>893508761</t>
        </is>
      </c>
    </row>
    <row r="337">
      <c r="B337" t="inlineStr">
        <is>
          <t>CURAL</t>
        </is>
      </c>
      <c r="C337" t="inlineStr">
        <is>
          <t>SHELVES</t>
        </is>
      </c>
      <c r="D337" t="inlineStr">
        <is>
          <t>CT25 .E88 2004</t>
        </is>
      </c>
      <c r="E337" t="inlineStr">
        <is>
          <t>0                      CT 0025000E  88          2004</t>
        </is>
      </c>
      <c r="F337" t="inlineStr">
        <is>
          <t>The ethics of life writing / edited by Paul John Eakin.</t>
        </is>
      </c>
      <c r="H337" t="inlineStr">
        <is>
          <t>No</t>
        </is>
      </c>
      <c r="I337" t="inlineStr">
        <is>
          <t>1</t>
        </is>
      </c>
      <c r="J337" t="inlineStr">
        <is>
          <t>No</t>
        </is>
      </c>
      <c r="K337" t="inlineStr">
        <is>
          <t>No</t>
        </is>
      </c>
      <c r="L337" t="inlineStr">
        <is>
          <t>0</t>
        </is>
      </c>
      <c r="N337" t="inlineStr">
        <is>
          <t>Ithaca, N.Y. : Cornell University Press, 2004.</t>
        </is>
      </c>
      <c r="O337" t="inlineStr">
        <is>
          <t>2004</t>
        </is>
      </c>
      <c r="Q337" t="inlineStr">
        <is>
          <t>eng</t>
        </is>
      </c>
      <c r="R337" t="inlineStr">
        <is>
          <t>nyu</t>
        </is>
      </c>
      <c r="T337" t="inlineStr">
        <is>
          <t xml:space="preserve">CT </t>
        </is>
      </c>
      <c r="U337" t="n">
        <v>13</v>
      </c>
      <c r="V337" t="n">
        <v>13</v>
      </c>
      <c r="W337" t="inlineStr">
        <is>
          <t>2009-01-12</t>
        </is>
      </c>
      <c r="X337" t="inlineStr">
        <is>
          <t>2009-01-12</t>
        </is>
      </c>
      <c r="Y337" t="inlineStr">
        <is>
          <t>2006-09-26</t>
        </is>
      </c>
      <c r="Z337" t="inlineStr">
        <is>
          <t>2006-09-26</t>
        </is>
      </c>
      <c r="AA337" t="n">
        <v>420</v>
      </c>
      <c r="AB337" t="n">
        <v>312</v>
      </c>
      <c r="AC337" t="n">
        <v>313</v>
      </c>
      <c r="AD337" t="n">
        <v>3</v>
      </c>
      <c r="AE337" t="n">
        <v>3</v>
      </c>
      <c r="AF337" t="n">
        <v>24</v>
      </c>
      <c r="AG337" t="n">
        <v>24</v>
      </c>
      <c r="AH337" t="n">
        <v>12</v>
      </c>
      <c r="AI337" t="n">
        <v>12</v>
      </c>
      <c r="AJ337" t="n">
        <v>5</v>
      </c>
      <c r="AK337" t="n">
        <v>5</v>
      </c>
      <c r="AL337" t="n">
        <v>13</v>
      </c>
      <c r="AM337" t="n">
        <v>13</v>
      </c>
      <c r="AN337" t="n">
        <v>2</v>
      </c>
      <c r="AO337" t="n">
        <v>2</v>
      </c>
      <c r="AP337" t="n">
        <v>0</v>
      </c>
      <c r="AQ337" t="n">
        <v>0</v>
      </c>
      <c r="AR337" t="inlineStr">
        <is>
          <t>No</t>
        </is>
      </c>
      <c r="AS337" t="inlineStr">
        <is>
          <t>Yes</t>
        </is>
      </c>
      <c r="AT337">
        <f>HYPERLINK("http://catalog.hathitrust.org/Record/004380302","HathiTrust Record")</f>
        <v/>
      </c>
      <c r="AU337">
        <f>HYPERLINK("https://creighton-primo.hosted.exlibrisgroup.com/primo-explore/search?tab=default_tab&amp;search_scope=EVERYTHING&amp;vid=01CRU&amp;lang=en_US&amp;offset=0&amp;query=any,contains,991004930189702656","Catalog Record")</f>
        <v/>
      </c>
      <c r="AV337">
        <f>HYPERLINK("http://www.worldcat.org/oclc/53331618","WorldCat Record")</f>
        <v/>
      </c>
      <c r="AW337" t="inlineStr">
        <is>
          <t>56973226:eng</t>
        </is>
      </c>
      <c r="AX337" t="inlineStr">
        <is>
          <t>53331618</t>
        </is>
      </c>
      <c r="AY337" t="inlineStr">
        <is>
          <t>991004930189702656</t>
        </is>
      </c>
      <c r="AZ337" t="inlineStr">
        <is>
          <t>991004930189702656</t>
        </is>
      </c>
      <c r="BA337" t="inlineStr">
        <is>
          <t>2255073910002656</t>
        </is>
      </c>
      <c r="BB337" t="inlineStr">
        <is>
          <t>BOOK</t>
        </is>
      </c>
      <c r="BD337" t="inlineStr">
        <is>
          <t>9780801441288</t>
        </is>
      </c>
      <c r="BE337" t="inlineStr">
        <is>
          <t>32285005225015</t>
        </is>
      </c>
      <c r="BF337" t="inlineStr">
        <is>
          <t>893694515</t>
        </is>
      </c>
    </row>
    <row r="338">
      <c r="B338" t="inlineStr">
        <is>
          <t>CURAL</t>
        </is>
      </c>
      <c r="C338" t="inlineStr">
        <is>
          <t>SHELVES</t>
        </is>
      </c>
      <c r="D338" t="inlineStr">
        <is>
          <t>CT25 .E96 1996</t>
        </is>
      </c>
      <c r="E338" t="inlineStr">
        <is>
          <t>0                      CT 0025000E  96          1996</t>
        </is>
      </c>
      <c r="F338" t="inlineStr">
        <is>
          <t>Catholic girlhood narratives : the Church and self-denial / Elizabeth N. Evasdaughter.</t>
        </is>
      </c>
      <c r="H338" t="inlineStr">
        <is>
          <t>No</t>
        </is>
      </c>
      <c r="I338" t="inlineStr">
        <is>
          <t>1</t>
        </is>
      </c>
      <c r="J338" t="inlineStr">
        <is>
          <t>No</t>
        </is>
      </c>
      <c r="K338" t="inlineStr">
        <is>
          <t>No</t>
        </is>
      </c>
      <c r="L338" t="inlineStr">
        <is>
          <t>0</t>
        </is>
      </c>
      <c r="M338" t="inlineStr">
        <is>
          <t>Evasdaughter, Elizabeth N.</t>
        </is>
      </c>
      <c r="N338" t="inlineStr">
        <is>
          <t>Boston : Northeastern University Press, c1996.</t>
        </is>
      </c>
      <c r="O338" t="inlineStr">
        <is>
          <t>1996</t>
        </is>
      </c>
      <c r="Q338" t="inlineStr">
        <is>
          <t>eng</t>
        </is>
      </c>
      <c r="R338" t="inlineStr">
        <is>
          <t>mau</t>
        </is>
      </c>
      <c r="T338" t="inlineStr">
        <is>
          <t xml:space="preserve">CT </t>
        </is>
      </c>
      <c r="U338" t="n">
        <v>1</v>
      </c>
      <c r="V338" t="n">
        <v>1</v>
      </c>
      <c r="W338" t="inlineStr">
        <is>
          <t>2008-03-22</t>
        </is>
      </c>
      <c r="X338" t="inlineStr">
        <is>
          <t>2008-03-22</t>
        </is>
      </c>
      <c r="Y338" t="inlineStr">
        <is>
          <t>1996-07-16</t>
        </is>
      </c>
      <c r="Z338" t="inlineStr">
        <is>
          <t>1996-07-16</t>
        </is>
      </c>
      <c r="AA338" t="n">
        <v>503</v>
      </c>
      <c r="AB338" t="n">
        <v>472</v>
      </c>
      <c r="AC338" t="n">
        <v>479</v>
      </c>
      <c r="AD338" t="n">
        <v>3</v>
      </c>
      <c r="AE338" t="n">
        <v>3</v>
      </c>
      <c r="AF338" t="n">
        <v>29</v>
      </c>
      <c r="AG338" t="n">
        <v>29</v>
      </c>
      <c r="AH338" t="n">
        <v>13</v>
      </c>
      <c r="AI338" t="n">
        <v>13</v>
      </c>
      <c r="AJ338" t="n">
        <v>7</v>
      </c>
      <c r="AK338" t="n">
        <v>7</v>
      </c>
      <c r="AL338" t="n">
        <v>19</v>
      </c>
      <c r="AM338" t="n">
        <v>19</v>
      </c>
      <c r="AN338" t="n">
        <v>2</v>
      </c>
      <c r="AO338" t="n">
        <v>2</v>
      </c>
      <c r="AP338" t="n">
        <v>0</v>
      </c>
      <c r="AQ338" t="n">
        <v>0</v>
      </c>
      <c r="AR338" t="inlineStr">
        <is>
          <t>No</t>
        </is>
      </c>
      <c r="AS338" t="inlineStr">
        <is>
          <t>Yes</t>
        </is>
      </c>
      <c r="AT338">
        <f>HYPERLINK("http://catalog.hathitrust.org/Record/003079405","HathiTrust Record")</f>
        <v/>
      </c>
      <c r="AU338">
        <f>HYPERLINK("https://creighton-primo.hosted.exlibrisgroup.com/primo-explore/search?tab=default_tab&amp;search_scope=EVERYTHING&amp;vid=01CRU&amp;lang=en_US&amp;offset=0&amp;query=any,contains,991002581149702656","Catalog Record")</f>
        <v/>
      </c>
      <c r="AV338">
        <f>HYPERLINK("http://www.worldcat.org/oclc/33819810","WorldCat Record")</f>
        <v/>
      </c>
      <c r="AW338" t="inlineStr">
        <is>
          <t>373518164:eng</t>
        </is>
      </c>
      <c r="AX338" t="inlineStr">
        <is>
          <t>33819810</t>
        </is>
      </c>
      <c r="AY338" t="inlineStr">
        <is>
          <t>991002581149702656</t>
        </is>
      </c>
      <c r="AZ338" t="inlineStr">
        <is>
          <t>991002581149702656</t>
        </is>
      </c>
      <c r="BA338" t="inlineStr">
        <is>
          <t>2271303860002656</t>
        </is>
      </c>
      <c r="BB338" t="inlineStr">
        <is>
          <t>BOOK</t>
        </is>
      </c>
      <c r="BD338" t="inlineStr">
        <is>
          <t>9781555532697</t>
        </is>
      </c>
      <c r="BE338" t="inlineStr">
        <is>
          <t>32285002212735</t>
        </is>
      </c>
      <c r="BF338" t="inlineStr">
        <is>
          <t>893610019</t>
        </is>
      </c>
    </row>
    <row r="339">
      <c r="B339" t="inlineStr">
        <is>
          <t>CURAL</t>
        </is>
      </c>
      <c r="C339" t="inlineStr">
        <is>
          <t>SHELVES</t>
        </is>
      </c>
      <c r="D339" t="inlineStr">
        <is>
          <t>CT25 .F45 1987</t>
        </is>
      </c>
      <c r="E339" t="inlineStr">
        <is>
          <t>0                      CT 0025000F  45          1987</t>
        </is>
      </c>
      <c r="F339" t="inlineStr">
        <is>
          <t>The Female autograph : theory and practice of autobiography from the tenth to the twentieth century / edited by Domna C. Stanton.</t>
        </is>
      </c>
      <c r="H339" t="inlineStr">
        <is>
          <t>No</t>
        </is>
      </c>
      <c r="I339" t="inlineStr">
        <is>
          <t>1</t>
        </is>
      </c>
      <c r="J339" t="inlineStr">
        <is>
          <t>No</t>
        </is>
      </c>
      <c r="K339" t="inlineStr">
        <is>
          <t>No</t>
        </is>
      </c>
      <c r="L339" t="inlineStr">
        <is>
          <t>0</t>
        </is>
      </c>
      <c r="N339" t="inlineStr">
        <is>
          <t>Chicago : University of Chicago Press, 1987, c1984.</t>
        </is>
      </c>
      <c r="O339" t="inlineStr">
        <is>
          <t>1987</t>
        </is>
      </c>
      <c r="Q339" t="inlineStr">
        <is>
          <t>eng</t>
        </is>
      </c>
      <c r="R339" t="inlineStr">
        <is>
          <t>ilu</t>
        </is>
      </c>
      <c r="T339" t="inlineStr">
        <is>
          <t xml:space="preserve">CT </t>
        </is>
      </c>
      <c r="U339" t="n">
        <v>2</v>
      </c>
      <c r="V339" t="n">
        <v>2</v>
      </c>
      <c r="W339" t="inlineStr">
        <is>
          <t>2006-03-20</t>
        </is>
      </c>
      <c r="X339" t="inlineStr">
        <is>
          <t>2006-03-20</t>
        </is>
      </c>
      <c r="Y339" t="inlineStr">
        <is>
          <t>1990-03-16</t>
        </is>
      </c>
      <c r="Z339" t="inlineStr">
        <is>
          <t>1990-03-16</t>
        </is>
      </c>
      <c r="AA339" t="n">
        <v>479</v>
      </c>
      <c r="AB339" t="n">
        <v>362</v>
      </c>
      <c r="AC339" t="n">
        <v>369</v>
      </c>
      <c r="AD339" t="n">
        <v>5</v>
      </c>
      <c r="AE339" t="n">
        <v>5</v>
      </c>
      <c r="AF339" t="n">
        <v>23</v>
      </c>
      <c r="AG339" t="n">
        <v>23</v>
      </c>
      <c r="AH339" t="n">
        <v>8</v>
      </c>
      <c r="AI339" t="n">
        <v>8</v>
      </c>
      <c r="AJ339" t="n">
        <v>4</v>
      </c>
      <c r="AK339" t="n">
        <v>4</v>
      </c>
      <c r="AL339" t="n">
        <v>10</v>
      </c>
      <c r="AM339" t="n">
        <v>10</v>
      </c>
      <c r="AN339" t="n">
        <v>4</v>
      </c>
      <c r="AO339" t="n">
        <v>4</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HYPERLINK("https://creighton-primo.hosted.exlibrisgroup.com/primo-explore/search?tab=default_tab&amp;search_scope=EVERYTHING&amp;vid=01CRU&amp;lang=en_US&amp;offset=0&amp;query=any,contains,991001021319702656","Catalog Record")</f>
        <v/>
      </c>
      <c r="AV339">
        <f>HYPERLINK("http://www.worldcat.org/oclc/15367072","WorldCat Record")</f>
        <v/>
      </c>
      <c r="AW339" t="inlineStr">
        <is>
          <t>807900987:eng</t>
        </is>
      </c>
      <c r="AX339" t="inlineStr">
        <is>
          <t>15367072</t>
        </is>
      </c>
      <c r="AY339" t="inlineStr">
        <is>
          <t>991001021319702656</t>
        </is>
      </c>
      <c r="AZ339" t="inlineStr">
        <is>
          <t>991001021319702656</t>
        </is>
      </c>
      <c r="BA339" t="inlineStr">
        <is>
          <t>2260352070002656</t>
        </is>
      </c>
      <c r="BB339" t="inlineStr">
        <is>
          <t>BOOK</t>
        </is>
      </c>
      <c r="BD339" t="inlineStr">
        <is>
          <t>9780226771205</t>
        </is>
      </c>
      <c r="BE339" t="inlineStr">
        <is>
          <t>32285000090075</t>
        </is>
      </c>
      <c r="BF339" t="inlineStr">
        <is>
          <t>893509312</t>
        </is>
      </c>
    </row>
    <row r="340">
      <c r="B340" t="inlineStr">
        <is>
          <t>CURAL</t>
        </is>
      </c>
      <c r="C340" t="inlineStr">
        <is>
          <t>SHELVES</t>
        </is>
      </c>
      <c r="D340" t="inlineStr">
        <is>
          <t>CT25 .O44</t>
        </is>
      </c>
      <c r="E340" t="inlineStr">
        <is>
          <t>0                      CT 0025000O  44</t>
        </is>
      </c>
      <c r="F340" t="inlineStr">
        <is>
          <t>Metaphors of self : the meaning of autobiography.</t>
        </is>
      </c>
      <c r="H340" t="inlineStr">
        <is>
          <t>No</t>
        </is>
      </c>
      <c r="I340" t="inlineStr">
        <is>
          <t>1</t>
        </is>
      </c>
      <c r="J340" t="inlineStr">
        <is>
          <t>No</t>
        </is>
      </c>
      <c r="K340" t="inlineStr">
        <is>
          <t>No</t>
        </is>
      </c>
      <c r="L340" t="inlineStr">
        <is>
          <t>0</t>
        </is>
      </c>
      <c r="M340" t="inlineStr">
        <is>
          <t>Olney, James.</t>
        </is>
      </c>
      <c r="N340" t="inlineStr">
        <is>
          <t>[Princeton, N.J.] : Princeton University Press, [1972]</t>
        </is>
      </c>
      <c r="O340" t="inlineStr">
        <is>
          <t>1972</t>
        </is>
      </c>
      <c r="Q340" t="inlineStr">
        <is>
          <t>eng</t>
        </is>
      </c>
      <c r="R340" t="inlineStr">
        <is>
          <t>nju</t>
        </is>
      </c>
      <c r="T340" t="inlineStr">
        <is>
          <t xml:space="preserve">CT </t>
        </is>
      </c>
      <c r="U340" t="n">
        <v>16</v>
      </c>
      <c r="V340" t="n">
        <v>16</v>
      </c>
      <c r="W340" t="inlineStr">
        <is>
          <t>2006-09-20</t>
        </is>
      </c>
      <c r="X340" t="inlineStr">
        <is>
          <t>2006-09-20</t>
        </is>
      </c>
      <c r="Y340" t="inlineStr">
        <is>
          <t>1995-03-10</t>
        </is>
      </c>
      <c r="Z340" t="inlineStr">
        <is>
          <t>1995-03-10</t>
        </is>
      </c>
      <c r="AA340" t="n">
        <v>1136</v>
      </c>
      <c r="AB340" t="n">
        <v>948</v>
      </c>
      <c r="AC340" t="n">
        <v>1104</v>
      </c>
      <c r="AD340" t="n">
        <v>5</v>
      </c>
      <c r="AE340" t="n">
        <v>5</v>
      </c>
      <c r="AF340" t="n">
        <v>44</v>
      </c>
      <c r="AG340" t="n">
        <v>48</v>
      </c>
      <c r="AH340" t="n">
        <v>18</v>
      </c>
      <c r="AI340" t="n">
        <v>22</v>
      </c>
      <c r="AJ340" t="n">
        <v>10</v>
      </c>
      <c r="AK340" t="n">
        <v>11</v>
      </c>
      <c r="AL340" t="n">
        <v>23</v>
      </c>
      <c r="AM340" t="n">
        <v>23</v>
      </c>
      <c r="AN340" t="n">
        <v>4</v>
      </c>
      <c r="AO340" t="n">
        <v>4</v>
      </c>
      <c r="AP340" t="n">
        <v>0</v>
      </c>
      <c r="AQ340" t="n">
        <v>0</v>
      </c>
      <c r="AR340" t="inlineStr">
        <is>
          <t>No</t>
        </is>
      </c>
      <c r="AS340" t="inlineStr">
        <is>
          <t>No</t>
        </is>
      </c>
      <c r="AU340">
        <f>HYPERLINK("https://creighton-primo.hosted.exlibrisgroup.com/primo-explore/search?tab=default_tab&amp;search_scope=EVERYTHING&amp;vid=01CRU&amp;lang=en_US&amp;offset=0&amp;query=any,contains,991005354839702656","Catalog Record")</f>
        <v/>
      </c>
      <c r="AV340">
        <f>HYPERLINK("http://www.worldcat.org/oclc/366458","WorldCat Record")</f>
        <v/>
      </c>
      <c r="AW340" t="inlineStr">
        <is>
          <t>577693:eng</t>
        </is>
      </c>
      <c r="AX340" t="inlineStr">
        <is>
          <t>366458</t>
        </is>
      </c>
      <c r="AY340" t="inlineStr">
        <is>
          <t>991005354839702656</t>
        </is>
      </c>
      <c r="AZ340" t="inlineStr">
        <is>
          <t>991005354839702656</t>
        </is>
      </c>
      <c r="BA340" t="inlineStr">
        <is>
          <t>2264359140002656</t>
        </is>
      </c>
      <c r="BB340" t="inlineStr">
        <is>
          <t>BOOK</t>
        </is>
      </c>
      <c r="BD340" t="inlineStr">
        <is>
          <t>9780691062211</t>
        </is>
      </c>
      <c r="BE340" t="inlineStr">
        <is>
          <t>32285002012069</t>
        </is>
      </c>
      <c r="BF340" t="inlineStr">
        <is>
          <t>893533605</t>
        </is>
      </c>
    </row>
    <row r="341">
      <c r="B341" t="inlineStr">
        <is>
          <t>CURAL</t>
        </is>
      </c>
      <c r="C341" t="inlineStr">
        <is>
          <t>SHELVES</t>
        </is>
      </c>
      <c r="D341" t="inlineStr">
        <is>
          <t>CT25 .P37</t>
        </is>
      </c>
      <c r="E341" t="inlineStr">
        <is>
          <t>0                      CT 0025000P  37</t>
        </is>
      </c>
      <c r="F341" t="inlineStr">
        <is>
          <t>Design and truth in autobiography.</t>
        </is>
      </c>
      <c r="H341" t="inlineStr">
        <is>
          <t>No</t>
        </is>
      </c>
      <c r="I341" t="inlineStr">
        <is>
          <t>1</t>
        </is>
      </c>
      <c r="J341" t="inlineStr">
        <is>
          <t>No</t>
        </is>
      </c>
      <c r="K341" t="inlineStr">
        <is>
          <t>No</t>
        </is>
      </c>
      <c r="L341" t="inlineStr">
        <is>
          <t>0</t>
        </is>
      </c>
      <c r="M341" t="inlineStr">
        <is>
          <t>Pascal, Roy, 1904-1980.</t>
        </is>
      </c>
      <c r="N341" t="inlineStr">
        <is>
          <t>Cambridge : Harvard University Press, 1960.</t>
        </is>
      </c>
      <c r="O341" t="inlineStr">
        <is>
          <t>1960</t>
        </is>
      </c>
      <c r="Q341" t="inlineStr">
        <is>
          <t>eng</t>
        </is>
      </c>
      <c r="R341" t="inlineStr">
        <is>
          <t>mau</t>
        </is>
      </c>
      <c r="T341" t="inlineStr">
        <is>
          <t xml:space="preserve">CT </t>
        </is>
      </c>
      <c r="U341" t="n">
        <v>4</v>
      </c>
      <c r="V341" t="n">
        <v>4</v>
      </c>
      <c r="W341" t="inlineStr">
        <is>
          <t>2009-11-23</t>
        </is>
      </c>
      <c r="X341" t="inlineStr">
        <is>
          <t>2009-11-23</t>
        </is>
      </c>
      <c r="Y341" t="inlineStr">
        <is>
          <t>1995-03-10</t>
        </is>
      </c>
      <c r="Z341" t="inlineStr">
        <is>
          <t>1995-03-10</t>
        </is>
      </c>
      <c r="AA341" t="n">
        <v>364</v>
      </c>
      <c r="AB341" t="n">
        <v>316</v>
      </c>
      <c r="AC341" t="n">
        <v>459</v>
      </c>
      <c r="AD341" t="n">
        <v>3</v>
      </c>
      <c r="AE341" t="n">
        <v>3</v>
      </c>
      <c r="AF341" t="n">
        <v>19</v>
      </c>
      <c r="AG341" t="n">
        <v>29</v>
      </c>
      <c r="AH341" t="n">
        <v>5</v>
      </c>
      <c r="AI341" t="n">
        <v>11</v>
      </c>
      <c r="AJ341" t="n">
        <v>5</v>
      </c>
      <c r="AK341" t="n">
        <v>6</v>
      </c>
      <c r="AL341" t="n">
        <v>9</v>
      </c>
      <c r="AM341" t="n">
        <v>16</v>
      </c>
      <c r="AN341" t="n">
        <v>2</v>
      </c>
      <c r="AO341" t="n">
        <v>2</v>
      </c>
      <c r="AP341" t="n">
        <v>0</v>
      </c>
      <c r="AQ341" t="n">
        <v>0</v>
      </c>
      <c r="AR341" t="inlineStr">
        <is>
          <t>No</t>
        </is>
      </c>
      <c r="AS341" t="inlineStr">
        <is>
          <t>No</t>
        </is>
      </c>
      <c r="AT341">
        <f>HYPERLINK("http://catalog.hathitrust.org/Record/102071561","HathiTrust Record")</f>
        <v/>
      </c>
      <c r="AU341">
        <f>HYPERLINK("https://creighton-primo.hosted.exlibrisgroup.com/primo-explore/search?tab=default_tab&amp;search_scope=EVERYTHING&amp;vid=01CRU&amp;lang=en_US&amp;offset=0&amp;query=any,contains,991002661629702656","Catalog Record")</f>
        <v/>
      </c>
      <c r="AV341">
        <f>HYPERLINK("http://www.worldcat.org/oclc/391707","WorldCat Record")</f>
        <v/>
      </c>
      <c r="AW341" t="inlineStr">
        <is>
          <t>911769:eng</t>
        </is>
      </c>
      <c r="AX341" t="inlineStr">
        <is>
          <t>391707</t>
        </is>
      </c>
      <c r="AY341" t="inlineStr">
        <is>
          <t>991002661629702656</t>
        </is>
      </c>
      <c r="AZ341" t="inlineStr">
        <is>
          <t>991002661629702656</t>
        </is>
      </c>
      <c r="BA341" t="inlineStr">
        <is>
          <t>2260695540002656</t>
        </is>
      </c>
      <c r="BB341" t="inlineStr">
        <is>
          <t>BOOK</t>
        </is>
      </c>
      <c r="BE341" t="inlineStr">
        <is>
          <t>32285002012051</t>
        </is>
      </c>
      <c r="BF341" t="inlineStr">
        <is>
          <t>893721562</t>
        </is>
      </c>
    </row>
    <row r="342">
      <c r="B342" t="inlineStr">
        <is>
          <t>CURAL</t>
        </is>
      </c>
      <c r="C342" t="inlineStr">
        <is>
          <t>SHELVES</t>
        </is>
      </c>
      <c r="D342" t="inlineStr">
        <is>
          <t>CT25 .P54</t>
        </is>
      </c>
      <c r="E342" t="inlineStr">
        <is>
          <t>0                      CT 0025000P  54</t>
        </is>
      </c>
      <c r="F342" t="inlineStr">
        <is>
          <t>Autobiography and imagination : studies in self-scrutiny / John Pilling.</t>
        </is>
      </c>
      <c r="H342" t="inlineStr">
        <is>
          <t>No</t>
        </is>
      </c>
      <c r="I342" t="inlineStr">
        <is>
          <t>1</t>
        </is>
      </c>
      <c r="J342" t="inlineStr">
        <is>
          <t>No</t>
        </is>
      </c>
      <c r="K342" t="inlineStr">
        <is>
          <t>No</t>
        </is>
      </c>
      <c r="L342" t="inlineStr">
        <is>
          <t>0</t>
        </is>
      </c>
      <c r="M342" t="inlineStr">
        <is>
          <t>Pilling, John.</t>
        </is>
      </c>
      <c r="N342" t="inlineStr">
        <is>
          <t>London ; Boston : Routledge &amp; Kegan Paul, 1981.</t>
        </is>
      </c>
      <c r="O342" t="inlineStr">
        <is>
          <t>1981</t>
        </is>
      </c>
      <c r="Q342" t="inlineStr">
        <is>
          <t>eng</t>
        </is>
      </c>
      <c r="R342" t="inlineStr">
        <is>
          <t>enk</t>
        </is>
      </c>
      <c r="T342" t="inlineStr">
        <is>
          <t xml:space="preserve">CT </t>
        </is>
      </c>
      <c r="U342" t="n">
        <v>5</v>
      </c>
      <c r="V342" t="n">
        <v>5</v>
      </c>
      <c r="W342" t="inlineStr">
        <is>
          <t>1999-10-16</t>
        </is>
      </c>
      <c r="X342" t="inlineStr">
        <is>
          <t>1999-10-16</t>
        </is>
      </c>
      <c r="Y342" t="inlineStr">
        <is>
          <t>1992-06-08</t>
        </is>
      </c>
      <c r="Z342" t="inlineStr">
        <is>
          <t>1992-06-08</t>
        </is>
      </c>
      <c r="AA342" t="n">
        <v>482</v>
      </c>
      <c r="AB342" t="n">
        <v>325</v>
      </c>
      <c r="AC342" t="n">
        <v>356</v>
      </c>
      <c r="AD342" t="n">
        <v>4</v>
      </c>
      <c r="AE342" t="n">
        <v>4</v>
      </c>
      <c r="AF342" t="n">
        <v>17</v>
      </c>
      <c r="AG342" t="n">
        <v>17</v>
      </c>
      <c r="AH342" t="n">
        <v>4</v>
      </c>
      <c r="AI342" t="n">
        <v>4</v>
      </c>
      <c r="AJ342" t="n">
        <v>5</v>
      </c>
      <c r="AK342" t="n">
        <v>5</v>
      </c>
      <c r="AL342" t="n">
        <v>10</v>
      </c>
      <c r="AM342" t="n">
        <v>10</v>
      </c>
      <c r="AN342" t="n">
        <v>3</v>
      </c>
      <c r="AO342" t="n">
        <v>3</v>
      </c>
      <c r="AP342" t="n">
        <v>0</v>
      </c>
      <c r="AQ342" t="n">
        <v>0</v>
      </c>
      <c r="AR342" t="inlineStr">
        <is>
          <t>No</t>
        </is>
      </c>
      <c r="AS342" t="inlineStr">
        <is>
          <t>Yes</t>
        </is>
      </c>
      <c r="AT342">
        <f>HYPERLINK("http://catalog.hathitrust.org/Record/000099042","HathiTrust Record")</f>
        <v/>
      </c>
      <c r="AU342">
        <f>HYPERLINK("https://creighton-primo.hosted.exlibrisgroup.com/primo-explore/search?tab=default_tab&amp;search_scope=EVERYTHING&amp;vid=01CRU&amp;lang=en_US&amp;offset=0&amp;query=any,contains,991005142559702656","Catalog Record")</f>
        <v/>
      </c>
      <c r="AV342">
        <f>HYPERLINK("http://www.worldcat.org/oclc/7632200","WorldCat Record")</f>
        <v/>
      </c>
      <c r="AW342" t="inlineStr">
        <is>
          <t>199014157:eng</t>
        </is>
      </c>
      <c r="AX342" t="inlineStr">
        <is>
          <t>7632200</t>
        </is>
      </c>
      <c r="AY342" t="inlineStr">
        <is>
          <t>991005142559702656</t>
        </is>
      </c>
      <c r="AZ342" t="inlineStr">
        <is>
          <t>991005142559702656</t>
        </is>
      </c>
      <c r="BA342" t="inlineStr">
        <is>
          <t>2266154600002656</t>
        </is>
      </c>
      <c r="BB342" t="inlineStr">
        <is>
          <t>BOOK</t>
        </is>
      </c>
      <c r="BD342" t="inlineStr">
        <is>
          <t>9780710007308</t>
        </is>
      </c>
      <c r="BE342" t="inlineStr">
        <is>
          <t>32285001165355</t>
        </is>
      </c>
      <c r="BF342" t="inlineStr">
        <is>
          <t>893332464</t>
        </is>
      </c>
    </row>
    <row r="343">
      <c r="B343" t="inlineStr">
        <is>
          <t>CURAL</t>
        </is>
      </c>
      <c r="C343" t="inlineStr">
        <is>
          <t>SHELVES</t>
        </is>
      </c>
      <c r="D343" t="inlineStr">
        <is>
          <t>CT25 .S2</t>
        </is>
      </c>
      <c r="E343" t="inlineStr">
        <is>
          <t>0                      CT 0025000S  2</t>
        </is>
      </c>
      <c r="F343" t="inlineStr">
        <is>
          <t>The examined self: Benjamin Franklin, Henry Adams, Henry James.</t>
        </is>
      </c>
      <c r="H343" t="inlineStr">
        <is>
          <t>No</t>
        </is>
      </c>
      <c r="I343" t="inlineStr">
        <is>
          <t>1</t>
        </is>
      </c>
      <c r="J343" t="inlineStr">
        <is>
          <t>No</t>
        </is>
      </c>
      <c r="K343" t="inlineStr">
        <is>
          <t>No</t>
        </is>
      </c>
      <c r="L343" t="inlineStr">
        <is>
          <t>0</t>
        </is>
      </c>
      <c r="M343" t="inlineStr">
        <is>
          <t>Sayre, Robert F.</t>
        </is>
      </c>
      <c r="N343" t="inlineStr">
        <is>
          <t>Princeton, N.J., Princeton University Press, 1964.</t>
        </is>
      </c>
      <c r="O343" t="inlineStr">
        <is>
          <t>1964</t>
        </is>
      </c>
      <c r="Q343" t="inlineStr">
        <is>
          <t>eng</t>
        </is>
      </c>
      <c r="R343" t="inlineStr">
        <is>
          <t>nju</t>
        </is>
      </c>
      <c r="T343" t="inlineStr">
        <is>
          <t xml:space="preserve">CT </t>
        </is>
      </c>
      <c r="U343" t="n">
        <v>1</v>
      </c>
      <c r="V343" t="n">
        <v>1</v>
      </c>
      <c r="W343" t="inlineStr">
        <is>
          <t>2002-02-05</t>
        </is>
      </c>
      <c r="X343" t="inlineStr">
        <is>
          <t>2002-02-05</t>
        </is>
      </c>
      <c r="Y343" t="inlineStr">
        <is>
          <t>1996-08-21</t>
        </is>
      </c>
      <c r="Z343" t="inlineStr">
        <is>
          <t>1996-08-21</t>
        </is>
      </c>
      <c r="AA343" t="n">
        <v>738</v>
      </c>
      <c r="AB343" t="n">
        <v>649</v>
      </c>
      <c r="AC343" t="n">
        <v>738</v>
      </c>
      <c r="AD343" t="n">
        <v>5</v>
      </c>
      <c r="AE343" t="n">
        <v>5</v>
      </c>
      <c r="AF343" t="n">
        <v>33</v>
      </c>
      <c r="AG343" t="n">
        <v>37</v>
      </c>
      <c r="AH343" t="n">
        <v>13</v>
      </c>
      <c r="AI343" t="n">
        <v>16</v>
      </c>
      <c r="AJ343" t="n">
        <v>9</v>
      </c>
      <c r="AK343" t="n">
        <v>9</v>
      </c>
      <c r="AL343" t="n">
        <v>19</v>
      </c>
      <c r="AM343" t="n">
        <v>21</v>
      </c>
      <c r="AN343" t="n">
        <v>4</v>
      </c>
      <c r="AO343" t="n">
        <v>4</v>
      </c>
      <c r="AP343" t="n">
        <v>0</v>
      </c>
      <c r="AQ343" t="n">
        <v>0</v>
      </c>
      <c r="AR343" t="inlineStr">
        <is>
          <t>No</t>
        </is>
      </c>
      <c r="AS343" t="inlineStr">
        <is>
          <t>Yes</t>
        </is>
      </c>
      <c r="AT343">
        <f>HYPERLINK("http://catalog.hathitrust.org/Record/001598302","HathiTrust Record")</f>
        <v/>
      </c>
      <c r="AU343">
        <f>HYPERLINK("https://creighton-primo.hosted.exlibrisgroup.com/primo-explore/search?tab=default_tab&amp;search_scope=EVERYTHING&amp;vid=01CRU&amp;lang=en_US&amp;offset=0&amp;query=any,contains,991002709629702656","Catalog Record")</f>
        <v/>
      </c>
      <c r="AV343">
        <f>HYPERLINK("http://www.worldcat.org/oclc/408634","WorldCat Record")</f>
        <v/>
      </c>
      <c r="AW343" t="inlineStr">
        <is>
          <t>1443907:eng</t>
        </is>
      </c>
      <c r="AX343" t="inlineStr">
        <is>
          <t>408634</t>
        </is>
      </c>
      <c r="AY343" t="inlineStr">
        <is>
          <t>991002709629702656</t>
        </is>
      </c>
      <c r="AZ343" t="inlineStr">
        <is>
          <t>991002709629702656</t>
        </is>
      </c>
      <c r="BA343" t="inlineStr">
        <is>
          <t>2264151870002656</t>
        </is>
      </c>
      <c r="BB343" t="inlineStr">
        <is>
          <t>BOOK</t>
        </is>
      </c>
      <c r="BE343" t="inlineStr">
        <is>
          <t>32285002278967</t>
        </is>
      </c>
      <c r="BF343" t="inlineStr">
        <is>
          <t>893517638</t>
        </is>
      </c>
    </row>
    <row r="344">
      <c r="B344" t="inlineStr">
        <is>
          <t>CURAL</t>
        </is>
      </c>
      <c r="C344" t="inlineStr">
        <is>
          <t>SHELVES</t>
        </is>
      </c>
      <c r="D344" t="inlineStr">
        <is>
          <t>CT25 .S63 1980</t>
        </is>
      </c>
      <c r="E344" t="inlineStr">
        <is>
          <t>0                      CT 0025000S  63          1980</t>
        </is>
      </c>
      <c r="F344" t="inlineStr">
        <is>
          <t>The forms of autobiography : episodes in the history of the literary genre / William C. Spengemann.</t>
        </is>
      </c>
      <c r="H344" t="inlineStr">
        <is>
          <t>No</t>
        </is>
      </c>
      <c r="I344" t="inlineStr">
        <is>
          <t>1</t>
        </is>
      </c>
      <c r="J344" t="inlineStr">
        <is>
          <t>No</t>
        </is>
      </c>
      <c r="K344" t="inlineStr">
        <is>
          <t>No</t>
        </is>
      </c>
      <c r="L344" t="inlineStr">
        <is>
          <t>0</t>
        </is>
      </c>
      <c r="M344" t="inlineStr">
        <is>
          <t>Spengemann, William C.</t>
        </is>
      </c>
      <c r="N344" t="inlineStr">
        <is>
          <t>New Haven : Yale University Press, 1980.</t>
        </is>
      </c>
      <c r="O344" t="inlineStr">
        <is>
          <t>1980</t>
        </is>
      </c>
      <c r="Q344" t="inlineStr">
        <is>
          <t>eng</t>
        </is>
      </c>
      <c r="R344" t="inlineStr">
        <is>
          <t>ctu</t>
        </is>
      </c>
      <c r="T344" t="inlineStr">
        <is>
          <t xml:space="preserve">CT </t>
        </is>
      </c>
      <c r="U344" t="n">
        <v>7</v>
      </c>
      <c r="V344" t="n">
        <v>7</v>
      </c>
      <c r="W344" t="inlineStr">
        <is>
          <t>2000-04-27</t>
        </is>
      </c>
      <c r="X344" t="inlineStr">
        <is>
          <t>2000-04-27</t>
        </is>
      </c>
      <c r="Y344" t="inlineStr">
        <is>
          <t>1990-03-21</t>
        </is>
      </c>
      <c r="Z344" t="inlineStr">
        <is>
          <t>1990-03-21</t>
        </is>
      </c>
      <c r="AA344" t="n">
        <v>926</v>
      </c>
      <c r="AB344" t="n">
        <v>756</v>
      </c>
      <c r="AC344" t="n">
        <v>758</v>
      </c>
      <c r="AD344" t="n">
        <v>7</v>
      </c>
      <c r="AE344" t="n">
        <v>7</v>
      </c>
      <c r="AF344" t="n">
        <v>40</v>
      </c>
      <c r="AG344" t="n">
        <v>40</v>
      </c>
      <c r="AH344" t="n">
        <v>16</v>
      </c>
      <c r="AI344" t="n">
        <v>16</v>
      </c>
      <c r="AJ344" t="n">
        <v>8</v>
      </c>
      <c r="AK344" t="n">
        <v>8</v>
      </c>
      <c r="AL344" t="n">
        <v>20</v>
      </c>
      <c r="AM344" t="n">
        <v>20</v>
      </c>
      <c r="AN344" t="n">
        <v>6</v>
      </c>
      <c r="AO344" t="n">
        <v>6</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HYPERLINK("https://creighton-primo.hosted.exlibrisgroup.com/primo-explore/search?tab=default_tab&amp;search_scope=EVERYTHING&amp;vid=01CRU&amp;lang=en_US&amp;offset=0&amp;query=any,contains,991004845849702656","Catalog Record")</f>
        <v/>
      </c>
      <c r="AV344">
        <f>HYPERLINK("http://www.worldcat.org/oclc/5564314","WorldCat Record")</f>
        <v/>
      </c>
      <c r="AW344" t="inlineStr">
        <is>
          <t>863899271:eng</t>
        </is>
      </c>
      <c r="AX344" t="inlineStr">
        <is>
          <t>5564314</t>
        </is>
      </c>
      <c r="AY344" t="inlineStr">
        <is>
          <t>991004845849702656</t>
        </is>
      </c>
      <c r="AZ344" t="inlineStr">
        <is>
          <t>991004845849702656</t>
        </is>
      </c>
      <c r="BA344" t="inlineStr">
        <is>
          <t>2266433700002656</t>
        </is>
      </c>
      <c r="BB344" t="inlineStr">
        <is>
          <t>BOOK</t>
        </is>
      </c>
      <c r="BD344" t="inlineStr">
        <is>
          <t>9780300024739</t>
        </is>
      </c>
      <c r="BE344" t="inlineStr">
        <is>
          <t>32285000089291</t>
        </is>
      </c>
      <c r="BF344" t="inlineStr">
        <is>
          <t>893876643</t>
        </is>
      </c>
    </row>
    <row r="345">
      <c r="B345" t="inlineStr">
        <is>
          <t>CURAL</t>
        </is>
      </c>
      <c r="C345" t="inlineStr">
        <is>
          <t>SHELVES</t>
        </is>
      </c>
      <c r="D345" t="inlineStr">
        <is>
          <t>CT25 .W6</t>
        </is>
      </c>
      <c r="E345" t="inlineStr">
        <is>
          <t>0                      CT 0025000W  6</t>
        </is>
      </c>
      <c r="F345" t="inlineStr">
        <is>
          <t>Women's autobiography : essays in criticism / edited with an introd. by Estelle C. Jelinek.</t>
        </is>
      </c>
      <c r="H345" t="inlineStr">
        <is>
          <t>No</t>
        </is>
      </c>
      <c r="I345" t="inlineStr">
        <is>
          <t>1</t>
        </is>
      </c>
      <c r="J345" t="inlineStr">
        <is>
          <t>No</t>
        </is>
      </c>
      <c r="K345" t="inlineStr">
        <is>
          <t>No</t>
        </is>
      </c>
      <c r="L345" t="inlineStr">
        <is>
          <t>0</t>
        </is>
      </c>
      <c r="N345" t="inlineStr">
        <is>
          <t>Bloomington : Indiana University Press, 1980.</t>
        </is>
      </c>
      <c r="O345" t="inlineStr">
        <is>
          <t>1980</t>
        </is>
      </c>
      <c r="P345" t="inlineStr">
        <is>
          <t>1st Midland Book ed.</t>
        </is>
      </c>
      <c r="Q345" t="inlineStr">
        <is>
          <t>eng</t>
        </is>
      </c>
      <c r="R345" t="inlineStr">
        <is>
          <t>inu</t>
        </is>
      </c>
      <c r="T345" t="inlineStr">
        <is>
          <t xml:space="preserve">CT </t>
        </is>
      </c>
      <c r="U345" t="n">
        <v>1</v>
      </c>
      <c r="V345" t="n">
        <v>1</v>
      </c>
      <c r="W345" t="inlineStr">
        <is>
          <t>2006-03-20</t>
        </is>
      </c>
      <c r="X345" t="inlineStr">
        <is>
          <t>2006-03-20</t>
        </is>
      </c>
      <c r="Y345" t="inlineStr">
        <is>
          <t>1991-10-31</t>
        </is>
      </c>
      <c r="Z345" t="inlineStr">
        <is>
          <t>1991-10-31</t>
        </is>
      </c>
      <c r="AA345" t="n">
        <v>828</v>
      </c>
      <c r="AB345" t="n">
        <v>712</v>
      </c>
      <c r="AC345" t="n">
        <v>725</v>
      </c>
      <c r="AD345" t="n">
        <v>5</v>
      </c>
      <c r="AE345" t="n">
        <v>5</v>
      </c>
      <c r="AF345" t="n">
        <v>33</v>
      </c>
      <c r="AG345" t="n">
        <v>33</v>
      </c>
      <c r="AH345" t="n">
        <v>12</v>
      </c>
      <c r="AI345" t="n">
        <v>12</v>
      </c>
      <c r="AJ345" t="n">
        <v>11</v>
      </c>
      <c r="AK345" t="n">
        <v>11</v>
      </c>
      <c r="AL345" t="n">
        <v>17</v>
      </c>
      <c r="AM345" t="n">
        <v>17</v>
      </c>
      <c r="AN345" t="n">
        <v>4</v>
      </c>
      <c r="AO345" t="n">
        <v>4</v>
      </c>
      <c r="AP345" t="n">
        <v>0</v>
      </c>
      <c r="AQ345" t="n">
        <v>0</v>
      </c>
      <c r="AR345" t="inlineStr">
        <is>
          <t>No</t>
        </is>
      </c>
      <c r="AS345" t="inlineStr">
        <is>
          <t>Yes</t>
        </is>
      </c>
      <c r="AT345">
        <f>HYPERLINK("http://catalog.hathitrust.org/Record/101971908","HathiTrust Record")</f>
        <v/>
      </c>
      <c r="AU345">
        <f>HYPERLINK("https://creighton-primo.hosted.exlibrisgroup.com/primo-explore/search?tab=default_tab&amp;search_scope=EVERYTHING&amp;vid=01CRU&amp;lang=en_US&amp;offset=0&amp;query=any,contains,991004864579702656","Catalog Record")</f>
        <v/>
      </c>
      <c r="AV345">
        <f>HYPERLINK("http://www.worldcat.org/oclc/5726307","WorldCat Record")</f>
        <v/>
      </c>
      <c r="AW345" t="inlineStr">
        <is>
          <t>855291644:eng</t>
        </is>
      </c>
      <c r="AX345" t="inlineStr">
        <is>
          <t>5726307</t>
        </is>
      </c>
      <c r="AY345" t="inlineStr">
        <is>
          <t>991004864579702656</t>
        </is>
      </c>
      <c r="AZ345" t="inlineStr">
        <is>
          <t>991004864579702656</t>
        </is>
      </c>
      <c r="BA345" t="inlineStr">
        <is>
          <t>2263252310002656</t>
        </is>
      </c>
      <c r="BB345" t="inlineStr">
        <is>
          <t>BOOK</t>
        </is>
      </c>
      <c r="BD345" t="inlineStr">
        <is>
          <t>9780253191939</t>
        </is>
      </c>
      <c r="BE345" t="inlineStr">
        <is>
          <t>32285000804061</t>
        </is>
      </c>
      <c r="BF345" t="inlineStr">
        <is>
          <t>893254177</t>
        </is>
      </c>
    </row>
    <row r="346">
      <c r="B346" t="inlineStr">
        <is>
          <t>CURAL</t>
        </is>
      </c>
      <c r="C346" t="inlineStr">
        <is>
          <t>SHELVES</t>
        </is>
      </c>
      <c r="D346" t="inlineStr">
        <is>
          <t>CT2508.K94 A3 2001</t>
        </is>
      </c>
      <c r="E346" t="inlineStr">
        <is>
          <t>0                      CT 2508000K  94                 A  3           2001</t>
        </is>
      </c>
      <c r="F346" t="inlineStr">
        <is>
          <t>Our days dwindle : memories of my childhood days in Asante / T.E. Kyei ; edited with an introduction by Jean Allman.</t>
        </is>
      </c>
      <c r="H346" t="inlineStr">
        <is>
          <t>No</t>
        </is>
      </c>
      <c r="I346" t="inlineStr">
        <is>
          <t>1</t>
        </is>
      </c>
      <c r="J346" t="inlineStr">
        <is>
          <t>No</t>
        </is>
      </c>
      <c r="K346" t="inlineStr">
        <is>
          <t>No</t>
        </is>
      </c>
      <c r="L346" t="inlineStr">
        <is>
          <t>0</t>
        </is>
      </c>
      <c r="M346" t="inlineStr">
        <is>
          <t>Kyei, T. E. (Thomas E.)</t>
        </is>
      </c>
      <c r="N346" t="inlineStr">
        <is>
          <t>Portsmouth, NH : Heinemann, c2001.</t>
        </is>
      </c>
      <c r="O346" t="inlineStr">
        <is>
          <t>2001</t>
        </is>
      </c>
      <c r="Q346" t="inlineStr">
        <is>
          <t>eng</t>
        </is>
      </c>
      <c r="R346" t="inlineStr">
        <is>
          <t>nhu</t>
        </is>
      </c>
      <c r="T346" t="inlineStr">
        <is>
          <t xml:space="preserve">CT </t>
        </is>
      </c>
      <c r="U346" t="n">
        <v>1</v>
      </c>
      <c r="V346" t="n">
        <v>1</v>
      </c>
      <c r="W346" t="inlineStr">
        <is>
          <t>2002-04-23</t>
        </is>
      </c>
      <c r="X346" t="inlineStr">
        <is>
          <t>2002-04-23</t>
        </is>
      </c>
      <c r="Y346" t="inlineStr">
        <is>
          <t>2002-04-15</t>
        </is>
      </c>
      <c r="Z346" t="inlineStr">
        <is>
          <t>2002-04-15</t>
        </is>
      </c>
      <c r="AA346" t="n">
        <v>272</v>
      </c>
      <c r="AB346" t="n">
        <v>239</v>
      </c>
      <c r="AC346" t="n">
        <v>240</v>
      </c>
      <c r="AD346" t="n">
        <v>2</v>
      </c>
      <c r="AE346" t="n">
        <v>2</v>
      </c>
      <c r="AF346" t="n">
        <v>11</v>
      </c>
      <c r="AG346" t="n">
        <v>11</v>
      </c>
      <c r="AH346" t="n">
        <v>5</v>
      </c>
      <c r="AI346" t="n">
        <v>5</v>
      </c>
      <c r="AJ346" t="n">
        <v>4</v>
      </c>
      <c r="AK346" t="n">
        <v>4</v>
      </c>
      <c r="AL346" t="n">
        <v>5</v>
      </c>
      <c r="AM346" t="n">
        <v>5</v>
      </c>
      <c r="AN346" t="n">
        <v>1</v>
      </c>
      <c r="AO346" t="n">
        <v>1</v>
      </c>
      <c r="AP346" t="n">
        <v>0</v>
      </c>
      <c r="AQ346" t="n">
        <v>0</v>
      </c>
      <c r="AR346" t="inlineStr">
        <is>
          <t>No</t>
        </is>
      </c>
      <c r="AS346" t="inlineStr">
        <is>
          <t>Yes</t>
        </is>
      </c>
      <c r="AT346">
        <f>HYPERLINK("http://catalog.hathitrust.org/Record/004328148","HathiTrust Record")</f>
        <v/>
      </c>
      <c r="AU346">
        <f>HYPERLINK("https://creighton-primo.hosted.exlibrisgroup.com/primo-explore/search?tab=default_tab&amp;search_scope=EVERYTHING&amp;vid=01CRU&amp;lang=en_US&amp;offset=0&amp;query=any,contains,991003761139702656","Catalog Record")</f>
        <v/>
      </c>
      <c r="AV346">
        <f>HYPERLINK("http://www.worldcat.org/oclc/44969106","WorldCat Record")</f>
        <v/>
      </c>
      <c r="AW346" t="inlineStr">
        <is>
          <t>367177832:eng</t>
        </is>
      </c>
      <c r="AX346" t="inlineStr">
        <is>
          <t>44969106</t>
        </is>
      </c>
      <c r="AY346" t="inlineStr">
        <is>
          <t>991003761139702656</t>
        </is>
      </c>
      <c r="AZ346" t="inlineStr">
        <is>
          <t>991003761139702656</t>
        </is>
      </c>
      <c r="BA346" t="inlineStr">
        <is>
          <t>2265789600002656</t>
        </is>
      </c>
      <c r="BB346" t="inlineStr">
        <is>
          <t>BOOK</t>
        </is>
      </c>
      <c r="BD346" t="inlineStr">
        <is>
          <t>9780325002514</t>
        </is>
      </c>
      <c r="BE346" t="inlineStr">
        <is>
          <t>32285004479613</t>
        </is>
      </c>
      <c r="BF346" t="inlineStr">
        <is>
          <t>893353021</t>
        </is>
      </c>
    </row>
    <row r="347">
      <c r="B347" t="inlineStr">
        <is>
          <t>CURAL</t>
        </is>
      </c>
      <c r="C347" t="inlineStr">
        <is>
          <t>SHELVES</t>
        </is>
      </c>
      <c r="D347" t="inlineStr">
        <is>
          <t>CT274 .V35 1989</t>
        </is>
      </c>
      <c r="E347" t="inlineStr">
        <is>
          <t>0                      CT 0274000V  35          1989</t>
        </is>
      </c>
      <c r="F347" t="inlineStr">
        <is>
          <t>Fortune's children : the fall of the house of Vanderbilt / Arthur T. Vanderbilt II.</t>
        </is>
      </c>
      <c r="H347" t="inlineStr">
        <is>
          <t>No</t>
        </is>
      </c>
      <c r="I347" t="inlineStr">
        <is>
          <t>1</t>
        </is>
      </c>
      <c r="J347" t="inlineStr">
        <is>
          <t>No</t>
        </is>
      </c>
      <c r="K347" t="inlineStr">
        <is>
          <t>No</t>
        </is>
      </c>
      <c r="L347" t="inlineStr">
        <is>
          <t>0</t>
        </is>
      </c>
      <c r="M347" t="inlineStr">
        <is>
          <t>Vanderbilt, Arthur T., 1950-</t>
        </is>
      </c>
      <c r="N347" t="inlineStr">
        <is>
          <t>New York : Morrow, 1989.</t>
        </is>
      </c>
      <c r="O347" t="inlineStr">
        <is>
          <t>1989</t>
        </is>
      </c>
      <c r="P347" t="inlineStr">
        <is>
          <t>1st ed.</t>
        </is>
      </c>
      <c r="Q347" t="inlineStr">
        <is>
          <t>eng</t>
        </is>
      </c>
      <c r="R347" t="inlineStr">
        <is>
          <t>nyu</t>
        </is>
      </c>
      <c r="T347" t="inlineStr">
        <is>
          <t xml:space="preserve">CT </t>
        </is>
      </c>
      <c r="U347" t="n">
        <v>3</v>
      </c>
      <c r="V347" t="n">
        <v>3</v>
      </c>
      <c r="W347" t="inlineStr">
        <is>
          <t>1994-04-08</t>
        </is>
      </c>
      <c r="X347" t="inlineStr">
        <is>
          <t>1994-04-08</t>
        </is>
      </c>
      <c r="Y347" t="inlineStr">
        <is>
          <t>1989-10-23</t>
        </is>
      </c>
      <c r="Z347" t="inlineStr">
        <is>
          <t>1989-10-23</t>
        </is>
      </c>
      <c r="AA347" t="n">
        <v>1225</v>
      </c>
      <c r="AB347" t="n">
        <v>1192</v>
      </c>
      <c r="AC347" t="n">
        <v>1328</v>
      </c>
      <c r="AD347" t="n">
        <v>9</v>
      </c>
      <c r="AE347" t="n">
        <v>10</v>
      </c>
      <c r="AF347" t="n">
        <v>12</v>
      </c>
      <c r="AG347" t="n">
        <v>18</v>
      </c>
      <c r="AH347" t="n">
        <v>6</v>
      </c>
      <c r="AI347" t="n">
        <v>8</v>
      </c>
      <c r="AJ347" t="n">
        <v>0</v>
      </c>
      <c r="AK347" t="n">
        <v>1</v>
      </c>
      <c r="AL347" t="n">
        <v>6</v>
      </c>
      <c r="AM347" t="n">
        <v>9</v>
      </c>
      <c r="AN347" t="n">
        <v>2</v>
      </c>
      <c r="AO347" t="n">
        <v>2</v>
      </c>
      <c r="AP347" t="n">
        <v>0</v>
      </c>
      <c r="AQ347" t="n">
        <v>1</v>
      </c>
      <c r="AR347" t="inlineStr">
        <is>
          <t>No</t>
        </is>
      </c>
      <c r="AS347" t="inlineStr">
        <is>
          <t>Yes</t>
        </is>
      </c>
      <c r="AT347">
        <f>HYPERLINK("http://catalog.hathitrust.org/Record/101894354","HathiTrust Record")</f>
        <v/>
      </c>
      <c r="AU347">
        <f>HYPERLINK("https://creighton-primo.hosted.exlibrisgroup.com/primo-explore/search?tab=default_tab&amp;search_scope=EVERYTHING&amp;vid=01CRU&amp;lang=en_US&amp;offset=0&amp;query=any,contains,991001481129702656","Catalog Record")</f>
        <v/>
      </c>
      <c r="AV347">
        <f>HYPERLINK("http://www.worldcat.org/oclc/19625727","WorldCat Record")</f>
        <v/>
      </c>
      <c r="AW347" t="inlineStr">
        <is>
          <t>836871201:eng</t>
        </is>
      </c>
      <c r="AX347" t="inlineStr">
        <is>
          <t>19625727</t>
        </is>
      </c>
      <c r="AY347" t="inlineStr">
        <is>
          <t>991001481129702656</t>
        </is>
      </c>
      <c r="AZ347" t="inlineStr">
        <is>
          <t>991001481129702656</t>
        </is>
      </c>
      <c r="BA347" t="inlineStr">
        <is>
          <t>2265078050002656</t>
        </is>
      </c>
      <c r="BB347" t="inlineStr">
        <is>
          <t>BOOK</t>
        </is>
      </c>
      <c r="BD347" t="inlineStr">
        <is>
          <t>9780688072797</t>
        </is>
      </c>
      <c r="BE347" t="inlineStr">
        <is>
          <t>32285000004456</t>
        </is>
      </c>
      <c r="BF347" t="inlineStr">
        <is>
          <t>893522593</t>
        </is>
      </c>
    </row>
    <row r="348">
      <c r="B348" t="inlineStr">
        <is>
          <t>CURAL</t>
        </is>
      </c>
      <c r="C348" t="inlineStr">
        <is>
          <t>SHELVES</t>
        </is>
      </c>
      <c r="D348" t="inlineStr">
        <is>
          <t>CT274.B43 R83 1981</t>
        </is>
      </c>
      <c r="E348" t="inlineStr">
        <is>
          <t>0                      CT 0274000B  43                 R  83          1981</t>
        </is>
      </c>
      <c r="F348" t="inlineStr">
        <is>
          <t>The Beechers : an American family in the nineteenth century / Milton Rugoff.</t>
        </is>
      </c>
      <c r="H348" t="inlineStr">
        <is>
          <t>No</t>
        </is>
      </c>
      <c r="I348" t="inlineStr">
        <is>
          <t>1</t>
        </is>
      </c>
      <c r="J348" t="inlineStr">
        <is>
          <t>No</t>
        </is>
      </c>
      <c r="K348" t="inlineStr">
        <is>
          <t>No</t>
        </is>
      </c>
      <c r="L348" t="inlineStr">
        <is>
          <t>0</t>
        </is>
      </c>
      <c r="M348" t="inlineStr">
        <is>
          <t>Rugoff, Milton, 1913-</t>
        </is>
      </c>
      <c r="N348" t="inlineStr">
        <is>
          <t>New York : Harper &amp; Row, c1981.</t>
        </is>
      </c>
      <c r="O348" t="inlineStr">
        <is>
          <t>1981</t>
        </is>
      </c>
      <c r="P348" t="inlineStr">
        <is>
          <t>1st ed.</t>
        </is>
      </c>
      <c r="Q348" t="inlineStr">
        <is>
          <t>eng</t>
        </is>
      </c>
      <c r="R348" t="inlineStr">
        <is>
          <t>nyu</t>
        </is>
      </c>
      <c r="T348" t="inlineStr">
        <is>
          <t xml:space="preserve">CT </t>
        </is>
      </c>
      <c r="U348" t="n">
        <v>4</v>
      </c>
      <c r="V348" t="n">
        <v>4</v>
      </c>
      <c r="W348" t="inlineStr">
        <is>
          <t>1999-06-18</t>
        </is>
      </c>
      <c r="X348" t="inlineStr">
        <is>
          <t>1999-06-18</t>
        </is>
      </c>
      <c r="Y348" t="inlineStr">
        <is>
          <t>1992-06-08</t>
        </is>
      </c>
      <c r="Z348" t="inlineStr">
        <is>
          <t>1992-06-08</t>
        </is>
      </c>
      <c r="AA348" t="n">
        <v>1292</v>
      </c>
      <c r="AB348" t="n">
        <v>1221</v>
      </c>
      <c r="AC348" t="n">
        <v>1227</v>
      </c>
      <c r="AD348" t="n">
        <v>7</v>
      </c>
      <c r="AE348" t="n">
        <v>7</v>
      </c>
      <c r="AF348" t="n">
        <v>41</v>
      </c>
      <c r="AG348" t="n">
        <v>41</v>
      </c>
      <c r="AH348" t="n">
        <v>19</v>
      </c>
      <c r="AI348" t="n">
        <v>19</v>
      </c>
      <c r="AJ348" t="n">
        <v>8</v>
      </c>
      <c r="AK348" t="n">
        <v>8</v>
      </c>
      <c r="AL348" t="n">
        <v>18</v>
      </c>
      <c r="AM348" t="n">
        <v>18</v>
      </c>
      <c r="AN348" t="n">
        <v>6</v>
      </c>
      <c r="AO348" t="n">
        <v>6</v>
      </c>
      <c r="AP348" t="n">
        <v>0</v>
      </c>
      <c r="AQ348" t="n">
        <v>0</v>
      </c>
      <c r="AR348" t="inlineStr">
        <is>
          <t>No</t>
        </is>
      </c>
      <c r="AS348" t="inlineStr">
        <is>
          <t>Yes</t>
        </is>
      </c>
      <c r="AT348">
        <f>HYPERLINK("http://catalog.hathitrust.org/Record/000099914","HathiTrust Record")</f>
        <v/>
      </c>
      <c r="AU348">
        <f>HYPERLINK("https://creighton-primo.hosted.exlibrisgroup.com/primo-explore/search?tab=default_tab&amp;search_scope=EVERYTHING&amp;vid=01CRU&amp;lang=en_US&amp;offset=0&amp;query=any,contains,991005083879702656","Catalog Record")</f>
        <v/>
      </c>
      <c r="AV348">
        <f>HYPERLINK("http://www.worldcat.org/oclc/7177379","WorldCat Record")</f>
        <v/>
      </c>
      <c r="AW348" t="inlineStr">
        <is>
          <t>196067889:eng</t>
        </is>
      </c>
      <c r="AX348" t="inlineStr">
        <is>
          <t>7177379</t>
        </is>
      </c>
      <c r="AY348" t="inlineStr">
        <is>
          <t>991005083879702656</t>
        </is>
      </c>
      <c r="AZ348" t="inlineStr">
        <is>
          <t>991005083879702656</t>
        </is>
      </c>
      <c r="BA348" t="inlineStr">
        <is>
          <t>2271431530002656</t>
        </is>
      </c>
      <c r="BB348" t="inlineStr">
        <is>
          <t>BOOK</t>
        </is>
      </c>
      <c r="BD348" t="inlineStr">
        <is>
          <t>9780060148591</t>
        </is>
      </c>
      <c r="BE348" t="inlineStr">
        <is>
          <t>32285001165504</t>
        </is>
      </c>
      <c r="BF348" t="inlineStr">
        <is>
          <t>893870486</t>
        </is>
      </c>
    </row>
    <row r="349">
      <c r="B349" t="inlineStr">
        <is>
          <t>CURAL</t>
        </is>
      </c>
      <c r="C349" t="inlineStr">
        <is>
          <t>SHELVES</t>
        </is>
      </c>
      <c r="D349" t="inlineStr">
        <is>
          <t>CT274.C74 C74 1986</t>
        </is>
      </c>
      <c r="E349" t="inlineStr">
        <is>
          <t>0                      CT 0274000C  74                 C  74          1986</t>
        </is>
      </c>
      <c r="F349" t="inlineStr">
        <is>
          <t>Those days : an American album / by Richard Critchfield.</t>
        </is>
      </c>
      <c r="H349" t="inlineStr">
        <is>
          <t>No</t>
        </is>
      </c>
      <c r="I349" t="inlineStr">
        <is>
          <t>1</t>
        </is>
      </c>
      <c r="J349" t="inlineStr">
        <is>
          <t>No</t>
        </is>
      </c>
      <c r="K349" t="inlineStr">
        <is>
          <t>No</t>
        </is>
      </c>
      <c r="L349" t="inlineStr">
        <is>
          <t>0</t>
        </is>
      </c>
      <c r="M349" t="inlineStr">
        <is>
          <t>Critchfield, Richard.</t>
        </is>
      </c>
      <c r="N349" t="inlineStr">
        <is>
          <t>Garden City, N.Y. : Anchor Press/Doubleday, 1986.</t>
        </is>
      </c>
      <c r="O349" t="inlineStr">
        <is>
          <t>1986</t>
        </is>
      </c>
      <c r="P349" t="inlineStr">
        <is>
          <t>1st ed.</t>
        </is>
      </c>
      <c r="Q349" t="inlineStr">
        <is>
          <t>eng</t>
        </is>
      </c>
      <c r="R349" t="inlineStr">
        <is>
          <t>nyu</t>
        </is>
      </c>
      <c r="T349" t="inlineStr">
        <is>
          <t xml:space="preserve">CT </t>
        </is>
      </c>
      <c r="U349" t="n">
        <v>2</v>
      </c>
      <c r="V349" t="n">
        <v>2</v>
      </c>
      <c r="W349" t="inlineStr">
        <is>
          <t>2010-02-17</t>
        </is>
      </c>
      <c r="X349" t="inlineStr">
        <is>
          <t>2010-02-17</t>
        </is>
      </c>
      <c r="Y349" t="inlineStr">
        <is>
          <t>1992-06-08</t>
        </is>
      </c>
      <c r="Z349" t="inlineStr">
        <is>
          <t>1992-06-08</t>
        </is>
      </c>
      <c r="AA349" t="n">
        <v>796</v>
      </c>
      <c r="AB349" t="n">
        <v>774</v>
      </c>
      <c r="AC349" t="n">
        <v>850</v>
      </c>
      <c r="AD349" t="n">
        <v>10</v>
      </c>
      <c r="AE349" t="n">
        <v>11</v>
      </c>
      <c r="AF349" t="n">
        <v>16</v>
      </c>
      <c r="AG349" t="n">
        <v>17</v>
      </c>
      <c r="AH349" t="n">
        <v>4</v>
      </c>
      <c r="AI349" t="n">
        <v>5</v>
      </c>
      <c r="AJ349" t="n">
        <v>4</v>
      </c>
      <c r="AK349" t="n">
        <v>4</v>
      </c>
      <c r="AL349" t="n">
        <v>8</v>
      </c>
      <c r="AM349" t="n">
        <v>9</v>
      </c>
      <c r="AN349" t="n">
        <v>4</v>
      </c>
      <c r="AO349" t="n">
        <v>4</v>
      </c>
      <c r="AP349" t="n">
        <v>0</v>
      </c>
      <c r="AQ349" t="n">
        <v>0</v>
      </c>
      <c r="AR349" t="inlineStr">
        <is>
          <t>No</t>
        </is>
      </c>
      <c r="AS349" t="inlineStr">
        <is>
          <t>Yes</t>
        </is>
      </c>
      <c r="AT349">
        <f>HYPERLINK("http://catalog.hathitrust.org/Record/000383756","HathiTrust Record")</f>
        <v/>
      </c>
      <c r="AU349">
        <f>HYPERLINK("https://creighton-primo.hosted.exlibrisgroup.com/primo-explore/search?tab=default_tab&amp;search_scope=EVERYTHING&amp;vid=01CRU&amp;lang=en_US&amp;offset=0&amp;query=any,contains,991000600759702656","Catalog Record")</f>
        <v/>
      </c>
      <c r="AV349">
        <f>HYPERLINK("http://www.worldcat.org/oclc/11841067","WorldCat Record")</f>
        <v/>
      </c>
      <c r="AW349" t="inlineStr">
        <is>
          <t>4702919:eng</t>
        </is>
      </c>
      <c r="AX349" t="inlineStr">
        <is>
          <t>11841067</t>
        </is>
      </c>
      <c r="AY349" t="inlineStr">
        <is>
          <t>991000600759702656</t>
        </is>
      </c>
      <c r="AZ349" t="inlineStr">
        <is>
          <t>991000600759702656</t>
        </is>
      </c>
      <c r="BA349" t="inlineStr">
        <is>
          <t>2264509470002656</t>
        </is>
      </c>
      <c r="BB349" t="inlineStr">
        <is>
          <t>BOOK</t>
        </is>
      </c>
      <c r="BD349" t="inlineStr">
        <is>
          <t>9780385199698</t>
        </is>
      </c>
      <c r="BE349" t="inlineStr">
        <is>
          <t>32285001165546</t>
        </is>
      </c>
      <c r="BF349" t="inlineStr">
        <is>
          <t>893608086</t>
        </is>
      </c>
    </row>
    <row r="350">
      <c r="B350" t="inlineStr">
        <is>
          <t>CURAL</t>
        </is>
      </c>
      <c r="C350" t="inlineStr">
        <is>
          <t>SHELVES</t>
        </is>
      </c>
      <c r="D350" t="inlineStr">
        <is>
          <t>CT274.F64 F64 1993</t>
        </is>
      </c>
      <c r="E350" t="inlineStr">
        <is>
          <t>0                      CT 0274000F  64                 F  64          1993</t>
        </is>
      </c>
      <c r="F350" t="inlineStr">
        <is>
          <t>Do butterfies have ears? : . . . and other family lore / by Hugh A. Fogarty.</t>
        </is>
      </c>
      <c r="H350" t="inlineStr">
        <is>
          <t>No</t>
        </is>
      </c>
      <c r="I350" t="inlineStr">
        <is>
          <t>1</t>
        </is>
      </c>
      <c r="J350" t="inlineStr">
        <is>
          <t>No</t>
        </is>
      </c>
      <c r="K350" t="inlineStr">
        <is>
          <t>No</t>
        </is>
      </c>
      <c r="L350" t="inlineStr">
        <is>
          <t>0</t>
        </is>
      </c>
      <c r="M350" t="inlineStr">
        <is>
          <t>Fogarty, Hugh A. (Hugh Aloysius), 1907-</t>
        </is>
      </c>
      <c r="N350" t="inlineStr">
        <is>
          <t>Omaha, Neb. : Hugh A. Fogarty, c1993.</t>
        </is>
      </c>
      <c r="O350" t="inlineStr">
        <is>
          <t>1993</t>
        </is>
      </c>
      <c r="P350" t="inlineStr">
        <is>
          <t>1st ed.</t>
        </is>
      </c>
      <c r="Q350" t="inlineStr">
        <is>
          <t>eng</t>
        </is>
      </c>
      <c r="R350" t="inlineStr">
        <is>
          <t>nbu</t>
        </is>
      </c>
      <c r="T350" t="inlineStr">
        <is>
          <t xml:space="preserve">CT </t>
        </is>
      </c>
      <c r="U350" t="n">
        <v>3</v>
      </c>
      <c r="V350" t="n">
        <v>3</v>
      </c>
      <c r="W350" t="inlineStr">
        <is>
          <t>2007-06-08</t>
        </is>
      </c>
      <c r="X350" t="inlineStr">
        <is>
          <t>2007-06-08</t>
        </is>
      </c>
      <c r="Y350" t="inlineStr">
        <is>
          <t>1994-07-25</t>
        </is>
      </c>
      <c r="Z350" t="inlineStr">
        <is>
          <t>1994-07-25</t>
        </is>
      </c>
      <c r="AA350" t="n">
        <v>2</v>
      </c>
      <c r="AB350" t="n">
        <v>2</v>
      </c>
      <c r="AC350" t="n">
        <v>2</v>
      </c>
      <c r="AD350" t="n">
        <v>2</v>
      </c>
      <c r="AE350" t="n">
        <v>2</v>
      </c>
      <c r="AF350" t="n">
        <v>0</v>
      </c>
      <c r="AG350" t="n">
        <v>0</v>
      </c>
      <c r="AH350" t="n">
        <v>0</v>
      </c>
      <c r="AI350" t="n">
        <v>0</v>
      </c>
      <c r="AJ350" t="n">
        <v>0</v>
      </c>
      <c r="AK350" t="n">
        <v>0</v>
      </c>
      <c r="AL350" t="n">
        <v>0</v>
      </c>
      <c r="AM350" t="n">
        <v>0</v>
      </c>
      <c r="AN350" t="n">
        <v>0</v>
      </c>
      <c r="AO350" t="n">
        <v>0</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HYPERLINK("https://creighton-primo.hosted.exlibrisgroup.com/primo-explore/search?tab=default_tab&amp;search_scope=EVERYTHING&amp;vid=01CRU&amp;lang=en_US&amp;offset=0&amp;query=any,contains,991002339639702656","Catalog Record")</f>
        <v/>
      </c>
      <c r="AV350">
        <f>HYPERLINK("http://www.worldcat.org/oclc/30467073","WorldCat Record")</f>
        <v/>
      </c>
      <c r="AW350" t="inlineStr">
        <is>
          <t>32251608:eng</t>
        </is>
      </c>
      <c r="AX350" t="inlineStr">
        <is>
          <t>30467073</t>
        </is>
      </c>
      <c r="AY350" t="inlineStr">
        <is>
          <t>991002339639702656</t>
        </is>
      </c>
      <c r="AZ350" t="inlineStr">
        <is>
          <t>991002339639702656</t>
        </is>
      </c>
      <c r="BA350" t="inlineStr">
        <is>
          <t>2265747760002656</t>
        </is>
      </c>
      <c r="BB350" t="inlineStr">
        <is>
          <t>BOOK</t>
        </is>
      </c>
      <c r="BD350" t="inlineStr">
        <is>
          <t>9780963696601</t>
        </is>
      </c>
      <c r="BE350" t="inlineStr">
        <is>
          <t>32285001918704</t>
        </is>
      </c>
      <c r="BF350" t="inlineStr">
        <is>
          <t>893517183</t>
        </is>
      </c>
    </row>
    <row r="351">
      <c r="B351" t="inlineStr">
        <is>
          <t>CURAL</t>
        </is>
      </c>
      <c r="C351" t="inlineStr">
        <is>
          <t>SHELVES</t>
        </is>
      </c>
      <c r="D351" t="inlineStr">
        <is>
          <t>CT274.F75 F73 1994</t>
        </is>
      </c>
      <c r="E351" t="inlineStr">
        <is>
          <t>0                      CT 0274000F  75                 F  73          1994</t>
        </is>
      </c>
      <c r="F351" t="inlineStr">
        <is>
          <t>Family / Ian Frazier.</t>
        </is>
      </c>
      <c r="H351" t="inlineStr">
        <is>
          <t>No</t>
        </is>
      </c>
      <c r="I351" t="inlineStr">
        <is>
          <t>1</t>
        </is>
      </c>
      <c r="J351" t="inlineStr">
        <is>
          <t>No</t>
        </is>
      </c>
      <c r="K351" t="inlineStr">
        <is>
          <t>No</t>
        </is>
      </c>
      <c r="L351" t="inlineStr">
        <is>
          <t>0</t>
        </is>
      </c>
      <c r="M351" t="inlineStr">
        <is>
          <t>Frazier, Ian.</t>
        </is>
      </c>
      <c r="N351" t="inlineStr">
        <is>
          <t>New York : Farrar, Straus and Giroux, 1994.</t>
        </is>
      </c>
      <c r="O351" t="inlineStr">
        <is>
          <t>1994</t>
        </is>
      </c>
      <c r="P351" t="inlineStr">
        <is>
          <t>1st ed.</t>
        </is>
      </c>
      <c r="Q351" t="inlineStr">
        <is>
          <t>eng</t>
        </is>
      </c>
      <c r="R351" t="inlineStr">
        <is>
          <t>nyu</t>
        </is>
      </c>
      <c r="T351" t="inlineStr">
        <is>
          <t xml:space="preserve">CT </t>
        </is>
      </c>
      <c r="U351" t="n">
        <v>3</v>
      </c>
      <c r="V351" t="n">
        <v>3</v>
      </c>
      <c r="W351" t="inlineStr">
        <is>
          <t>1995-02-07</t>
        </is>
      </c>
      <c r="X351" t="inlineStr">
        <is>
          <t>1995-02-07</t>
        </is>
      </c>
      <c r="Y351" t="inlineStr">
        <is>
          <t>1994-11-22</t>
        </is>
      </c>
      <c r="Z351" t="inlineStr">
        <is>
          <t>1994-11-22</t>
        </is>
      </c>
      <c r="AA351" t="n">
        <v>941</v>
      </c>
      <c r="AB351" t="n">
        <v>914</v>
      </c>
      <c r="AC351" t="n">
        <v>1046</v>
      </c>
      <c r="AD351" t="n">
        <v>12</v>
      </c>
      <c r="AE351" t="n">
        <v>15</v>
      </c>
      <c r="AF351" t="n">
        <v>23</v>
      </c>
      <c r="AG351" t="n">
        <v>26</v>
      </c>
      <c r="AH351" t="n">
        <v>7</v>
      </c>
      <c r="AI351" t="n">
        <v>7</v>
      </c>
      <c r="AJ351" t="n">
        <v>6</v>
      </c>
      <c r="AK351" t="n">
        <v>7</v>
      </c>
      <c r="AL351" t="n">
        <v>10</v>
      </c>
      <c r="AM351" t="n">
        <v>11</v>
      </c>
      <c r="AN351" t="n">
        <v>6</v>
      </c>
      <c r="AO351" t="n">
        <v>7</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HYPERLINK("https://creighton-primo.hosted.exlibrisgroup.com/primo-explore/search?tab=default_tab&amp;search_scope=EVERYTHING&amp;vid=01CRU&amp;lang=en_US&amp;offset=0&amp;query=any,contains,991002328559702656","Catalog Record")</f>
        <v/>
      </c>
      <c r="AV351">
        <f>HYPERLINK("http://www.worldcat.org/oclc/30318916","WorldCat Record")</f>
        <v/>
      </c>
      <c r="AW351" t="inlineStr">
        <is>
          <t>32266881:eng</t>
        </is>
      </c>
      <c r="AX351" t="inlineStr">
        <is>
          <t>30318916</t>
        </is>
      </c>
      <c r="AY351" t="inlineStr">
        <is>
          <t>991002328559702656</t>
        </is>
      </c>
      <c r="AZ351" t="inlineStr">
        <is>
          <t>991002328559702656</t>
        </is>
      </c>
      <c r="BA351" t="inlineStr">
        <is>
          <t>2265343240002656</t>
        </is>
      </c>
      <c r="BB351" t="inlineStr">
        <is>
          <t>BOOK</t>
        </is>
      </c>
      <c r="BD351" t="inlineStr">
        <is>
          <t>9780374153199</t>
        </is>
      </c>
      <c r="BE351" t="inlineStr">
        <is>
          <t>32285001959096</t>
        </is>
      </c>
      <c r="BF351" t="inlineStr">
        <is>
          <t>893804481</t>
        </is>
      </c>
    </row>
    <row r="352">
      <c r="B352" t="inlineStr">
        <is>
          <t>CURAL</t>
        </is>
      </c>
      <c r="C352" t="inlineStr">
        <is>
          <t>SHELVES</t>
        </is>
      </c>
      <c r="D352" t="inlineStr">
        <is>
          <t>CT274.G84 U54 2005</t>
        </is>
      </c>
      <c r="E352" t="inlineStr">
        <is>
          <t>0                      CT 0274000G  84                 U  54          2005</t>
        </is>
      </c>
      <c r="F352" t="inlineStr">
        <is>
          <t>The Guggenheims : a family history / Irwin Unger and Debi Unger.</t>
        </is>
      </c>
      <c r="H352" t="inlineStr">
        <is>
          <t>No</t>
        </is>
      </c>
      <c r="I352" t="inlineStr">
        <is>
          <t>1</t>
        </is>
      </c>
      <c r="J352" t="inlineStr">
        <is>
          <t>No</t>
        </is>
      </c>
      <c r="K352" t="inlineStr">
        <is>
          <t>No</t>
        </is>
      </c>
      <c r="L352" t="inlineStr">
        <is>
          <t>0</t>
        </is>
      </c>
      <c r="M352" t="inlineStr">
        <is>
          <t>Unger, Irwin.</t>
        </is>
      </c>
      <c r="N352" t="inlineStr">
        <is>
          <t>New York : HarperCollins, c2005.</t>
        </is>
      </c>
      <c r="O352" t="inlineStr">
        <is>
          <t>2005</t>
        </is>
      </c>
      <c r="P352" t="inlineStr">
        <is>
          <t>1st ed.</t>
        </is>
      </c>
      <c r="Q352" t="inlineStr">
        <is>
          <t>eng</t>
        </is>
      </c>
      <c r="R352" t="inlineStr">
        <is>
          <t>nyu</t>
        </is>
      </c>
      <c r="T352" t="inlineStr">
        <is>
          <t xml:space="preserve">CT </t>
        </is>
      </c>
      <c r="U352" t="n">
        <v>1</v>
      </c>
      <c r="V352" t="n">
        <v>1</v>
      </c>
      <c r="W352" t="inlineStr">
        <is>
          <t>2006-04-18</t>
        </is>
      </c>
      <c r="X352" t="inlineStr">
        <is>
          <t>2006-04-18</t>
        </is>
      </c>
      <c r="Y352" t="inlineStr">
        <is>
          <t>2005-03-21</t>
        </is>
      </c>
      <c r="Z352" t="inlineStr">
        <is>
          <t>2005-03-21</t>
        </is>
      </c>
      <c r="AA352" t="n">
        <v>573</v>
      </c>
      <c r="AB352" t="n">
        <v>532</v>
      </c>
      <c r="AC352" t="n">
        <v>571</v>
      </c>
      <c r="AD352" t="n">
        <v>2</v>
      </c>
      <c r="AE352" t="n">
        <v>2</v>
      </c>
      <c r="AF352" t="n">
        <v>8</v>
      </c>
      <c r="AG352" t="n">
        <v>9</v>
      </c>
      <c r="AH352" t="n">
        <v>2</v>
      </c>
      <c r="AI352" t="n">
        <v>3</v>
      </c>
      <c r="AJ352" t="n">
        <v>3</v>
      </c>
      <c r="AK352" t="n">
        <v>3</v>
      </c>
      <c r="AL352" t="n">
        <v>6</v>
      </c>
      <c r="AM352" t="n">
        <v>6</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HYPERLINK("https://creighton-primo.hosted.exlibrisgroup.com/primo-explore/search?tab=default_tab&amp;search_scope=EVERYTHING&amp;vid=01CRU&amp;lang=en_US&amp;offset=0&amp;query=any,contains,991004476479702656","Catalog Record")</f>
        <v/>
      </c>
      <c r="AV352">
        <f>HYPERLINK("http://www.worldcat.org/oclc/55962401","WorldCat Record")</f>
        <v/>
      </c>
      <c r="AW352" t="inlineStr">
        <is>
          <t>14315199:eng</t>
        </is>
      </c>
      <c r="AX352" t="inlineStr">
        <is>
          <t>55962401</t>
        </is>
      </c>
      <c r="AY352" t="inlineStr">
        <is>
          <t>991004476479702656</t>
        </is>
      </c>
      <c r="AZ352" t="inlineStr">
        <is>
          <t>991004476479702656</t>
        </is>
      </c>
      <c r="BA352" t="inlineStr">
        <is>
          <t>2264485690002656</t>
        </is>
      </c>
      <c r="BB352" t="inlineStr">
        <is>
          <t>BOOK</t>
        </is>
      </c>
      <c r="BD352" t="inlineStr">
        <is>
          <t>9780060188078</t>
        </is>
      </c>
      <c r="BE352" t="inlineStr">
        <is>
          <t>32285005043947</t>
        </is>
      </c>
      <c r="BF352" t="inlineStr">
        <is>
          <t>893606079</t>
        </is>
      </c>
    </row>
    <row r="353">
      <c r="B353" t="inlineStr">
        <is>
          <t>CURAL</t>
        </is>
      </c>
      <c r="C353" t="inlineStr">
        <is>
          <t>SHELVES</t>
        </is>
      </c>
      <c r="D353" t="inlineStr">
        <is>
          <t>CT274.P48 W93 1994</t>
        </is>
      </c>
      <c r="E353" t="inlineStr">
        <is>
          <t>0                      CT 0274000P  48                 W  93          1994</t>
        </is>
      </c>
      <c r="F353" t="inlineStr">
        <is>
          <t>The House of Percy : honor, melancholy, and imagination in a Southern family / Bertram Wyatt-Brown.</t>
        </is>
      </c>
      <c r="H353" t="inlineStr">
        <is>
          <t>No</t>
        </is>
      </c>
      <c r="I353" t="inlineStr">
        <is>
          <t>1</t>
        </is>
      </c>
      <c r="J353" t="inlineStr">
        <is>
          <t>No</t>
        </is>
      </c>
      <c r="K353" t="inlineStr">
        <is>
          <t>No</t>
        </is>
      </c>
      <c r="L353" t="inlineStr">
        <is>
          <t>0</t>
        </is>
      </c>
      <c r="M353" t="inlineStr">
        <is>
          <t>Wyatt-Brown, Bertram, 1932-2012.</t>
        </is>
      </c>
      <c r="N353" t="inlineStr">
        <is>
          <t>New York : Oxford University Press, 1994.</t>
        </is>
      </c>
      <c r="O353" t="inlineStr">
        <is>
          <t>1994</t>
        </is>
      </c>
      <c r="Q353" t="inlineStr">
        <is>
          <t>eng</t>
        </is>
      </c>
      <c r="R353" t="inlineStr">
        <is>
          <t>nyu</t>
        </is>
      </c>
      <c r="T353" t="inlineStr">
        <is>
          <t xml:space="preserve">CT </t>
        </is>
      </c>
      <c r="U353" t="n">
        <v>3</v>
      </c>
      <c r="V353" t="n">
        <v>3</v>
      </c>
      <c r="W353" t="inlineStr">
        <is>
          <t>1995-09-29</t>
        </is>
      </c>
      <c r="X353" t="inlineStr">
        <is>
          <t>1995-09-29</t>
        </is>
      </c>
      <c r="Y353" t="inlineStr">
        <is>
          <t>1995-08-21</t>
        </is>
      </c>
      <c r="Z353" t="inlineStr">
        <is>
          <t>1995-08-21</t>
        </is>
      </c>
      <c r="AA353" t="n">
        <v>607</v>
      </c>
      <c r="AB353" t="n">
        <v>565</v>
      </c>
      <c r="AC353" t="n">
        <v>622</v>
      </c>
      <c r="AD353" t="n">
        <v>2</v>
      </c>
      <c r="AE353" t="n">
        <v>2</v>
      </c>
      <c r="AF353" t="n">
        <v>23</v>
      </c>
      <c r="AG353" t="n">
        <v>25</v>
      </c>
      <c r="AH353" t="n">
        <v>9</v>
      </c>
      <c r="AI353" t="n">
        <v>9</v>
      </c>
      <c r="AJ353" t="n">
        <v>6</v>
      </c>
      <c r="AK353" t="n">
        <v>8</v>
      </c>
      <c r="AL353" t="n">
        <v>15</v>
      </c>
      <c r="AM353" t="n">
        <v>15</v>
      </c>
      <c r="AN353" t="n">
        <v>1</v>
      </c>
      <c r="AO353" t="n">
        <v>1</v>
      </c>
      <c r="AP353" t="n">
        <v>0</v>
      </c>
      <c r="AQ353" t="n">
        <v>0</v>
      </c>
      <c r="AR353" t="inlineStr">
        <is>
          <t>No</t>
        </is>
      </c>
      <c r="AS353" t="inlineStr">
        <is>
          <t>Yes</t>
        </is>
      </c>
      <c r="AT353">
        <f>HYPERLINK("http://catalog.hathitrust.org/Record/101961112","HathiTrust Record")</f>
        <v/>
      </c>
      <c r="AU353">
        <f>HYPERLINK("https://creighton-primo.hosted.exlibrisgroup.com/primo-explore/search?tab=default_tab&amp;search_scope=EVERYTHING&amp;vid=01CRU&amp;lang=en_US&amp;offset=0&amp;query=any,contains,991002200919702656","Catalog Record")</f>
        <v/>
      </c>
      <c r="AV353">
        <f>HYPERLINK("http://www.worldcat.org/oclc/28294789","WorldCat Record")</f>
        <v/>
      </c>
      <c r="AW353" t="inlineStr">
        <is>
          <t>797225175:eng</t>
        </is>
      </c>
      <c r="AX353" t="inlineStr">
        <is>
          <t>28294789</t>
        </is>
      </c>
      <c r="AY353" t="inlineStr">
        <is>
          <t>991002200919702656</t>
        </is>
      </c>
      <c r="AZ353" t="inlineStr">
        <is>
          <t>991002200919702656</t>
        </is>
      </c>
      <c r="BA353" t="inlineStr">
        <is>
          <t>2258899980002656</t>
        </is>
      </c>
      <c r="BB353" t="inlineStr">
        <is>
          <t>BOOK</t>
        </is>
      </c>
      <c r="BD353" t="inlineStr">
        <is>
          <t>9780195056266</t>
        </is>
      </c>
      <c r="BE353" t="inlineStr">
        <is>
          <t>32285002078300</t>
        </is>
      </c>
      <c r="BF353" t="inlineStr">
        <is>
          <t>893773326</t>
        </is>
      </c>
    </row>
    <row r="354">
      <c r="B354" t="inlineStr">
        <is>
          <t>CURAL</t>
        </is>
      </c>
      <c r="C354" t="inlineStr">
        <is>
          <t>SHELVES</t>
        </is>
      </c>
      <c r="D354" t="inlineStr">
        <is>
          <t>CT274.R59 H37 1988</t>
        </is>
      </c>
      <c r="E354" t="inlineStr">
        <is>
          <t>0                      CT 0274000R  59                 H  37          1988</t>
        </is>
      </c>
      <c r="F354" t="inlineStr">
        <is>
          <t>The Rockefeller century / John Ensor Harr and Peter J. Johnson.</t>
        </is>
      </c>
      <c r="H354" t="inlineStr">
        <is>
          <t>No</t>
        </is>
      </c>
      <c r="I354" t="inlineStr">
        <is>
          <t>1</t>
        </is>
      </c>
      <c r="J354" t="inlineStr">
        <is>
          <t>No</t>
        </is>
      </c>
      <c r="K354" t="inlineStr">
        <is>
          <t>No</t>
        </is>
      </c>
      <c r="L354" t="inlineStr">
        <is>
          <t>0</t>
        </is>
      </c>
      <c r="M354" t="inlineStr">
        <is>
          <t>Harr, John Ensor, 1926-</t>
        </is>
      </c>
      <c r="N354" t="inlineStr">
        <is>
          <t>New York : Scribner, c1988.</t>
        </is>
      </c>
      <c r="O354" t="inlineStr">
        <is>
          <t>1988</t>
        </is>
      </c>
      <c r="Q354" t="inlineStr">
        <is>
          <t>eng</t>
        </is>
      </c>
      <c r="R354" t="inlineStr">
        <is>
          <t>nyu</t>
        </is>
      </c>
      <c r="T354" t="inlineStr">
        <is>
          <t xml:space="preserve">CT </t>
        </is>
      </c>
      <c r="U354" t="n">
        <v>3</v>
      </c>
      <c r="V354" t="n">
        <v>3</v>
      </c>
      <c r="W354" t="inlineStr">
        <is>
          <t>2007-10-05</t>
        </is>
      </c>
      <c r="X354" t="inlineStr">
        <is>
          <t>2007-10-05</t>
        </is>
      </c>
      <c r="Y354" t="inlineStr">
        <is>
          <t>1990-02-16</t>
        </is>
      </c>
      <c r="Z354" t="inlineStr">
        <is>
          <t>1990-02-16</t>
        </is>
      </c>
      <c r="AA354" t="n">
        <v>942</v>
      </c>
      <c r="AB354" t="n">
        <v>893</v>
      </c>
      <c r="AC354" t="n">
        <v>906</v>
      </c>
      <c r="AD354" t="n">
        <v>6</v>
      </c>
      <c r="AE354" t="n">
        <v>6</v>
      </c>
      <c r="AF354" t="n">
        <v>22</v>
      </c>
      <c r="AG354" t="n">
        <v>22</v>
      </c>
      <c r="AH354" t="n">
        <v>10</v>
      </c>
      <c r="AI354" t="n">
        <v>10</v>
      </c>
      <c r="AJ354" t="n">
        <v>5</v>
      </c>
      <c r="AK354" t="n">
        <v>5</v>
      </c>
      <c r="AL354" t="n">
        <v>9</v>
      </c>
      <c r="AM354" t="n">
        <v>9</v>
      </c>
      <c r="AN354" t="n">
        <v>3</v>
      </c>
      <c r="AO354" t="n">
        <v>3</v>
      </c>
      <c r="AP354" t="n">
        <v>0</v>
      </c>
      <c r="AQ354" t="n">
        <v>0</v>
      </c>
      <c r="AR354" t="inlineStr">
        <is>
          <t>No</t>
        </is>
      </c>
      <c r="AS354" t="inlineStr">
        <is>
          <t>Yes</t>
        </is>
      </c>
      <c r="AT354">
        <f>HYPERLINK("http://catalog.hathitrust.org/Record/004465471","HathiTrust Record")</f>
        <v/>
      </c>
      <c r="AU354">
        <f>HYPERLINK("https://creighton-primo.hosted.exlibrisgroup.com/primo-explore/search?tab=default_tab&amp;search_scope=EVERYTHING&amp;vid=01CRU&amp;lang=en_US&amp;offset=0&amp;query=any,contains,991001187429702656","Catalog Record")</f>
        <v/>
      </c>
      <c r="AV354">
        <f>HYPERLINK("http://www.worldcat.org/oclc/17226950","WorldCat Record")</f>
        <v/>
      </c>
      <c r="AW354" t="inlineStr">
        <is>
          <t>15845412:eng</t>
        </is>
      </c>
      <c r="AX354" t="inlineStr">
        <is>
          <t>17226950</t>
        </is>
      </c>
      <c r="AY354" t="inlineStr">
        <is>
          <t>991001187429702656</t>
        </is>
      </c>
      <c r="AZ354" t="inlineStr">
        <is>
          <t>991001187429702656</t>
        </is>
      </c>
      <c r="BA354" t="inlineStr">
        <is>
          <t>2258769710002656</t>
        </is>
      </c>
      <c r="BB354" t="inlineStr">
        <is>
          <t>BOOK</t>
        </is>
      </c>
      <c r="BD354" t="inlineStr">
        <is>
          <t>9780684189369</t>
        </is>
      </c>
      <c r="BE354" t="inlineStr">
        <is>
          <t>32285000037928</t>
        </is>
      </c>
      <c r="BF354" t="inlineStr">
        <is>
          <t>893340227</t>
        </is>
      </c>
    </row>
    <row r="355">
      <c r="B355" t="inlineStr">
        <is>
          <t>CURAL</t>
        </is>
      </c>
      <c r="C355" t="inlineStr">
        <is>
          <t>SHELVES</t>
        </is>
      </c>
      <c r="D355" t="inlineStr">
        <is>
          <t>CT274.R59 H38 1991</t>
        </is>
      </c>
      <c r="E355" t="inlineStr">
        <is>
          <t>0                      CT 0274000R  59                 H  38          1991</t>
        </is>
      </c>
      <c r="F355" t="inlineStr">
        <is>
          <t>The Rockefeller conscience : an American family in public and in private / John Ensor Harr and Peter J. Johnson.</t>
        </is>
      </c>
      <c r="H355" t="inlineStr">
        <is>
          <t>No</t>
        </is>
      </c>
      <c r="I355" t="inlineStr">
        <is>
          <t>1</t>
        </is>
      </c>
      <c r="J355" t="inlineStr">
        <is>
          <t>No</t>
        </is>
      </c>
      <c r="K355" t="inlineStr">
        <is>
          <t>No</t>
        </is>
      </c>
      <c r="L355" t="inlineStr">
        <is>
          <t>0</t>
        </is>
      </c>
      <c r="M355" t="inlineStr">
        <is>
          <t>Harr, John Ensor, 1926-</t>
        </is>
      </c>
      <c r="N355" t="inlineStr">
        <is>
          <t>New York : Scribner ; Toronto : Maxwell Macmillan Canada ; New York : Maxwell Macmillan International, c1991.</t>
        </is>
      </c>
      <c r="O355" t="inlineStr">
        <is>
          <t>1991</t>
        </is>
      </c>
      <c r="Q355" t="inlineStr">
        <is>
          <t>eng</t>
        </is>
      </c>
      <c r="R355" t="inlineStr">
        <is>
          <t>nyu</t>
        </is>
      </c>
      <c r="T355" t="inlineStr">
        <is>
          <t xml:space="preserve">CT </t>
        </is>
      </c>
      <c r="U355" t="n">
        <v>1</v>
      </c>
      <c r="V355" t="n">
        <v>1</v>
      </c>
      <c r="W355" t="inlineStr">
        <is>
          <t>2007-10-05</t>
        </is>
      </c>
      <c r="X355" t="inlineStr">
        <is>
          <t>2007-10-05</t>
        </is>
      </c>
      <c r="Y355" t="inlineStr">
        <is>
          <t>1992-10-13</t>
        </is>
      </c>
      <c r="Z355" t="inlineStr">
        <is>
          <t>1992-10-13</t>
        </is>
      </c>
      <c r="AA355" t="n">
        <v>603</v>
      </c>
      <c r="AB355" t="n">
        <v>574</v>
      </c>
      <c r="AC355" t="n">
        <v>576</v>
      </c>
      <c r="AD355" t="n">
        <v>5</v>
      </c>
      <c r="AE355" t="n">
        <v>5</v>
      </c>
      <c r="AF355" t="n">
        <v>20</v>
      </c>
      <c r="AG355" t="n">
        <v>20</v>
      </c>
      <c r="AH355" t="n">
        <v>8</v>
      </c>
      <c r="AI355" t="n">
        <v>8</v>
      </c>
      <c r="AJ355" t="n">
        <v>4</v>
      </c>
      <c r="AK355" t="n">
        <v>4</v>
      </c>
      <c r="AL355" t="n">
        <v>13</v>
      </c>
      <c r="AM355" t="n">
        <v>13</v>
      </c>
      <c r="AN355" t="n">
        <v>2</v>
      </c>
      <c r="AO355" t="n">
        <v>2</v>
      </c>
      <c r="AP355" t="n">
        <v>0</v>
      </c>
      <c r="AQ355" t="n">
        <v>0</v>
      </c>
      <c r="AR355" t="inlineStr">
        <is>
          <t>No</t>
        </is>
      </c>
      <c r="AS355" t="inlineStr">
        <is>
          <t>Yes</t>
        </is>
      </c>
      <c r="AT355">
        <f>HYPERLINK("http://catalog.hathitrust.org/Record/002528499","HathiTrust Record")</f>
        <v/>
      </c>
      <c r="AU355">
        <f>HYPERLINK("https://creighton-primo.hosted.exlibrisgroup.com/primo-explore/search?tab=default_tab&amp;search_scope=EVERYTHING&amp;vid=01CRU&amp;lang=en_US&amp;offset=0&amp;query=any,contains,991001880219702656","Catalog Record")</f>
        <v/>
      </c>
      <c r="AV355">
        <f>HYPERLINK("http://www.worldcat.org/oclc/23731433","WorldCat Record")</f>
        <v/>
      </c>
      <c r="AW355" t="inlineStr">
        <is>
          <t>25305199:eng</t>
        </is>
      </c>
      <c r="AX355" t="inlineStr">
        <is>
          <t>23731433</t>
        </is>
      </c>
      <c r="AY355" t="inlineStr">
        <is>
          <t>991001880219702656</t>
        </is>
      </c>
      <c r="AZ355" t="inlineStr">
        <is>
          <t>991001880219702656</t>
        </is>
      </c>
      <c r="BA355" t="inlineStr">
        <is>
          <t>2266678420002656</t>
        </is>
      </c>
      <c r="BB355" t="inlineStr">
        <is>
          <t>BOOK</t>
        </is>
      </c>
      <c r="BD355" t="inlineStr">
        <is>
          <t>9780684193649</t>
        </is>
      </c>
      <c r="BE355" t="inlineStr">
        <is>
          <t>32285001316966</t>
        </is>
      </c>
      <c r="BF355" t="inlineStr">
        <is>
          <t>893872861</t>
        </is>
      </c>
    </row>
    <row r="356">
      <c r="B356" t="inlineStr">
        <is>
          <t>CURAL</t>
        </is>
      </c>
      <c r="C356" t="inlineStr">
        <is>
          <t>SHELVES</t>
        </is>
      </c>
      <c r="D356" t="inlineStr">
        <is>
          <t>CT274.Y39 K47 1994</t>
        </is>
      </c>
      <c r="E356" t="inlineStr">
        <is>
          <t>0                      CT 0274000Y  39                 K  47          1994</t>
        </is>
      </c>
      <c r="F356" t="inlineStr">
        <is>
          <t>Stubborn twig : three generations in the life of a Japanese American family / Lauren Kessler.</t>
        </is>
      </c>
      <c r="H356" t="inlineStr">
        <is>
          <t>No</t>
        </is>
      </c>
      <c r="I356" t="inlineStr">
        <is>
          <t>1</t>
        </is>
      </c>
      <c r="J356" t="inlineStr">
        <is>
          <t>No</t>
        </is>
      </c>
      <c r="K356" t="inlineStr">
        <is>
          <t>No</t>
        </is>
      </c>
      <c r="L356" t="inlineStr">
        <is>
          <t>0</t>
        </is>
      </c>
      <c r="M356" t="inlineStr">
        <is>
          <t>Kessler, Lauren.</t>
        </is>
      </c>
      <c r="N356" t="inlineStr">
        <is>
          <t>New York : Plume, c1994.</t>
        </is>
      </c>
      <c r="O356" t="inlineStr">
        <is>
          <t>1994</t>
        </is>
      </c>
      <c r="Q356" t="inlineStr">
        <is>
          <t>eng</t>
        </is>
      </c>
      <c r="R356" t="inlineStr">
        <is>
          <t>nyu</t>
        </is>
      </c>
      <c r="T356" t="inlineStr">
        <is>
          <t xml:space="preserve">CT </t>
        </is>
      </c>
      <c r="U356" t="n">
        <v>3</v>
      </c>
      <c r="V356" t="n">
        <v>3</v>
      </c>
      <c r="W356" t="inlineStr">
        <is>
          <t>2002-10-24</t>
        </is>
      </c>
      <c r="X356" t="inlineStr">
        <is>
          <t>2002-10-24</t>
        </is>
      </c>
      <c r="Y356" t="inlineStr">
        <is>
          <t>1996-10-21</t>
        </is>
      </c>
      <c r="Z356" t="inlineStr">
        <is>
          <t>1996-10-21</t>
        </is>
      </c>
      <c r="AA356" t="n">
        <v>160</v>
      </c>
      <c r="AB356" t="n">
        <v>147</v>
      </c>
      <c r="AC356" t="n">
        <v>934</v>
      </c>
      <c r="AD356" t="n">
        <v>3</v>
      </c>
      <c r="AE356" t="n">
        <v>6</v>
      </c>
      <c r="AF356" t="n">
        <v>8</v>
      </c>
      <c r="AG356" t="n">
        <v>33</v>
      </c>
      <c r="AH356" t="n">
        <v>2</v>
      </c>
      <c r="AI356" t="n">
        <v>13</v>
      </c>
      <c r="AJ356" t="n">
        <v>0</v>
      </c>
      <c r="AK356" t="n">
        <v>7</v>
      </c>
      <c r="AL356" t="n">
        <v>5</v>
      </c>
      <c r="AM356" t="n">
        <v>19</v>
      </c>
      <c r="AN356" t="n">
        <v>2</v>
      </c>
      <c r="AO356" t="n">
        <v>4</v>
      </c>
      <c r="AP356" t="n">
        <v>0</v>
      </c>
      <c r="AQ356" t="n">
        <v>0</v>
      </c>
      <c r="AR356" t="inlineStr">
        <is>
          <t>No</t>
        </is>
      </c>
      <c r="AS356" t="inlineStr">
        <is>
          <t>No</t>
        </is>
      </c>
      <c r="AU356">
        <f>HYPERLINK("https://creighton-primo.hosted.exlibrisgroup.com/primo-explore/search?tab=default_tab&amp;search_scope=EVERYTHING&amp;vid=01CRU&amp;lang=en_US&amp;offset=0&amp;query=any,contains,991002341429702656","Catalog Record")</f>
        <v/>
      </c>
      <c r="AV356">
        <f>HYPERLINK("http://www.worldcat.org/oclc/30476678","WorldCat Record")</f>
        <v/>
      </c>
      <c r="AW356" t="inlineStr">
        <is>
          <t>30790684:eng</t>
        </is>
      </c>
      <c r="AX356" t="inlineStr">
        <is>
          <t>30476678</t>
        </is>
      </c>
      <c r="AY356" t="inlineStr">
        <is>
          <t>991002341429702656</t>
        </is>
      </c>
      <c r="AZ356" t="inlineStr">
        <is>
          <t>991002341429702656</t>
        </is>
      </c>
      <c r="BA356" t="inlineStr">
        <is>
          <t>2260797440002656</t>
        </is>
      </c>
      <c r="BB356" t="inlineStr">
        <is>
          <t>BOOK</t>
        </is>
      </c>
      <c r="BD356" t="inlineStr">
        <is>
          <t>9780452273016</t>
        </is>
      </c>
      <c r="BE356" t="inlineStr">
        <is>
          <t>32285002367091</t>
        </is>
      </c>
      <c r="BF356" t="inlineStr">
        <is>
          <t>893792340</t>
        </is>
      </c>
    </row>
    <row r="357">
      <c r="B357" t="inlineStr">
        <is>
          <t>CURAL</t>
        </is>
      </c>
      <c r="C357" t="inlineStr">
        <is>
          <t>SHELVES</t>
        </is>
      </c>
      <c r="D357" t="inlineStr">
        <is>
          <t>CT275 .A64 2003</t>
        </is>
      </c>
      <c r="E357" t="inlineStr">
        <is>
          <t>0                      CT 0275000A  64          2003</t>
        </is>
      </c>
      <c r="F357" t="inlineStr">
        <is>
          <t>The dirtfarmer's son / Wayne Andersen.</t>
        </is>
      </c>
      <c r="H357" t="inlineStr">
        <is>
          <t>No</t>
        </is>
      </c>
      <c r="I357" t="inlineStr">
        <is>
          <t>1</t>
        </is>
      </c>
      <c r="J357" t="inlineStr">
        <is>
          <t>No</t>
        </is>
      </c>
      <c r="K357" t="inlineStr">
        <is>
          <t>No</t>
        </is>
      </c>
      <c r="L357" t="inlineStr">
        <is>
          <t>0</t>
        </is>
      </c>
      <c r="M357" t="inlineStr">
        <is>
          <t>Andersen, Wayne, 1928-2014.</t>
        </is>
      </c>
      <c r="N357" t="inlineStr">
        <is>
          <t>Geneva ; Boston : aEditions Fabriart, c2003.</t>
        </is>
      </c>
      <c r="O357" t="inlineStr">
        <is>
          <t>2003</t>
        </is>
      </c>
      <c r="Q357" t="inlineStr">
        <is>
          <t>eng</t>
        </is>
      </c>
      <c r="R357" t="inlineStr">
        <is>
          <t xml:space="preserve">sz </t>
        </is>
      </c>
      <c r="T357" t="inlineStr">
        <is>
          <t xml:space="preserve">CT </t>
        </is>
      </c>
      <c r="U357" t="n">
        <v>1</v>
      </c>
      <c r="V357" t="n">
        <v>1</v>
      </c>
      <c r="W357" t="inlineStr">
        <is>
          <t>2004-07-19</t>
        </is>
      </c>
      <c r="X357" t="inlineStr">
        <is>
          <t>2004-07-19</t>
        </is>
      </c>
      <c r="Y357" t="inlineStr">
        <is>
          <t>2004-07-18</t>
        </is>
      </c>
      <c r="Z357" t="inlineStr">
        <is>
          <t>2004-07-18</t>
        </is>
      </c>
      <c r="AA357" t="n">
        <v>73</v>
      </c>
      <c r="AB357" t="n">
        <v>72</v>
      </c>
      <c r="AC357" t="n">
        <v>73</v>
      </c>
      <c r="AD357" t="n">
        <v>1</v>
      </c>
      <c r="AE357" t="n">
        <v>1</v>
      </c>
      <c r="AF357" t="n">
        <v>0</v>
      </c>
      <c r="AG357" t="n">
        <v>0</v>
      </c>
      <c r="AH357" t="n">
        <v>0</v>
      </c>
      <c r="AI357" t="n">
        <v>0</v>
      </c>
      <c r="AJ357" t="n">
        <v>0</v>
      </c>
      <c r="AK357" t="n">
        <v>0</v>
      </c>
      <c r="AL357" t="n">
        <v>0</v>
      </c>
      <c r="AM357" t="n">
        <v>0</v>
      </c>
      <c r="AN357" t="n">
        <v>0</v>
      </c>
      <c r="AO357" t="n">
        <v>0</v>
      </c>
      <c r="AP357" t="n">
        <v>0</v>
      </c>
      <c r="AQ357" t="n">
        <v>0</v>
      </c>
      <c r="AR357" t="inlineStr">
        <is>
          <t>No</t>
        </is>
      </c>
      <c r="AS357" t="inlineStr">
        <is>
          <t>Yes</t>
        </is>
      </c>
      <c r="AT357">
        <f>HYPERLINK("http://catalog.hathitrust.org/Record/004727722","HathiTrust Record")</f>
        <v/>
      </c>
      <c r="AU357">
        <f>HYPERLINK("https://creighton-primo.hosted.exlibrisgroup.com/primo-explore/search?tab=default_tab&amp;search_scope=EVERYTHING&amp;vid=01CRU&amp;lang=en_US&amp;offset=0&amp;query=any,contains,991004324419702656","Catalog Record")</f>
        <v/>
      </c>
      <c r="AV357">
        <f>HYPERLINK("http://www.worldcat.org/oclc/54783862","WorldCat Record")</f>
        <v/>
      </c>
      <c r="AW357" t="inlineStr">
        <is>
          <t>751311:eng</t>
        </is>
      </c>
      <c r="AX357" t="inlineStr">
        <is>
          <t>54783862</t>
        </is>
      </c>
      <c r="AY357" t="inlineStr">
        <is>
          <t>991004324419702656</t>
        </is>
      </c>
      <c r="AZ357" t="inlineStr">
        <is>
          <t>991004324419702656</t>
        </is>
      </c>
      <c r="BA357" t="inlineStr">
        <is>
          <t>2272538830002656</t>
        </is>
      </c>
      <c r="BB357" t="inlineStr">
        <is>
          <t>BOOK</t>
        </is>
      </c>
      <c r="BD357" t="inlineStr">
        <is>
          <t>9780972557399</t>
        </is>
      </c>
      <c r="BE357" t="inlineStr">
        <is>
          <t>32285004923479</t>
        </is>
      </c>
      <c r="BF357" t="inlineStr">
        <is>
          <t>893423659</t>
        </is>
      </c>
    </row>
    <row r="358">
      <c r="B358" t="inlineStr">
        <is>
          <t>CURAL</t>
        </is>
      </c>
      <c r="C358" t="inlineStr">
        <is>
          <t>SHELVES</t>
        </is>
      </c>
      <c r="D358" t="inlineStr">
        <is>
          <t>CT275 .D3S7</t>
        </is>
      </c>
      <c r="E358" t="inlineStr">
        <is>
          <t>0                      CT 0275000D  3                  S  7</t>
        </is>
      </c>
      <c r="F358" t="inlineStr">
        <is>
          <t>Clarence Darrow for the defense : a biography / by Irving Stone.</t>
        </is>
      </c>
      <c r="H358" t="inlineStr">
        <is>
          <t>No</t>
        </is>
      </c>
      <c r="I358" t="inlineStr">
        <is>
          <t>1</t>
        </is>
      </c>
      <c r="J358" t="inlineStr">
        <is>
          <t>Yes</t>
        </is>
      </c>
      <c r="K358" t="inlineStr">
        <is>
          <t>No</t>
        </is>
      </c>
      <c r="L358" t="inlineStr">
        <is>
          <t>0</t>
        </is>
      </c>
      <c r="M358" t="inlineStr">
        <is>
          <t>Stone, Irving, 1903-1989.</t>
        </is>
      </c>
      <c r="N358" t="inlineStr">
        <is>
          <t>Garden City, N. Y. : Doubleday &amp; company, Inc., 1941.</t>
        </is>
      </c>
      <c r="O358" t="inlineStr">
        <is>
          <t>1941</t>
        </is>
      </c>
      <c r="P358" t="inlineStr">
        <is>
          <t>"First edition."</t>
        </is>
      </c>
      <c r="Q358" t="inlineStr">
        <is>
          <t>eng</t>
        </is>
      </c>
      <c r="R358" t="inlineStr">
        <is>
          <t>nyu</t>
        </is>
      </c>
      <c r="T358" t="inlineStr">
        <is>
          <t xml:space="preserve">CT </t>
        </is>
      </c>
      <c r="U358" t="n">
        <v>8</v>
      </c>
      <c r="V358" t="n">
        <v>8</v>
      </c>
      <c r="W358" t="inlineStr">
        <is>
          <t>2002-02-26</t>
        </is>
      </c>
      <c r="X358" t="inlineStr">
        <is>
          <t>2002-02-26</t>
        </is>
      </c>
      <c r="Y358" t="inlineStr">
        <is>
          <t>1990-08-20</t>
        </is>
      </c>
      <c r="Z358" t="inlineStr">
        <is>
          <t>1990-08-20</t>
        </is>
      </c>
      <c r="AA358" t="n">
        <v>1681</v>
      </c>
      <c r="AB358" t="n">
        <v>1611</v>
      </c>
      <c r="AC358" t="n">
        <v>2031</v>
      </c>
      <c r="AD358" t="n">
        <v>17</v>
      </c>
      <c r="AE358" t="n">
        <v>20</v>
      </c>
      <c r="AF358" t="n">
        <v>58</v>
      </c>
      <c r="AG358" t="n">
        <v>65</v>
      </c>
      <c r="AH358" t="n">
        <v>16</v>
      </c>
      <c r="AI358" t="n">
        <v>20</v>
      </c>
      <c r="AJ358" t="n">
        <v>7</v>
      </c>
      <c r="AK358" t="n">
        <v>8</v>
      </c>
      <c r="AL358" t="n">
        <v>14</v>
      </c>
      <c r="AM358" t="n">
        <v>15</v>
      </c>
      <c r="AN358" t="n">
        <v>8</v>
      </c>
      <c r="AO358" t="n">
        <v>9</v>
      </c>
      <c r="AP358" t="n">
        <v>19</v>
      </c>
      <c r="AQ358" t="n">
        <v>21</v>
      </c>
      <c r="AR358" t="inlineStr">
        <is>
          <t>No</t>
        </is>
      </c>
      <c r="AS358" t="inlineStr">
        <is>
          <t>Yes</t>
        </is>
      </c>
      <c r="AT358">
        <f>HYPERLINK("http://catalog.hathitrust.org/Record/001278350","HathiTrust Record")</f>
        <v/>
      </c>
      <c r="AU358">
        <f>HYPERLINK("https://creighton-primo.hosted.exlibrisgroup.com/primo-explore/search?tab=default_tab&amp;search_scope=EVERYTHING&amp;vid=01CRU&amp;lang=en_US&amp;offset=0&amp;query=any,contains,991004698739702656","Catalog Record")</f>
        <v/>
      </c>
      <c r="AV358">
        <f>HYPERLINK("http://www.worldcat.org/oclc/390077","WorldCat Record")</f>
        <v/>
      </c>
      <c r="AW358" t="inlineStr">
        <is>
          <t>4915173637:eng</t>
        </is>
      </c>
      <c r="AX358" t="inlineStr">
        <is>
          <t>390077</t>
        </is>
      </c>
      <c r="AY358" t="inlineStr">
        <is>
          <t>991004698739702656</t>
        </is>
      </c>
      <c r="AZ358" t="inlineStr">
        <is>
          <t>991004698739702656</t>
        </is>
      </c>
      <c r="BA358" t="inlineStr">
        <is>
          <t>2268892210002656</t>
        </is>
      </c>
      <c r="BB358" t="inlineStr">
        <is>
          <t>BOOK</t>
        </is>
      </c>
      <c r="BE358" t="inlineStr">
        <is>
          <t>32285000283829</t>
        </is>
      </c>
      <c r="BF358" t="inlineStr">
        <is>
          <t>893229723</t>
        </is>
      </c>
    </row>
    <row r="359">
      <c r="B359" t="inlineStr">
        <is>
          <t>CURAL</t>
        </is>
      </c>
      <c r="C359" t="inlineStr">
        <is>
          <t>SHELVES</t>
        </is>
      </c>
      <c r="D359" t="inlineStr">
        <is>
          <t>CT275 .V2356</t>
        </is>
      </c>
      <c r="E359" t="inlineStr">
        <is>
          <t>0                      CT 0275000V  2356</t>
        </is>
      </c>
      <c r="F359" t="inlineStr">
        <is>
          <t>Commodore Vanderbilt / by Arthur D. Howden Smith.</t>
        </is>
      </c>
      <c r="H359" t="inlineStr">
        <is>
          <t>No</t>
        </is>
      </c>
      <c r="I359" t="inlineStr">
        <is>
          <t>1</t>
        </is>
      </c>
      <c r="J359" t="inlineStr">
        <is>
          <t>No</t>
        </is>
      </c>
      <c r="K359" t="inlineStr">
        <is>
          <t>No</t>
        </is>
      </c>
      <c r="L359" t="inlineStr">
        <is>
          <t>0</t>
        </is>
      </c>
      <c r="M359" t="inlineStr">
        <is>
          <t>Smith, Arthur D. Howden (Arthur Douglas Howden), 1887-1945.</t>
        </is>
      </c>
      <c r="N359" t="inlineStr">
        <is>
          <t>New York : McBride, c1927.</t>
        </is>
      </c>
      <c r="O359" t="inlineStr">
        <is>
          <t>1927</t>
        </is>
      </c>
      <c r="Q359" t="inlineStr">
        <is>
          <t>eng</t>
        </is>
      </c>
      <c r="R359" t="inlineStr">
        <is>
          <t>nyu</t>
        </is>
      </c>
      <c r="T359" t="inlineStr">
        <is>
          <t xml:space="preserve">CT </t>
        </is>
      </c>
      <c r="U359" t="n">
        <v>7</v>
      </c>
      <c r="V359" t="n">
        <v>7</v>
      </c>
      <c r="W359" t="inlineStr">
        <is>
          <t>2008-04-21</t>
        </is>
      </c>
      <c r="X359" t="inlineStr">
        <is>
          <t>2008-04-21</t>
        </is>
      </c>
      <c r="Y359" t="inlineStr">
        <is>
          <t>1996-08-22</t>
        </is>
      </c>
      <c r="Z359" t="inlineStr">
        <is>
          <t>1996-08-22</t>
        </is>
      </c>
      <c r="AA359" t="n">
        <v>43</v>
      </c>
      <c r="AB359" t="n">
        <v>37</v>
      </c>
      <c r="AC359" t="n">
        <v>411</v>
      </c>
      <c r="AD359" t="n">
        <v>1</v>
      </c>
      <c r="AE359" t="n">
        <v>4</v>
      </c>
      <c r="AF359" t="n">
        <v>3</v>
      </c>
      <c r="AG359" t="n">
        <v>24</v>
      </c>
      <c r="AH359" t="n">
        <v>2</v>
      </c>
      <c r="AI359" t="n">
        <v>10</v>
      </c>
      <c r="AJ359" t="n">
        <v>2</v>
      </c>
      <c r="AK359" t="n">
        <v>5</v>
      </c>
      <c r="AL359" t="n">
        <v>1</v>
      </c>
      <c r="AM359" t="n">
        <v>12</v>
      </c>
      <c r="AN359" t="n">
        <v>0</v>
      </c>
      <c r="AO359" t="n">
        <v>3</v>
      </c>
      <c r="AP359" t="n">
        <v>0</v>
      </c>
      <c r="AQ359" t="n">
        <v>0</v>
      </c>
      <c r="AR359" t="inlineStr">
        <is>
          <t>No</t>
        </is>
      </c>
      <c r="AS359" t="inlineStr">
        <is>
          <t>No</t>
        </is>
      </c>
      <c r="AU359">
        <f>HYPERLINK("https://creighton-primo.hosted.exlibrisgroup.com/primo-explore/search?tab=default_tab&amp;search_scope=EVERYTHING&amp;vid=01CRU&amp;lang=en_US&amp;offset=0&amp;query=any,contains,991001697879702656","Catalog Record")</f>
        <v/>
      </c>
      <c r="AV359">
        <f>HYPERLINK("http://www.worldcat.org/oclc/21504741","WorldCat Record")</f>
        <v/>
      </c>
      <c r="AW359" t="inlineStr">
        <is>
          <t>1523723:eng</t>
        </is>
      </c>
      <c r="AX359" t="inlineStr">
        <is>
          <t>21504741</t>
        </is>
      </c>
      <c r="AY359" t="inlineStr">
        <is>
          <t>991001697879702656</t>
        </is>
      </c>
      <c r="AZ359" t="inlineStr">
        <is>
          <t>991001697879702656</t>
        </is>
      </c>
      <c r="BA359" t="inlineStr">
        <is>
          <t>2268828860002656</t>
        </is>
      </c>
      <c r="BB359" t="inlineStr">
        <is>
          <t>BOOK</t>
        </is>
      </c>
      <c r="BE359" t="inlineStr">
        <is>
          <t>32285002285566</t>
        </is>
      </c>
      <c r="BF359" t="inlineStr">
        <is>
          <t>893596650</t>
        </is>
      </c>
    </row>
    <row r="360">
      <c r="B360" t="inlineStr">
        <is>
          <t>CURAL</t>
        </is>
      </c>
      <c r="C360" t="inlineStr">
        <is>
          <t>SHELVES</t>
        </is>
      </c>
      <c r="D360" t="inlineStr">
        <is>
          <t>CT275.A8 P6</t>
        </is>
      </c>
      <c r="E360" t="inlineStr">
        <is>
          <t>0                      CT 0275000A  8                  P  6</t>
        </is>
      </c>
      <c r="F360" t="inlineStr">
        <is>
          <t>John Jacob Astor, business man.</t>
        </is>
      </c>
      <c r="G360" t="inlineStr">
        <is>
          <t>V. 2</t>
        </is>
      </c>
      <c r="H360" t="inlineStr">
        <is>
          <t>Yes</t>
        </is>
      </c>
      <c r="I360" t="inlineStr">
        <is>
          <t>1</t>
        </is>
      </c>
      <c r="J360" t="inlineStr">
        <is>
          <t>No</t>
        </is>
      </c>
      <c r="K360" t="inlineStr">
        <is>
          <t>No</t>
        </is>
      </c>
      <c r="L360" t="inlineStr">
        <is>
          <t>0</t>
        </is>
      </c>
      <c r="M360" t="inlineStr">
        <is>
          <t>Porter, Kenneth Wiggins, 1905-1981.</t>
        </is>
      </c>
      <c r="N360" t="inlineStr">
        <is>
          <t>New York, Russell &amp; Russell, 1966 [c1931]</t>
        </is>
      </c>
      <c r="O360" t="inlineStr">
        <is>
          <t>1966</t>
        </is>
      </c>
      <c r="Q360" t="inlineStr">
        <is>
          <t>eng</t>
        </is>
      </c>
      <c r="R360" t="inlineStr">
        <is>
          <t>nyu</t>
        </is>
      </c>
      <c r="S360" t="inlineStr">
        <is>
          <t>Harvard studies in business history</t>
        </is>
      </c>
      <c r="T360" t="inlineStr">
        <is>
          <t xml:space="preserve">CT </t>
        </is>
      </c>
      <c r="U360" t="n">
        <v>2</v>
      </c>
      <c r="V360" t="n">
        <v>2</v>
      </c>
      <c r="W360" t="inlineStr">
        <is>
          <t>2000-10-24</t>
        </is>
      </c>
      <c r="X360" t="inlineStr">
        <is>
          <t>2000-10-24</t>
        </is>
      </c>
      <c r="Y360" t="inlineStr">
        <is>
          <t>1996-08-22</t>
        </is>
      </c>
      <c r="Z360" t="inlineStr">
        <is>
          <t>1996-08-22</t>
        </is>
      </c>
      <c r="AA360" t="n">
        <v>298</v>
      </c>
      <c r="AB360" t="n">
        <v>276</v>
      </c>
      <c r="AC360" t="n">
        <v>596</v>
      </c>
      <c r="AD360" t="n">
        <v>2</v>
      </c>
      <c r="AE360" t="n">
        <v>4</v>
      </c>
      <c r="AF360" t="n">
        <v>11</v>
      </c>
      <c r="AG360" t="n">
        <v>30</v>
      </c>
      <c r="AH360" t="n">
        <v>7</v>
      </c>
      <c r="AI360" t="n">
        <v>12</v>
      </c>
      <c r="AJ360" t="n">
        <v>3</v>
      </c>
      <c r="AK360" t="n">
        <v>7</v>
      </c>
      <c r="AL360" t="n">
        <v>5</v>
      </c>
      <c r="AM360" t="n">
        <v>15</v>
      </c>
      <c r="AN360" t="n">
        <v>1</v>
      </c>
      <c r="AO360" t="n">
        <v>3</v>
      </c>
      <c r="AP360" t="n">
        <v>0</v>
      </c>
      <c r="AQ360" t="n">
        <v>0</v>
      </c>
      <c r="AR360" t="inlineStr">
        <is>
          <t>No</t>
        </is>
      </c>
      <c r="AS360" t="inlineStr">
        <is>
          <t>Yes</t>
        </is>
      </c>
      <c r="AT360">
        <f>HYPERLINK("http://catalog.hathitrust.org/Record/009907112","HathiTrust Record")</f>
        <v/>
      </c>
      <c r="AU360">
        <f>HYPERLINK("https://creighton-primo.hosted.exlibrisgroup.com/primo-explore/search?tab=default_tab&amp;search_scope=EVERYTHING&amp;vid=01CRU&amp;lang=en_US&amp;offset=0&amp;query=any,contains,991002658419702656","Catalog Record")</f>
        <v/>
      </c>
      <c r="AV360">
        <f>HYPERLINK("http://www.worldcat.org/oclc/390461","WorldCat Record")</f>
        <v/>
      </c>
      <c r="AW360" t="inlineStr">
        <is>
          <t>1151010055:eng</t>
        </is>
      </c>
      <c r="AX360" t="inlineStr">
        <is>
          <t>390461</t>
        </is>
      </c>
      <c r="AY360" t="inlineStr">
        <is>
          <t>991002658419702656</t>
        </is>
      </c>
      <c r="AZ360" t="inlineStr">
        <is>
          <t>991002658419702656</t>
        </is>
      </c>
      <c r="BA360" t="inlineStr">
        <is>
          <t>2262096300002656</t>
        </is>
      </c>
      <c r="BB360" t="inlineStr">
        <is>
          <t>BOOK</t>
        </is>
      </c>
      <c r="BE360" t="inlineStr">
        <is>
          <t>32285002279940</t>
        </is>
      </c>
      <c r="BF360" t="inlineStr">
        <is>
          <t>893421640</t>
        </is>
      </c>
    </row>
    <row r="361">
      <c r="B361" t="inlineStr">
        <is>
          <t>CURAL</t>
        </is>
      </c>
      <c r="C361" t="inlineStr">
        <is>
          <t>SHELVES</t>
        </is>
      </c>
      <c r="D361" t="inlineStr">
        <is>
          <t>CT275.A85 S5</t>
        </is>
      </c>
      <c r="E361" t="inlineStr">
        <is>
          <t>0                      CT 0275000A  85                 S  5</t>
        </is>
      </c>
      <c r="F361" t="inlineStr">
        <is>
          <t>John Jacob Astor, landlord of New York, by Arthur D. Howden Smith; with 16 illustrations.</t>
        </is>
      </c>
      <c r="H361" t="inlineStr">
        <is>
          <t>No</t>
        </is>
      </c>
      <c r="I361" t="inlineStr">
        <is>
          <t>1</t>
        </is>
      </c>
      <c r="J361" t="inlineStr">
        <is>
          <t>No</t>
        </is>
      </c>
      <c r="K361" t="inlineStr">
        <is>
          <t>No</t>
        </is>
      </c>
      <c r="L361" t="inlineStr">
        <is>
          <t>0</t>
        </is>
      </c>
      <c r="M361" t="inlineStr">
        <is>
          <t>Smith, Arthur D. Howden (Arthur Douglas Howden), 1887-1945.</t>
        </is>
      </c>
      <c r="N361" t="inlineStr">
        <is>
          <t>Philadelphia; London, J.B. Lippincott company, 1929.</t>
        </is>
      </c>
      <c r="O361" t="inlineStr">
        <is>
          <t>1929</t>
        </is>
      </c>
      <c r="Q361" t="inlineStr">
        <is>
          <t>eng</t>
        </is>
      </c>
      <c r="R361" t="inlineStr">
        <is>
          <t>pau</t>
        </is>
      </c>
      <c r="T361" t="inlineStr">
        <is>
          <t xml:space="preserve">CT </t>
        </is>
      </c>
      <c r="U361" t="n">
        <v>2</v>
      </c>
      <c r="V361" t="n">
        <v>2</v>
      </c>
      <c r="W361" t="inlineStr">
        <is>
          <t>2000-10-24</t>
        </is>
      </c>
      <c r="X361" t="inlineStr">
        <is>
          <t>2000-10-24</t>
        </is>
      </c>
      <c r="Y361" t="inlineStr">
        <is>
          <t>1996-08-22</t>
        </is>
      </c>
      <c r="Z361" t="inlineStr">
        <is>
          <t>1996-08-22</t>
        </is>
      </c>
      <c r="AA361" t="n">
        <v>477</v>
      </c>
      <c r="AB361" t="n">
        <v>430</v>
      </c>
      <c r="AC361" t="n">
        <v>534</v>
      </c>
      <c r="AD361" t="n">
        <v>5</v>
      </c>
      <c r="AE361" t="n">
        <v>6</v>
      </c>
      <c r="AF361" t="n">
        <v>23</v>
      </c>
      <c r="AG361" t="n">
        <v>31</v>
      </c>
      <c r="AH361" t="n">
        <v>9</v>
      </c>
      <c r="AI361" t="n">
        <v>12</v>
      </c>
      <c r="AJ361" t="n">
        <v>5</v>
      </c>
      <c r="AK361" t="n">
        <v>6</v>
      </c>
      <c r="AL361" t="n">
        <v>12</v>
      </c>
      <c r="AM361" t="n">
        <v>17</v>
      </c>
      <c r="AN361" t="n">
        <v>4</v>
      </c>
      <c r="AO361" t="n">
        <v>5</v>
      </c>
      <c r="AP361" t="n">
        <v>0</v>
      </c>
      <c r="AQ361" t="n">
        <v>0</v>
      </c>
      <c r="AR361" t="inlineStr">
        <is>
          <t>No</t>
        </is>
      </c>
      <c r="AS361" t="inlineStr">
        <is>
          <t>Yes</t>
        </is>
      </c>
      <c r="AT361">
        <f>HYPERLINK("http://catalog.hathitrust.org/Record/001598525","HathiTrust Record")</f>
        <v/>
      </c>
      <c r="AU361">
        <f>HYPERLINK("https://creighton-primo.hosted.exlibrisgroup.com/primo-explore/search?tab=default_tab&amp;search_scope=EVERYTHING&amp;vid=01CRU&amp;lang=en_US&amp;offset=0&amp;query=any,contains,991002661799702656","Catalog Record")</f>
        <v/>
      </c>
      <c r="AV361">
        <f>HYPERLINK("http://www.worldcat.org/oclc/391769","WorldCat Record")</f>
        <v/>
      </c>
      <c r="AW361" t="inlineStr">
        <is>
          <t>377258721:eng</t>
        </is>
      </c>
      <c r="AX361" t="inlineStr">
        <is>
          <t>391769</t>
        </is>
      </c>
      <c r="AY361" t="inlineStr">
        <is>
          <t>991002661799702656</t>
        </is>
      </c>
      <c r="AZ361" t="inlineStr">
        <is>
          <t>991002661799702656</t>
        </is>
      </c>
      <c r="BA361" t="inlineStr">
        <is>
          <t>2260798070002656</t>
        </is>
      </c>
      <c r="BB361" t="inlineStr">
        <is>
          <t>BOOK</t>
        </is>
      </c>
      <c r="BE361" t="inlineStr">
        <is>
          <t>32285002279957</t>
        </is>
      </c>
      <c r="BF361" t="inlineStr">
        <is>
          <t>893233244</t>
        </is>
      </c>
    </row>
    <row r="362">
      <c r="B362" t="inlineStr">
        <is>
          <t>CURAL</t>
        </is>
      </c>
      <c r="C362" t="inlineStr">
        <is>
          <t>SHELVES</t>
        </is>
      </c>
      <c r="D362" t="inlineStr">
        <is>
          <t>CT275.C3 W33</t>
        </is>
      </c>
      <c r="E362" t="inlineStr">
        <is>
          <t>0                      CT 0275000C  3                  W  33</t>
        </is>
      </c>
      <c r="F362" t="inlineStr">
        <is>
          <t>Andrew Carnegie / Joseph Frazier Wall.</t>
        </is>
      </c>
      <c r="H362" t="inlineStr">
        <is>
          <t>No</t>
        </is>
      </c>
      <c r="I362" t="inlineStr">
        <is>
          <t>1</t>
        </is>
      </c>
      <c r="J362" t="inlineStr">
        <is>
          <t>No</t>
        </is>
      </c>
      <c r="K362" t="inlineStr">
        <is>
          <t>No</t>
        </is>
      </c>
      <c r="L362" t="inlineStr">
        <is>
          <t>0</t>
        </is>
      </c>
      <c r="M362" t="inlineStr">
        <is>
          <t>Wall, Joseph Frazier.</t>
        </is>
      </c>
      <c r="N362" t="inlineStr">
        <is>
          <t>New York : Oxford University Press, [1970]</t>
        </is>
      </c>
      <c r="O362" t="inlineStr">
        <is>
          <t>1970</t>
        </is>
      </c>
      <c r="Q362" t="inlineStr">
        <is>
          <t>eng</t>
        </is>
      </c>
      <c r="R362" t="inlineStr">
        <is>
          <t>nyu</t>
        </is>
      </c>
      <c r="T362" t="inlineStr">
        <is>
          <t xml:space="preserve">CT </t>
        </is>
      </c>
      <c r="U362" t="n">
        <v>4</v>
      </c>
      <c r="V362" t="n">
        <v>4</v>
      </c>
      <c r="W362" t="inlineStr">
        <is>
          <t>2002-03-03</t>
        </is>
      </c>
      <c r="X362" t="inlineStr">
        <is>
          <t>2002-03-03</t>
        </is>
      </c>
      <c r="Y362" t="inlineStr">
        <is>
          <t>1993-02-02</t>
        </is>
      </c>
      <c r="Z362" t="inlineStr">
        <is>
          <t>1993-02-02</t>
        </is>
      </c>
      <c r="AA362" t="n">
        <v>1606</v>
      </c>
      <c r="AB362" t="n">
        <v>1450</v>
      </c>
      <c r="AC362" t="n">
        <v>1782</v>
      </c>
      <c r="AD362" t="n">
        <v>16</v>
      </c>
      <c r="AE362" t="n">
        <v>17</v>
      </c>
      <c r="AF362" t="n">
        <v>49</v>
      </c>
      <c r="AG362" t="n">
        <v>56</v>
      </c>
      <c r="AH362" t="n">
        <v>20</v>
      </c>
      <c r="AI362" t="n">
        <v>25</v>
      </c>
      <c r="AJ362" t="n">
        <v>10</v>
      </c>
      <c r="AK362" t="n">
        <v>10</v>
      </c>
      <c r="AL362" t="n">
        <v>18</v>
      </c>
      <c r="AM362" t="n">
        <v>22</v>
      </c>
      <c r="AN362" t="n">
        <v>11</v>
      </c>
      <c r="AO362" t="n">
        <v>12</v>
      </c>
      <c r="AP362" t="n">
        <v>0</v>
      </c>
      <c r="AQ362" t="n">
        <v>0</v>
      </c>
      <c r="AR362" t="inlineStr">
        <is>
          <t>No</t>
        </is>
      </c>
      <c r="AS362" t="inlineStr">
        <is>
          <t>Yes</t>
        </is>
      </c>
      <c r="AT362">
        <f>HYPERLINK("http://catalog.hathitrust.org/Record/001598553","HathiTrust Record")</f>
        <v/>
      </c>
      <c r="AU362">
        <f>HYPERLINK("https://creighton-primo.hosted.exlibrisgroup.com/primo-explore/search?tab=default_tab&amp;search_scope=EVERYTHING&amp;vid=01CRU&amp;lang=en_US&amp;offset=0&amp;query=any,contains,991000548659702656","Catalog Record")</f>
        <v/>
      </c>
      <c r="AV362">
        <f>HYPERLINK("http://www.worldcat.org/oclc/92120","WorldCat Record")</f>
        <v/>
      </c>
      <c r="AW362" t="inlineStr">
        <is>
          <t>4929770901:eng</t>
        </is>
      </c>
      <c r="AX362" t="inlineStr">
        <is>
          <t>92120</t>
        </is>
      </c>
      <c r="AY362" t="inlineStr">
        <is>
          <t>991000548659702656</t>
        </is>
      </c>
      <c r="AZ362" t="inlineStr">
        <is>
          <t>991000548659702656</t>
        </is>
      </c>
      <c r="BA362" t="inlineStr">
        <is>
          <t>2265082130002656</t>
        </is>
      </c>
      <c r="BB362" t="inlineStr">
        <is>
          <t>BOOK</t>
        </is>
      </c>
      <c r="BE362" t="inlineStr">
        <is>
          <t>32285001523504</t>
        </is>
      </c>
      <c r="BF362" t="inlineStr">
        <is>
          <t>893896991</t>
        </is>
      </c>
    </row>
    <row r="363">
      <c r="B363" t="inlineStr">
        <is>
          <t>CURAL</t>
        </is>
      </c>
      <c r="C363" t="inlineStr">
        <is>
          <t>SHELVES</t>
        </is>
      </c>
      <c r="D363" t="inlineStr">
        <is>
          <t>CT275.C855 A3</t>
        </is>
      </c>
      <c r="E363" t="inlineStr">
        <is>
          <t>0                      CT 0275000C  855                A  3</t>
        </is>
      </c>
      <c r="F363" t="inlineStr">
        <is>
          <t>Death be not proud; a memoir.</t>
        </is>
      </c>
      <c r="H363" t="inlineStr">
        <is>
          <t>No</t>
        </is>
      </c>
      <c r="I363" t="inlineStr">
        <is>
          <t>1</t>
        </is>
      </c>
      <c r="J363" t="inlineStr">
        <is>
          <t>No</t>
        </is>
      </c>
      <c r="K363" t="inlineStr">
        <is>
          <t>No</t>
        </is>
      </c>
      <c r="L363" t="inlineStr">
        <is>
          <t>0</t>
        </is>
      </c>
      <c r="M363" t="inlineStr">
        <is>
          <t>Gunther, John, 1901-1970.</t>
        </is>
      </c>
      <c r="N363" t="inlineStr">
        <is>
          <t>New York, Harper, 1949.</t>
        </is>
      </c>
      <c r="O363" t="inlineStr">
        <is>
          <t>1949</t>
        </is>
      </c>
      <c r="P363" t="inlineStr">
        <is>
          <t>[1st ed.]</t>
        </is>
      </c>
      <c r="Q363" t="inlineStr">
        <is>
          <t>eng</t>
        </is>
      </c>
      <c r="R363" t="inlineStr">
        <is>
          <t>nyu</t>
        </is>
      </c>
      <c r="T363" t="inlineStr">
        <is>
          <t xml:space="preserve">CT </t>
        </is>
      </c>
      <c r="U363" t="n">
        <v>5</v>
      </c>
      <c r="V363" t="n">
        <v>5</v>
      </c>
      <c r="W363" t="inlineStr">
        <is>
          <t>1993-10-24</t>
        </is>
      </c>
      <c r="X363" t="inlineStr">
        <is>
          <t>1993-10-24</t>
        </is>
      </c>
      <c r="Y363" t="inlineStr">
        <is>
          <t>1992-09-16</t>
        </is>
      </c>
      <c r="Z363" t="inlineStr">
        <is>
          <t>1992-09-16</t>
        </is>
      </c>
      <c r="AA363" t="n">
        <v>1397</v>
      </c>
      <c r="AB363" t="n">
        <v>1357</v>
      </c>
      <c r="AC363" t="n">
        <v>3024</v>
      </c>
      <c r="AD363" t="n">
        <v>21</v>
      </c>
      <c r="AE363" t="n">
        <v>33</v>
      </c>
      <c r="AF363" t="n">
        <v>23</v>
      </c>
      <c r="AG363" t="n">
        <v>44</v>
      </c>
      <c r="AH363" t="n">
        <v>11</v>
      </c>
      <c r="AI363" t="n">
        <v>21</v>
      </c>
      <c r="AJ363" t="n">
        <v>5</v>
      </c>
      <c r="AK363" t="n">
        <v>10</v>
      </c>
      <c r="AL363" t="n">
        <v>10</v>
      </c>
      <c r="AM363" t="n">
        <v>19</v>
      </c>
      <c r="AN363" t="n">
        <v>3</v>
      </c>
      <c r="AO363" t="n">
        <v>8</v>
      </c>
      <c r="AP363" t="n">
        <v>0</v>
      </c>
      <c r="AQ363" t="n">
        <v>0</v>
      </c>
      <c r="AR363" t="inlineStr">
        <is>
          <t>No</t>
        </is>
      </c>
      <c r="AS363" t="inlineStr">
        <is>
          <t>Yes</t>
        </is>
      </c>
      <c r="AT363">
        <f>HYPERLINK("http://catalog.hathitrust.org/Record/001598625","HathiTrust Record")</f>
        <v/>
      </c>
      <c r="AU363">
        <f>HYPERLINK("https://creighton-primo.hosted.exlibrisgroup.com/primo-explore/search?tab=default_tab&amp;search_scope=EVERYTHING&amp;vid=01CRU&amp;lang=en_US&amp;offset=0&amp;query=any,contains,991002654339702656","Catalog Record")</f>
        <v/>
      </c>
      <c r="AV363">
        <f>HYPERLINK("http://www.worldcat.org/oclc/388179","WorldCat Record")</f>
        <v/>
      </c>
      <c r="AW363" t="inlineStr">
        <is>
          <t>463663:eng</t>
        </is>
      </c>
      <c r="AX363" t="inlineStr">
        <is>
          <t>388179</t>
        </is>
      </c>
      <c r="AY363" t="inlineStr">
        <is>
          <t>991002654339702656</t>
        </is>
      </c>
      <c r="AZ363" t="inlineStr">
        <is>
          <t>991002654339702656</t>
        </is>
      </c>
      <c r="BA363" t="inlineStr">
        <is>
          <t>2255113870002656</t>
        </is>
      </c>
      <c r="BB363" t="inlineStr">
        <is>
          <t>BOOK</t>
        </is>
      </c>
      <c r="BE363" t="inlineStr">
        <is>
          <t>32285001314334</t>
        </is>
      </c>
      <c r="BF363" t="inlineStr">
        <is>
          <t>893239338</t>
        </is>
      </c>
    </row>
    <row r="364">
      <c r="B364" t="inlineStr">
        <is>
          <t>CURAL</t>
        </is>
      </c>
      <c r="C364" t="inlineStr">
        <is>
          <t>SHELVES</t>
        </is>
      </c>
      <c r="D364" t="inlineStr">
        <is>
          <t>CT275.D8848 A4 2003</t>
        </is>
      </c>
      <c r="E364" t="inlineStr">
        <is>
          <t>0                      CT 0275000D  8848               A  4           2003</t>
        </is>
      </c>
      <c r="F364" t="inlineStr">
        <is>
          <t>Freedom writer : Virginia Foster Durr, letters from the civil rights years / edited by Patricia Sullivan.</t>
        </is>
      </c>
      <c r="H364" t="inlineStr">
        <is>
          <t>No</t>
        </is>
      </c>
      <c r="I364" t="inlineStr">
        <is>
          <t>1</t>
        </is>
      </c>
      <c r="J364" t="inlineStr">
        <is>
          <t>No</t>
        </is>
      </c>
      <c r="K364" t="inlineStr">
        <is>
          <t>No</t>
        </is>
      </c>
      <c r="L364" t="inlineStr">
        <is>
          <t>0</t>
        </is>
      </c>
      <c r="M364" t="inlineStr">
        <is>
          <t>Durr, Virginia Foster.</t>
        </is>
      </c>
      <c r="N364" t="inlineStr">
        <is>
          <t>New York : Routledge, 2003.</t>
        </is>
      </c>
      <c r="O364" t="inlineStr">
        <is>
          <t>2003</t>
        </is>
      </c>
      <c r="Q364" t="inlineStr">
        <is>
          <t>eng</t>
        </is>
      </c>
      <c r="R364" t="inlineStr">
        <is>
          <t>nyu</t>
        </is>
      </c>
      <c r="T364" t="inlineStr">
        <is>
          <t xml:space="preserve">CT </t>
        </is>
      </c>
      <c r="U364" t="n">
        <v>2</v>
      </c>
      <c r="V364" t="n">
        <v>2</v>
      </c>
      <c r="W364" t="inlineStr">
        <is>
          <t>2004-09-13</t>
        </is>
      </c>
      <c r="X364" t="inlineStr">
        <is>
          <t>2004-09-13</t>
        </is>
      </c>
      <c r="Y364" t="inlineStr">
        <is>
          <t>2004-09-13</t>
        </is>
      </c>
      <c r="Z364" t="inlineStr">
        <is>
          <t>2004-09-13</t>
        </is>
      </c>
      <c r="AA364" t="n">
        <v>427</v>
      </c>
      <c r="AB364" t="n">
        <v>396</v>
      </c>
      <c r="AC364" t="n">
        <v>790</v>
      </c>
      <c r="AD364" t="n">
        <v>5</v>
      </c>
      <c r="AE364" t="n">
        <v>7</v>
      </c>
      <c r="AF364" t="n">
        <v>20</v>
      </c>
      <c r="AG364" t="n">
        <v>35</v>
      </c>
      <c r="AH364" t="n">
        <v>5</v>
      </c>
      <c r="AI364" t="n">
        <v>12</v>
      </c>
      <c r="AJ364" t="n">
        <v>6</v>
      </c>
      <c r="AK364" t="n">
        <v>9</v>
      </c>
      <c r="AL364" t="n">
        <v>9</v>
      </c>
      <c r="AM364" t="n">
        <v>13</v>
      </c>
      <c r="AN364" t="n">
        <v>4</v>
      </c>
      <c r="AO364" t="n">
        <v>6</v>
      </c>
      <c r="AP364" t="n">
        <v>0</v>
      </c>
      <c r="AQ364" t="n">
        <v>1</v>
      </c>
      <c r="AR364" t="inlineStr">
        <is>
          <t>No</t>
        </is>
      </c>
      <c r="AS364" t="inlineStr">
        <is>
          <t>No</t>
        </is>
      </c>
      <c r="AU364">
        <f>HYPERLINK("https://creighton-primo.hosted.exlibrisgroup.com/primo-explore/search?tab=default_tab&amp;search_scope=EVERYTHING&amp;vid=01CRU&amp;lang=en_US&amp;offset=0&amp;query=any,contains,991004359559702656","Catalog Record")</f>
        <v/>
      </c>
      <c r="AV364">
        <f>HYPERLINK("http://www.worldcat.org/oclc/52347481","WorldCat Record")</f>
        <v/>
      </c>
      <c r="AW364" t="inlineStr">
        <is>
          <t>800879558:eng</t>
        </is>
      </c>
      <c r="AX364" t="inlineStr">
        <is>
          <t>52347481</t>
        </is>
      </c>
      <c r="AY364" t="inlineStr">
        <is>
          <t>991004359559702656</t>
        </is>
      </c>
      <c r="AZ364" t="inlineStr">
        <is>
          <t>991004359559702656</t>
        </is>
      </c>
      <c r="BA364" t="inlineStr">
        <is>
          <t>2271515180002656</t>
        </is>
      </c>
      <c r="BB364" t="inlineStr">
        <is>
          <t>BOOK</t>
        </is>
      </c>
      <c r="BD364" t="inlineStr">
        <is>
          <t>9780415945165</t>
        </is>
      </c>
      <c r="BE364" t="inlineStr">
        <is>
          <t>32285004986591</t>
        </is>
      </c>
      <c r="BF364" t="inlineStr">
        <is>
          <t>893519555</t>
        </is>
      </c>
    </row>
    <row r="365">
      <c r="B365" t="inlineStr">
        <is>
          <t>CURAL</t>
        </is>
      </c>
      <c r="C365" t="inlineStr">
        <is>
          <t>SHELVES</t>
        </is>
      </c>
      <c r="D365" t="inlineStr">
        <is>
          <t>CT275.E94 B8 1947</t>
        </is>
      </c>
      <c r="E365" t="inlineStr">
        <is>
          <t>0                      CT 0275000E  94                 B  8           1947</t>
        </is>
      </c>
      <c r="F365" t="inlineStr">
        <is>
          <t>Three generations: Maria Boyle Ewing (1801-1864), Ellen Ewing Sherman (1824-1888), Minnie Sherman Fitch (1851-1913)</t>
        </is>
      </c>
      <c r="H365" t="inlineStr">
        <is>
          <t>No</t>
        </is>
      </c>
      <c r="I365" t="inlineStr">
        <is>
          <t>1</t>
        </is>
      </c>
      <c r="J365" t="inlineStr">
        <is>
          <t>No</t>
        </is>
      </c>
      <c r="K365" t="inlineStr">
        <is>
          <t>No</t>
        </is>
      </c>
      <c r="L365" t="inlineStr">
        <is>
          <t>0</t>
        </is>
      </c>
      <c r="M365" t="inlineStr">
        <is>
          <t>Burton, Katherine, 1890-1969.</t>
        </is>
      </c>
      <c r="N365" t="inlineStr">
        <is>
          <t>New York, Longmans, Green, 1947.</t>
        </is>
      </c>
      <c r="O365" t="inlineStr">
        <is>
          <t>1947</t>
        </is>
      </c>
      <c r="P365" t="inlineStr">
        <is>
          <t>[1st ed.]</t>
        </is>
      </c>
      <c r="Q365" t="inlineStr">
        <is>
          <t>eng</t>
        </is>
      </c>
      <c r="R365" t="inlineStr">
        <is>
          <t>nyu</t>
        </is>
      </c>
      <c r="T365" t="inlineStr">
        <is>
          <t xml:space="preserve">CT </t>
        </is>
      </c>
      <c r="U365" t="n">
        <v>0</v>
      </c>
      <c r="V365" t="n">
        <v>0</v>
      </c>
      <c r="W365" t="inlineStr">
        <is>
          <t>2003-08-25</t>
        </is>
      </c>
      <c r="X365" t="inlineStr">
        <is>
          <t>2003-08-25</t>
        </is>
      </c>
      <c r="Y365" t="inlineStr">
        <is>
          <t>1996-08-22</t>
        </is>
      </c>
      <c r="Z365" t="inlineStr">
        <is>
          <t>1996-08-22</t>
        </is>
      </c>
      <c r="AA365" t="n">
        <v>190</v>
      </c>
      <c r="AB365" t="n">
        <v>184</v>
      </c>
      <c r="AC365" t="n">
        <v>189</v>
      </c>
      <c r="AD365" t="n">
        <v>3</v>
      </c>
      <c r="AE365" t="n">
        <v>3</v>
      </c>
      <c r="AF365" t="n">
        <v>25</v>
      </c>
      <c r="AG365" t="n">
        <v>25</v>
      </c>
      <c r="AH365" t="n">
        <v>6</v>
      </c>
      <c r="AI365" t="n">
        <v>6</v>
      </c>
      <c r="AJ365" t="n">
        <v>5</v>
      </c>
      <c r="AK365" t="n">
        <v>5</v>
      </c>
      <c r="AL365" t="n">
        <v>20</v>
      </c>
      <c r="AM365" t="n">
        <v>20</v>
      </c>
      <c r="AN365" t="n">
        <v>2</v>
      </c>
      <c r="AO365" t="n">
        <v>2</v>
      </c>
      <c r="AP365" t="n">
        <v>0</v>
      </c>
      <c r="AQ365" t="n">
        <v>0</v>
      </c>
      <c r="AR365" t="inlineStr">
        <is>
          <t>No</t>
        </is>
      </c>
      <c r="AS365" t="inlineStr">
        <is>
          <t>Yes</t>
        </is>
      </c>
      <c r="AT365">
        <f>HYPERLINK("http://catalog.hathitrust.org/Record/004429356","HathiTrust Record")</f>
        <v/>
      </c>
      <c r="AU365">
        <f>HYPERLINK("https://creighton-primo.hosted.exlibrisgroup.com/primo-explore/search?tab=default_tab&amp;search_scope=EVERYTHING&amp;vid=01CRU&amp;lang=en_US&amp;offset=0&amp;query=any,contains,991002002469702656","Catalog Record")</f>
        <v/>
      </c>
      <c r="AV365">
        <f>HYPERLINK("http://www.worldcat.org/oclc/25431782","WorldCat Record")</f>
        <v/>
      </c>
      <c r="AW365" t="inlineStr">
        <is>
          <t>28302114:eng</t>
        </is>
      </c>
      <c r="AX365" t="inlineStr">
        <is>
          <t>25431782</t>
        </is>
      </c>
      <c r="AY365" t="inlineStr">
        <is>
          <t>991002002469702656</t>
        </is>
      </c>
      <c r="AZ365" t="inlineStr">
        <is>
          <t>991002002469702656</t>
        </is>
      </c>
      <c r="BA365" t="inlineStr">
        <is>
          <t>2263791400002656</t>
        </is>
      </c>
      <c r="BB365" t="inlineStr">
        <is>
          <t>BOOK</t>
        </is>
      </c>
      <c r="BE365" t="inlineStr">
        <is>
          <t>32285002285160</t>
        </is>
      </c>
      <c r="BF365" t="inlineStr">
        <is>
          <t>893420845</t>
        </is>
      </c>
    </row>
    <row r="366">
      <c r="B366" t="inlineStr">
        <is>
          <t>CURAL</t>
        </is>
      </c>
      <c r="C366" t="inlineStr">
        <is>
          <t>SHELVES</t>
        </is>
      </c>
      <c r="D366" t="inlineStr">
        <is>
          <t>CT275.F5586 B83 1984</t>
        </is>
      </c>
      <c r="E366" t="inlineStr">
        <is>
          <t>0                      CT 0275000F  5586               B  83          1984</t>
        </is>
      </c>
      <c r="F366" t="inlineStr">
        <is>
          <t>The way of duty : a woman and her family in revolutionary America / by Joy Day Buel and Richard Buel, Jr.</t>
        </is>
      </c>
      <c r="H366" t="inlineStr">
        <is>
          <t>No</t>
        </is>
      </c>
      <c r="I366" t="inlineStr">
        <is>
          <t>1</t>
        </is>
      </c>
      <c r="J366" t="inlineStr">
        <is>
          <t>No</t>
        </is>
      </c>
      <c r="K366" t="inlineStr">
        <is>
          <t>No</t>
        </is>
      </c>
      <c r="L366" t="inlineStr">
        <is>
          <t>0</t>
        </is>
      </c>
      <c r="M366" t="inlineStr">
        <is>
          <t>Buel, Joy Day.</t>
        </is>
      </c>
      <c r="N366" t="inlineStr">
        <is>
          <t>New York : Norton, c1984.</t>
        </is>
      </c>
      <c r="O366" t="inlineStr">
        <is>
          <t>1984</t>
        </is>
      </c>
      <c r="P366" t="inlineStr">
        <is>
          <t>1st ed.</t>
        </is>
      </c>
      <c r="Q366" t="inlineStr">
        <is>
          <t>eng</t>
        </is>
      </c>
      <c r="R366" t="inlineStr">
        <is>
          <t>nyu</t>
        </is>
      </c>
      <c r="T366" t="inlineStr">
        <is>
          <t xml:space="preserve">CT </t>
        </is>
      </c>
      <c r="U366" t="n">
        <v>1</v>
      </c>
      <c r="V366" t="n">
        <v>1</v>
      </c>
      <c r="W366" t="inlineStr">
        <is>
          <t>1998-11-04</t>
        </is>
      </c>
      <c r="X366" t="inlineStr">
        <is>
          <t>1998-11-04</t>
        </is>
      </c>
      <c r="Y366" t="inlineStr">
        <is>
          <t>1992-06-08</t>
        </is>
      </c>
      <c r="Z366" t="inlineStr">
        <is>
          <t>1992-06-08</t>
        </is>
      </c>
      <c r="AA366" t="n">
        <v>1161</v>
      </c>
      <c r="AB366" t="n">
        <v>1078</v>
      </c>
      <c r="AC366" t="n">
        <v>1316</v>
      </c>
      <c r="AD366" t="n">
        <v>7</v>
      </c>
      <c r="AE366" t="n">
        <v>8</v>
      </c>
      <c r="AF366" t="n">
        <v>38</v>
      </c>
      <c r="AG366" t="n">
        <v>42</v>
      </c>
      <c r="AH366" t="n">
        <v>18</v>
      </c>
      <c r="AI366" t="n">
        <v>19</v>
      </c>
      <c r="AJ366" t="n">
        <v>8</v>
      </c>
      <c r="AK366" t="n">
        <v>9</v>
      </c>
      <c r="AL366" t="n">
        <v>21</v>
      </c>
      <c r="AM366" t="n">
        <v>22</v>
      </c>
      <c r="AN366" t="n">
        <v>3</v>
      </c>
      <c r="AO366" t="n">
        <v>4</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HYPERLINK("https://creighton-primo.hosted.exlibrisgroup.com/primo-explore/search?tab=default_tab&amp;search_scope=EVERYTHING&amp;vid=01CRU&amp;lang=en_US&amp;offset=0&amp;query=any,contains,991000240039702656","Catalog Record")</f>
        <v/>
      </c>
      <c r="AV366">
        <f>HYPERLINK("http://www.worldcat.org/oclc/9683169","WorldCat Record")</f>
        <v/>
      </c>
      <c r="AW366" t="inlineStr">
        <is>
          <t>2643023:eng</t>
        </is>
      </c>
      <c r="AX366" t="inlineStr">
        <is>
          <t>9683169</t>
        </is>
      </c>
      <c r="AY366" t="inlineStr">
        <is>
          <t>991000240039702656</t>
        </is>
      </c>
      <c r="AZ366" t="inlineStr">
        <is>
          <t>991000240039702656</t>
        </is>
      </c>
      <c r="BA366" t="inlineStr">
        <is>
          <t>2261949160002656</t>
        </is>
      </c>
      <c r="BB366" t="inlineStr">
        <is>
          <t>BOOK</t>
        </is>
      </c>
      <c r="BD366" t="inlineStr">
        <is>
          <t>9780393017670</t>
        </is>
      </c>
      <c r="BE366" t="inlineStr">
        <is>
          <t>32285001165645</t>
        </is>
      </c>
      <c r="BF366" t="inlineStr">
        <is>
          <t>893626256</t>
        </is>
      </c>
    </row>
    <row r="367">
      <c r="B367" t="inlineStr">
        <is>
          <t>CURAL</t>
        </is>
      </c>
      <c r="C367" t="inlineStr">
        <is>
          <t>SHELVES</t>
        </is>
      </c>
      <c r="D367" t="inlineStr">
        <is>
          <t>CT275.F68 B78 1970</t>
        </is>
      </c>
      <c r="E367" t="inlineStr">
        <is>
          <t>0                      CT 0275000F  68                 B  78          1970</t>
        </is>
      </c>
      <c r="F367" t="inlineStr">
        <is>
          <t>Henry Ford / by Roger Burlingame.</t>
        </is>
      </c>
      <c r="H367" t="inlineStr">
        <is>
          <t>No</t>
        </is>
      </c>
      <c r="I367" t="inlineStr">
        <is>
          <t>1</t>
        </is>
      </c>
      <c r="J367" t="inlineStr">
        <is>
          <t>No</t>
        </is>
      </c>
      <c r="K367" t="inlineStr">
        <is>
          <t>No</t>
        </is>
      </c>
      <c r="L367" t="inlineStr">
        <is>
          <t>0</t>
        </is>
      </c>
      <c r="M367" t="inlineStr">
        <is>
          <t>Burlingame, Roger, 1889-1967.</t>
        </is>
      </c>
      <c r="N367" t="inlineStr">
        <is>
          <t>Chicago : Quadrangle Books, 1970.</t>
        </is>
      </c>
      <c r="O367" t="inlineStr">
        <is>
          <t>1970</t>
        </is>
      </c>
      <c r="Q367" t="inlineStr">
        <is>
          <t>eng</t>
        </is>
      </c>
      <c r="R367" t="inlineStr">
        <is>
          <t xml:space="preserve">xx </t>
        </is>
      </c>
      <c r="S367" t="inlineStr">
        <is>
          <t>Quadrangle paperbacks ; QP 76</t>
        </is>
      </c>
      <c r="T367" t="inlineStr">
        <is>
          <t xml:space="preserve">CT </t>
        </is>
      </c>
      <c r="U367" t="n">
        <v>3</v>
      </c>
      <c r="V367" t="n">
        <v>3</v>
      </c>
      <c r="W367" t="inlineStr">
        <is>
          <t>1992-12-23</t>
        </is>
      </c>
      <c r="X367" t="inlineStr">
        <is>
          <t>1992-12-23</t>
        </is>
      </c>
      <c r="Y367" t="inlineStr">
        <is>
          <t>1992-12-10</t>
        </is>
      </c>
      <c r="Z367" t="inlineStr">
        <is>
          <t>1992-12-10</t>
        </is>
      </c>
      <c r="AA367" t="n">
        <v>106</v>
      </c>
      <c r="AB367" t="n">
        <v>102</v>
      </c>
      <c r="AC367" t="n">
        <v>897</v>
      </c>
      <c r="AD367" t="n">
        <v>2</v>
      </c>
      <c r="AE367" t="n">
        <v>8</v>
      </c>
      <c r="AF367" t="n">
        <v>7</v>
      </c>
      <c r="AG367" t="n">
        <v>26</v>
      </c>
      <c r="AH367" t="n">
        <v>4</v>
      </c>
      <c r="AI367" t="n">
        <v>13</v>
      </c>
      <c r="AJ367" t="n">
        <v>2</v>
      </c>
      <c r="AK367" t="n">
        <v>2</v>
      </c>
      <c r="AL367" t="n">
        <v>4</v>
      </c>
      <c r="AM367" t="n">
        <v>11</v>
      </c>
      <c r="AN367" t="n">
        <v>1</v>
      </c>
      <c r="AO367" t="n">
        <v>6</v>
      </c>
      <c r="AP367" t="n">
        <v>0</v>
      </c>
      <c r="AQ367" t="n">
        <v>0</v>
      </c>
      <c r="AR367" t="inlineStr">
        <is>
          <t>No</t>
        </is>
      </c>
      <c r="AS367" t="inlineStr">
        <is>
          <t>Yes</t>
        </is>
      </c>
      <c r="AT367">
        <f>HYPERLINK("http://catalog.hathitrust.org/Record/007038939","HathiTrust Record")</f>
        <v/>
      </c>
      <c r="AU367">
        <f>HYPERLINK("https://creighton-primo.hosted.exlibrisgroup.com/primo-explore/search?tab=default_tab&amp;search_scope=EVERYTHING&amp;vid=01CRU&amp;lang=en_US&amp;offset=0&amp;query=any,contains,991003935019702656","Catalog Record")</f>
        <v/>
      </c>
      <c r="AV367">
        <f>HYPERLINK("http://www.worldcat.org/oclc/1910871","WorldCat Record")</f>
        <v/>
      </c>
      <c r="AW367" t="inlineStr">
        <is>
          <t>2260905565:eng</t>
        </is>
      </c>
      <c r="AX367" t="inlineStr">
        <is>
          <t>1910871</t>
        </is>
      </c>
      <c r="AY367" t="inlineStr">
        <is>
          <t>991003935019702656</t>
        </is>
      </c>
      <c r="AZ367" t="inlineStr">
        <is>
          <t>991003935019702656</t>
        </is>
      </c>
      <c r="BA367" t="inlineStr">
        <is>
          <t>2262353940002656</t>
        </is>
      </c>
      <c r="BB367" t="inlineStr">
        <is>
          <t>BOOK</t>
        </is>
      </c>
      <c r="BE367" t="inlineStr">
        <is>
          <t>32285001402303</t>
        </is>
      </c>
      <c r="BF367" t="inlineStr">
        <is>
          <t>893445946</t>
        </is>
      </c>
    </row>
    <row r="368">
      <c r="B368" t="inlineStr">
        <is>
          <t>CURAL</t>
        </is>
      </c>
      <c r="C368" t="inlineStr">
        <is>
          <t>SHELVES</t>
        </is>
      </c>
      <c r="D368" t="inlineStr">
        <is>
          <t>CT275.F68 G3</t>
        </is>
      </c>
      <c r="E368" t="inlineStr">
        <is>
          <t>0                      CT 0275000F  68                 G  3</t>
        </is>
      </c>
      <c r="F368" t="inlineStr">
        <is>
          <t>The wild wheel.</t>
        </is>
      </c>
      <c r="H368" t="inlineStr">
        <is>
          <t>No</t>
        </is>
      </c>
      <c r="I368" t="inlineStr">
        <is>
          <t>1</t>
        </is>
      </c>
      <c r="J368" t="inlineStr">
        <is>
          <t>No</t>
        </is>
      </c>
      <c r="K368" t="inlineStr">
        <is>
          <t>No</t>
        </is>
      </c>
      <c r="L368" t="inlineStr">
        <is>
          <t>0</t>
        </is>
      </c>
      <c r="M368" t="inlineStr">
        <is>
          <t>Garrett, Garet, 1878-1954.</t>
        </is>
      </c>
      <c r="N368" t="inlineStr">
        <is>
          <t>New York : Pantheon Books, [1952]</t>
        </is>
      </c>
      <c r="O368" t="inlineStr">
        <is>
          <t>1952</t>
        </is>
      </c>
      <c r="Q368" t="inlineStr">
        <is>
          <t>eng</t>
        </is>
      </c>
      <c r="R368" t="inlineStr">
        <is>
          <t>nyu</t>
        </is>
      </c>
      <c r="T368" t="inlineStr">
        <is>
          <t xml:space="preserve">CT </t>
        </is>
      </c>
      <c r="U368" t="n">
        <v>2</v>
      </c>
      <c r="V368" t="n">
        <v>2</v>
      </c>
      <c r="W368" t="inlineStr">
        <is>
          <t>1997-02-04</t>
        </is>
      </c>
      <c r="X368" t="inlineStr">
        <is>
          <t>1997-02-04</t>
        </is>
      </c>
      <c r="Y368" t="inlineStr">
        <is>
          <t>1990-04-02</t>
        </is>
      </c>
      <c r="Z368" t="inlineStr">
        <is>
          <t>1990-04-02</t>
        </is>
      </c>
      <c r="AA368" t="n">
        <v>766</v>
      </c>
      <c r="AB368" t="n">
        <v>748</v>
      </c>
      <c r="AC368" t="n">
        <v>757</v>
      </c>
      <c r="AD368" t="n">
        <v>10</v>
      </c>
      <c r="AE368" t="n">
        <v>10</v>
      </c>
      <c r="AF368" t="n">
        <v>43</v>
      </c>
      <c r="AG368" t="n">
        <v>44</v>
      </c>
      <c r="AH368" t="n">
        <v>17</v>
      </c>
      <c r="AI368" t="n">
        <v>17</v>
      </c>
      <c r="AJ368" t="n">
        <v>5</v>
      </c>
      <c r="AK368" t="n">
        <v>6</v>
      </c>
      <c r="AL368" t="n">
        <v>19</v>
      </c>
      <c r="AM368" t="n">
        <v>20</v>
      </c>
      <c r="AN368" t="n">
        <v>8</v>
      </c>
      <c r="AO368" t="n">
        <v>8</v>
      </c>
      <c r="AP368" t="n">
        <v>0</v>
      </c>
      <c r="AQ368" t="n">
        <v>0</v>
      </c>
      <c r="AR368" t="inlineStr">
        <is>
          <t>No</t>
        </is>
      </c>
      <c r="AS368" t="inlineStr">
        <is>
          <t>Yes</t>
        </is>
      </c>
      <c r="AT368">
        <f>HYPERLINK("http://catalog.hathitrust.org/Record/001598600","HathiTrust Record")</f>
        <v/>
      </c>
      <c r="AU368">
        <f>HYPERLINK("https://creighton-primo.hosted.exlibrisgroup.com/primo-explore/search?tab=default_tab&amp;search_scope=EVERYTHING&amp;vid=01CRU&amp;lang=en_US&amp;offset=0&amp;query=any,contains,991003160719702656","Catalog Record")</f>
        <v/>
      </c>
      <c r="AV368">
        <f>HYPERLINK("http://www.worldcat.org/oclc/700000","WorldCat Record")</f>
        <v/>
      </c>
      <c r="AW368" t="inlineStr">
        <is>
          <t>3943426765:eng</t>
        </is>
      </c>
      <c r="AX368" t="inlineStr">
        <is>
          <t>700000</t>
        </is>
      </c>
      <c r="AY368" t="inlineStr">
        <is>
          <t>991003160719702656</t>
        </is>
      </c>
      <c r="AZ368" t="inlineStr">
        <is>
          <t>991003160719702656</t>
        </is>
      </c>
      <c r="BA368" t="inlineStr">
        <is>
          <t>2256586930002656</t>
        </is>
      </c>
      <c r="BB368" t="inlineStr">
        <is>
          <t>BOOK</t>
        </is>
      </c>
      <c r="BE368" t="inlineStr">
        <is>
          <t>32285000100551</t>
        </is>
      </c>
      <c r="BF368" t="inlineStr">
        <is>
          <t>893698712</t>
        </is>
      </c>
    </row>
    <row r="369">
      <c r="B369" t="inlineStr">
        <is>
          <t>CURAL</t>
        </is>
      </c>
      <c r="C369" t="inlineStr">
        <is>
          <t>SHELVES</t>
        </is>
      </c>
      <c r="D369" t="inlineStr">
        <is>
          <t>CT275.F68 J3</t>
        </is>
      </c>
      <c r="E369" t="inlineStr">
        <is>
          <t>0                      CT 0275000F  68                 J  3</t>
        </is>
      </c>
      <c r="F369" t="inlineStr">
        <is>
          <t>The first Henry Ford : a study in personality and business leadership.</t>
        </is>
      </c>
      <c r="H369" t="inlineStr">
        <is>
          <t>No</t>
        </is>
      </c>
      <c r="I369" t="inlineStr">
        <is>
          <t>1</t>
        </is>
      </c>
      <c r="J369" t="inlineStr">
        <is>
          <t>No</t>
        </is>
      </c>
      <c r="K369" t="inlineStr">
        <is>
          <t>No</t>
        </is>
      </c>
      <c r="L369" t="inlineStr">
        <is>
          <t>0</t>
        </is>
      </c>
      <c r="M369" t="inlineStr">
        <is>
          <t>Jardim, Anne.</t>
        </is>
      </c>
      <c r="N369" t="inlineStr">
        <is>
          <t>Cambridge : MIT Press, [1970]</t>
        </is>
      </c>
      <c r="O369" t="inlineStr">
        <is>
          <t>1970</t>
        </is>
      </c>
      <c r="Q369" t="inlineStr">
        <is>
          <t>eng</t>
        </is>
      </c>
      <c r="R369" t="inlineStr">
        <is>
          <t>mau</t>
        </is>
      </c>
      <c r="T369" t="inlineStr">
        <is>
          <t xml:space="preserve">CT </t>
        </is>
      </c>
      <c r="U369" t="n">
        <v>8</v>
      </c>
      <c r="V369" t="n">
        <v>8</v>
      </c>
      <c r="W369" t="inlineStr">
        <is>
          <t>2003-04-09</t>
        </is>
      </c>
      <c r="X369" t="inlineStr">
        <is>
          <t>2003-04-09</t>
        </is>
      </c>
      <c r="Y369" t="inlineStr">
        <is>
          <t>1992-05-12</t>
        </is>
      </c>
      <c r="Z369" t="inlineStr">
        <is>
          <t>1992-05-12</t>
        </is>
      </c>
      <c r="AA369" t="n">
        <v>922</v>
      </c>
      <c r="AB369" t="n">
        <v>790</v>
      </c>
      <c r="AC369" t="n">
        <v>792</v>
      </c>
      <c r="AD369" t="n">
        <v>4</v>
      </c>
      <c r="AE369" t="n">
        <v>4</v>
      </c>
      <c r="AF369" t="n">
        <v>33</v>
      </c>
      <c r="AG369" t="n">
        <v>33</v>
      </c>
      <c r="AH369" t="n">
        <v>14</v>
      </c>
      <c r="AI369" t="n">
        <v>14</v>
      </c>
      <c r="AJ369" t="n">
        <v>6</v>
      </c>
      <c r="AK369" t="n">
        <v>6</v>
      </c>
      <c r="AL369" t="n">
        <v>19</v>
      </c>
      <c r="AM369" t="n">
        <v>19</v>
      </c>
      <c r="AN369" t="n">
        <v>3</v>
      </c>
      <c r="AO369" t="n">
        <v>3</v>
      </c>
      <c r="AP369" t="n">
        <v>0</v>
      </c>
      <c r="AQ369" t="n">
        <v>0</v>
      </c>
      <c r="AR369" t="inlineStr">
        <is>
          <t>No</t>
        </is>
      </c>
      <c r="AS369" t="inlineStr">
        <is>
          <t>Yes</t>
        </is>
      </c>
      <c r="AT369">
        <f>HYPERLINK("http://catalog.hathitrust.org/Record/000181812","HathiTrust Record")</f>
        <v/>
      </c>
      <c r="AU369">
        <f>HYPERLINK("https://creighton-primo.hosted.exlibrisgroup.com/primo-explore/search?tab=default_tab&amp;search_scope=EVERYTHING&amp;vid=01CRU&amp;lang=en_US&amp;offset=0&amp;query=any,contains,991000650769702656","Catalog Record")</f>
        <v/>
      </c>
      <c r="AV369">
        <f>HYPERLINK("http://www.worldcat.org/oclc/113135","WorldCat Record")</f>
        <v/>
      </c>
      <c r="AW369" t="inlineStr">
        <is>
          <t>1228268:eng</t>
        </is>
      </c>
      <c r="AX369" t="inlineStr">
        <is>
          <t>113135</t>
        </is>
      </c>
      <c r="AY369" t="inlineStr">
        <is>
          <t>991000650769702656</t>
        </is>
      </c>
      <c r="AZ369" t="inlineStr">
        <is>
          <t>991000650769702656</t>
        </is>
      </c>
      <c r="BA369" t="inlineStr">
        <is>
          <t>2267651340002656</t>
        </is>
      </c>
      <c r="BB369" t="inlineStr">
        <is>
          <t>BOOK</t>
        </is>
      </c>
      <c r="BD369" t="inlineStr">
        <is>
          <t>9780262100083</t>
        </is>
      </c>
      <c r="BE369" t="inlineStr">
        <is>
          <t>32285001108322</t>
        </is>
      </c>
      <c r="BF369" t="inlineStr">
        <is>
          <t>893796866</t>
        </is>
      </c>
    </row>
    <row r="370">
      <c r="B370" t="inlineStr">
        <is>
          <t>CURAL</t>
        </is>
      </c>
      <c r="C370" t="inlineStr">
        <is>
          <t>SHELVES</t>
        </is>
      </c>
      <c r="D370" t="inlineStr">
        <is>
          <t>CT275.F68 N37</t>
        </is>
      </c>
      <c r="E370" t="inlineStr">
        <is>
          <t>0                      CT 0275000F  68                 N  37</t>
        </is>
      </c>
      <c r="F370" t="inlineStr">
        <is>
          <t>Ford / by Allan Nevins with the collaboration of Frank Ernest Hill.</t>
        </is>
      </c>
      <c r="G370" t="inlineStr">
        <is>
          <t>V. 3</t>
        </is>
      </c>
      <c r="H370" t="inlineStr">
        <is>
          <t>Yes</t>
        </is>
      </c>
      <c r="I370" t="inlineStr">
        <is>
          <t>1</t>
        </is>
      </c>
      <c r="J370" t="inlineStr">
        <is>
          <t>No</t>
        </is>
      </c>
      <c r="K370" t="inlineStr">
        <is>
          <t>No</t>
        </is>
      </c>
      <c r="L370" t="inlineStr">
        <is>
          <t>0</t>
        </is>
      </c>
      <c r="M370" t="inlineStr">
        <is>
          <t>Nevins, Allan, 1890-1971.</t>
        </is>
      </c>
      <c r="N370" t="inlineStr">
        <is>
          <t>New York : Scribner, 1954-[63]</t>
        </is>
      </c>
      <c r="O370" t="inlineStr">
        <is>
          <t>1954</t>
        </is>
      </c>
      <c r="Q370" t="inlineStr">
        <is>
          <t>eng</t>
        </is>
      </c>
      <c r="R370" t="inlineStr">
        <is>
          <t>nyu</t>
        </is>
      </c>
      <c r="T370" t="inlineStr">
        <is>
          <t xml:space="preserve">CT </t>
        </is>
      </c>
      <c r="U370" t="n">
        <v>1</v>
      </c>
      <c r="V370" t="n">
        <v>3</v>
      </c>
      <c r="W370" t="inlineStr">
        <is>
          <t>1992-10-30</t>
        </is>
      </c>
      <c r="X370" t="inlineStr">
        <is>
          <t>1992-10-30</t>
        </is>
      </c>
      <c r="Y370" t="inlineStr">
        <is>
          <t>1992-06-08</t>
        </is>
      </c>
      <c r="Z370" t="inlineStr">
        <is>
          <t>1992-06-08</t>
        </is>
      </c>
      <c r="AA370" t="n">
        <v>1461</v>
      </c>
      <c r="AB370" t="n">
        <v>1347</v>
      </c>
      <c r="AC370" t="n">
        <v>1471</v>
      </c>
      <c r="AD370" t="n">
        <v>11</v>
      </c>
      <c r="AE370" t="n">
        <v>13</v>
      </c>
      <c r="AF370" t="n">
        <v>51</v>
      </c>
      <c r="AG370" t="n">
        <v>59</v>
      </c>
      <c r="AH370" t="n">
        <v>23</v>
      </c>
      <c r="AI370" t="n">
        <v>26</v>
      </c>
      <c r="AJ370" t="n">
        <v>8</v>
      </c>
      <c r="AK370" t="n">
        <v>10</v>
      </c>
      <c r="AL370" t="n">
        <v>22</v>
      </c>
      <c r="AM370" t="n">
        <v>25</v>
      </c>
      <c r="AN370" t="n">
        <v>8</v>
      </c>
      <c r="AO370" t="n">
        <v>10</v>
      </c>
      <c r="AP370" t="n">
        <v>0</v>
      </c>
      <c r="AQ370" t="n">
        <v>0</v>
      </c>
      <c r="AR370" t="inlineStr">
        <is>
          <t>No</t>
        </is>
      </c>
      <c r="AS370" t="inlineStr">
        <is>
          <t>Yes</t>
        </is>
      </c>
      <c r="AT370">
        <f>HYPERLINK("http://catalog.hathitrust.org/Record/001604225","HathiTrust Record")</f>
        <v/>
      </c>
      <c r="AU370">
        <f>HYPERLINK("https://creighton-primo.hosted.exlibrisgroup.com/primo-explore/search?tab=default_tab&amp;search_scope=EVERYTHING&amp;vid=01CRU&amp;lang=en_US&amp;offset=0&amp;query=any,contains,991002657699702656","Catalog Record")</f>
        <v/>
      </c>
      <c r="AV370">
        <f>HYPERLINK("http://www.worldcat.org/oclc/390161","WorldCat Record")</f>
        <v/>
      </c>
      <c r="AW370" t="inlineStr">
        <is>
          <t>3768360171:eng</t>
        </is>
      </c>
      <c r="AX370" t="inlineStr">
        <is>
          <t>390161</t>
        </is>
      </c>
      <c r="AY370" t="inlineStr">
        <is>
          <t>991002657699702656</t>
        </is>
      </c>
      <c r="AZ370" t="inlineStr">
        <is>
          <t>991002657699702656</t>
        </is>
      </c>
      <c r="BA370" t="inlineStr">
        <is>
          <t>2262185340002656</t>
        </is>
      </c>
      <c r="BB370" t="inlineStr">
        <is>
          <t>BOOK</t>
        </is>
      </c>
      <c r="BE370" t="inlineStr">
        <is>
          <t>32285001165660</t>
        </is>
      </c>
      <c r="BF370" t="inlineStr">
        <is>
          <t>893415477</t>
        </is>
      </c>
    </row>
    <row r="371">
      <c r="B371" t="inlineStr">
        <is>
          <t>CURAL</t>
        </is>
      </c>
      <c r="C371" t="inlineStr">
        <is>
          <t>SHELVES</t>
        </is>
      </c>
      <c r="D371" t="inlineStr">
        <is>
          <t>CT275.F68 N37</t>
        </is>
      </c>
      <c r="E371" t="inlineStr">
        <is>
          <t>0                      CT 0275000F  68                 N  37</t>
        </is>
      </c>
      <c r="F371" t="inlineStr">
        <is>
          <t>Ford / by Allan Nevins with the collaboration of Frank Ernest Hill.</t>
        </is>
      </c>
      <c r="G371" t="inlineStr">
        <is>
          <t>V. 1</t>
        </is>
      </c>
      <c r="H371" t="inlineStr">
        <is>
          <t>Yes</t>
        </is>
      </c>
      <c r="I371" t="inlineStr">
        <is>
          <t>1</t>
        </is>
      </c>
      <c r="J371" t="inlineStr">
        <is>
          <t>No</t>
        </is>
      </c>
      <c r="K371" t="inlineStr">
        <is>
          <t>No</t>
        </is>
      </c>
      <c r="L371" t="inlineStr">
        <is>
          <t>0</t>
        </is>
      </c>
      <c r="M371" t="inlineStr">
        <is>
          <t>Nevins, Allan, 1890-1971.</t>
        </is>
      </c>
      <c r="N371" t="inlineStr">
        <is>
          <t>New York : Scribner, 1954-[63]</t>
        </is>
      </c>
      <c r="O371" t="inlineStr">
        <is>
          <t>1954</t>
        </is>
      </c>
      <c r="Q371" t="inlineStr">
        <is>
          <t>eng</t>
        </is>
      </c>
      <c r="R371" t="inlineStr">
        <is>
          <t>nyu</t>
        </is>
      </c>
      <c r="T371" t="inlineStr">
        <is>
          <t xml:space="preserve">CT </t>
        </is>
      </c>
      <c r="U371" t="n">
        <v>2</v>
      </c>
      <c r="V371" t="n">
        <v>3</v>
      </c>
      <c r="W371" t="inlineStr">
        <is>
          <t>1992-05-13</t>
        </is>
      </c>
      <c r="X371" t="inlineStr">
        <is>
          <t>1992-10-30</t>
        </is>
      </c>
      <c r="Y371" t="inlineStr">
        <is>
          <t>1992-05-12</t>
        </is>
      </c>
      <c r="Z371" t="inlineStr">
        <is>
          <t>1992-06-08</t>
        </is>
      </c>
      <c r="AA371" t="n">
        <v>1461</v>
      </c>
      <c r="AB371" t="n">
        <v>1347</v>
      </c>
      <c r="AC371" t="n">
        <v>1471</v>
      </c>
      <c r="AD371" t="n">
        <v>11</v>
      </c>
      <c r="AE371" t="n">
        <v>13</v>
      </c>
      <c r="AF371" t="n">
        <v>51</v>
      </c>
      <c r="AG371" t="n">
        <v>59</v>
      </c>
      <c r="AH371" t="n">
        <v>23</v>
      </c>
      <c r="AI371" t="n">
        <v>26</v>
      </c>
      <c r="AJ371" t="n">
        <v>8</v>
      </c>
      <c r="AK371" t="n">
        <v>10</v>
      </c>
      <c r="AL371" t="n">
        <v>22</v>
      </c>
      <c r="AM371" t="n">
        <v>25</v>
      </c>
      <c r="AN371" t="n">
        <v>8</v>
      </c>
      <c r="AO371" t="n">
        <v>10</v>
      </c>
      <c r="AP371" t="n">
        <v>0</v>
      </c>
      <c r="AQ371" t="n">
        <v>0</v>
      </c>
      <c r="AR371" t="inlineStr">
        <is>
          <t>No</t>
        </is>
      </c>
      <c r="AS371" t="inlineStr">
        <is>
          <t>Yes</t>
        </is>
      </c>
      <c r="AT371">
        <f>HYPERLINK("http://catalog.hathitrust.org/Record/001604225","HathiTrust Record")</f>
        <v/>
      </c>
      <c r="AU371">
        <f>HYPERLINK("https://creighton-primo.hosted.exlibrisgroup.com/primo-explore/search?tab=default_tab&amp;search_scope=EVERYTHING&amp;vid=01CRU&amp;lang=en_US&amp;offset=0&amp;query=any,contains,991002657699702656","Catalog Record")</f>
        <v/>
      </c>
      <c r="AV371">
        <f>HYPERLINK("http://www.worldcat.org/oclc/390161","WorldCat Record")</f>
        <v/>
      </c>
      <c r="AW371" t="inlineStr">
        <is>
          <t>3768360171:eng</t>
        </is>
      </c>
      <c r="AX371" t="inlineStr">
        <is>
          <t>390161</t>
        </is>
      </c>
      <c r="AY371" t="inlineStr">
        <is>
          <t>991002657699702656</t>
        </is>
      </c>
      <c r="AZ371" t="inlineStr">
        <is>
          <t>991002657699702656</t>
        </is>
      </c>
      <c r="BA371" t="inlineStr">
        <is>
          <t>2262185340002656</t>
        </is>
      </c>
      <c r="BB371" t="inlineStr">
        <is>
          <t>BOOK</t>
        </is>
      </c>
      <c r="BE371" t="inlineStr">
        <is>
          <t>32285001108314</t>
        </is>
      </c>
      <c r="BF371" t="inlineStr">
        <is>
          <t>893427837</t>
        </is>
      </c>
    </row>
    <row r="372">
      <c r="B372" t="inlineStr">
        <is>
          <t>CURAL</t>
        </is>
      </c>
      <c r="C372" t="inlineStr">
        <is>
          <t>SHELVES</t>
        </is>
      </c>
      <c r="D372" t="inlineStr">
        <is>
          <t>CT275.G755 L4 1963</t>
        </is>
      </c>
      <c r="E372" t="inlineStr">
        <is>
          <t>0                      CT 0275000G  755                L  4           1963</t>
        </is>
      </c>
      <c r="F372" t="inlineStr">
        <is>
          <t>The day they shook the plum tree / Arthur H. Lewis.</t>
        </is>
      </c>
      <c r="H372" t="inlineStr">
        <is>
          <t>No</t>
        </is>
      </c>
      <c r="I372" t="inlineStr">
        <is>
          <t>1</t>
        </is>
      </c>
      <c r="J372" t="inlineStr">
        <is>
          <t>No</t>
        </is>
      </c>
      <c r="K372" t="inlineStr">
        <is>
          <t>No</t>
        </is>
      </c>
      <c r="L372" t="inlineStr">
        <is>
          <t>0</t>
        </is>
      </c>
      <c r="M372" t="inlineStr">
        <is>
          <t>Lewis, Arthur H., 1906-1995.</t>
        </is>
      </c>
      <c r="N372" t="inlineStr">
        <is>
          <t>New York : Harcourt, Brace &amp; World, [c1963]</t>
        </is>
      </c>
      <c r="O372" t="inlineStr">
        <is>
          <t>1963</t>
        </is>
      </c>
      <c r="Q372" t="inlineStr">
        <is>
          <t>eng</t>
        </is>
      </c>
      <c r="R372" t="inlineStr">
        <is>
          <t>nyu</t>
        </is>
      </c>
      <c r="T372" t="inlineStr">
        <is>
          <t xml:space="preserve">CT </t>
        </is>
      </c>
      <c r="U372" t="n">
        <v>1</v>
      </c>
      <c r="V372" t="n">
        <v>1</v>
      </c>
      <c r="W372" t="inlineStr">
        <is>
          <t>2006-08-31</t>
        </is>
      </c>
      <c r="X372" t="inlineStr">
        <is>
          <t>2006-08-31</t>
        </is>
      </c>
      <c r="Y372" t="inlineStr">
        <is>
          <t>1992-06-08</t>
        </is>
      </c>
      <c r="Z372" t="inlineStr">
        <is>
          <t>1992-06-08</t>
        </is>
      </c>
      <c r="AA372" t="n">
        <v>718</v>
      </c>
      <c r="AB372" t="n">
        <v>699</v>
      </c>
      <c r="AC372" t="n">
        <v>750</v>
      </c>
      <c r="AD372" t="n">
        <v>6</v>
      </c>
      <c r="AE372" t="n">
        <v>8</v>
      </c>
      <c r="AF372" t="n">
        <v>20</v>
      </c>
      <c r="AG372" t="n">
        <v>22</v>
      </c>
      <c r="AH372" t="n">
        <v>7</v>
      </c>
      <c r="AI372" t="n">
        <v>7</v>
      </c>
      <c r="AJ372" t="n">
        <v>4</v>
      </c>
      <c r="AK372" t="n">
        <v>4</v>
      </c>
      <c r="AL372" t="n">
        <v>11</v>
      </c>
      <c r="AM372" t="n">
        <v>11</v>
      </c>
      <c r="AN372" t="n">
        <v>1</v>
      </c>
      <c r="AO372" t="n">
        <v>3</v>
      </c>
      <c r="AP372" t="n">
        <v>1</v>
      </c>
      <c r="AQ372" t="n">
        <v>1</v>
      </c>
      <c r="AR372" t="inlineStr">
        <is>
          <t>No</t>
        </is>
      </c>
      <c r="AS372" t="inlineStr">
        <is>
          <t>Yes</t>
        </is>
      </c>
      <c r="AT372">
        <f>HYPERLINK("http://catalog.hathitrust.org/Record/004429489","HathiTrust Record")</f>
        <v/>
      </c>
      <c r="AU372">
        <f>HYPERLINK("https://creighton-primo.hosted.exlibrisgroup.com/primo-explore/search?tab=default_tab&amp;search_scope=EVERYTHING&amp;vid=01CRU&amp;lang=en_US&amp;offset=0&amp;query=any,contains,991003072999702656","Catalog Record")</f>
        <v/>
      </c>
      <c r="AV372">
        <f>HYPERLINK("http://www.worldcat.org/oclc/627182","WorldCat Record")</f>
        <v/>
      </c>
      <c r="AW372" t="inlineStr">
        <is>
          <t>32224225:eng</t>
        </is>
      </c>
      <c r="AX372" t="inlineStr">
        <is>
          <t>627182</t>
        </is>
      </c>
      <c r="AY372" t="inlineStr">
        <is>
          <t>991003072999702656</t>
        </is>
      </c>
      <c r="AZ372" t="inlineStr">
        <is>
          <t>991003072999702656</t>
        </is>
      </c>
      <c r="BA372" t="inlineStr">
        <is>
          <t>2257819940002656</t>
        </is>
      </c>
      <c r="BB372" t="inlineStr">
        <is>
          <t>BOOK</t>
        </is>
      </c>
      <c r="BE372" t="inlineStr">
        <is>
          <t>32285001165678</t>
        </is>
      </c>
      <c r="BF372" t="inlineStr">
        <is>
          <t>893348310</t>
        </is>
      </c>
    </row>
    <row r="373">
      <c r="B373" t="inlineStr">
        <is>
          <t>CURAL</t>
        </is>
      </c>
      <c r="C373" t="inlineStr">
        <is>
          <t>SHELVES</t>
        </is>
      </c>
      <c r="D373" t="inlineStr">
        <is>
          <t>CT275.H5863 S5</t>
        </is>
      </c>
      <c r="E373" t="inlineStr">
        <is>
          <t>0                      CT 0275000H  5863               S  5</t>
        </is>
      </c>
      <c r="F373" t="inlineStr">
        <is>
          <t>Milton S. Hershey, builder, by Joseph Richard Snavely ...</t>
        </is>
      </c>
      <c r="H373" t="inlineStr">
        <is>
          <t>No</t>
        </is>
      </c>
      <c r="I373" t="inlineStr">
        <is>
          <t>1</t>
        </is>
      </c>
      <c r="J373" t="inlineStr">
        <is>
          <t>No</t>
        </is>
      </c>
      <c r="K373" t="inlineStr">
        <is>
          <t>No</t>
        </is>
      </c>
      <c r="L373" t="inlineStr">
        <is>
          <t>0</t>
        </is>
      </c>
      <c r="M373" t="inlineStr">
        <is>
          <t>Snavely, Joseph Richard.</t>
        </is>
      </c>
      <c r="O373" t="inlineStr">
        <is>
          <t>1935</t>
        </is>
      </c>
      <c r="Q373" t="inlineStr">
        <is>
          <t>eng</t>
        </is>
      </c>
      <c r="R373" t="inlineStr">
        <is>
          <t>pau</t>
        </is>
      </c>
      <c r="T373" t="inlineStr">
        <is>
          <t xml:space="preserve">CT </t>
        </is>
      </c>
      <c r="U373" t="n">
        <v>3</v>
      </c>
      <c r="V373" t="n">
        <v>3</v>
      </c>
      <c r="W373" t="inlineStr">
        <is>
          <t>2010-11-21</t>
        </is>
      </c>
      <c r="X373" t="inlineStr">
        <is>
          <t>2010-11-21</t>
        </is>
      </c>
      <c r="Y373" t="inlineStr">
        <is>
          <t>1996-08-22</t>
        </is>
      </c>
      <c r="Z373" t="inlineStr">
        <is>
          <t>1996-08-22</t>
        </is>
      </c>
      <c r="AA373" t="n">
        <v>216</v>
      </c>
      <c r="AB373" t="n">
        <v>214</v>
      </c>
      <c r="AC373" t="n">
        <v>253</v>
      </c>
      <c r="AD373" t="n">
        <v>1</v>
      </c>
      <c r="AE373" t="n">
        <v>1</v>
      </c>
      <c r="AF373" t="n">
        <v>9</v>
      </c>
      <c r="AG373" t="n">
        <v>12</v>
      </c>
      <c r="AH373" t="n">
        <v>4</v>
      </c>
      <c r="AI373" t="n">
        <v>5</v>
      </c>
      <c r="AJ373" t="n">
        <v>2</v>
      </c>
      <c r="AK373" t="n">
        <v>4</v>
      </c>
      <c r="AL373" t="n">
        <v>5</v>
      </c>
      <c r="AM373" t="n">
        <v>7</v>
      </c>
      <c r="AN373" t="n">
        <v>0</v>
      </c>
      <c r="AO373" t="n">
        <v>0</v>
      </c>
      <c r="AP373" t="n">
        <v>0</v>
      </c>
      <c r="AQ373" t="n">
        <v>0</v>
      </c>
      <c r="AR373" t="inlineStr">
        <is>
          <t>Yes</t>
        </is>
      </c>
      <c r="AS373" t="inlineStr">
        <is>
          <t>No</t>
        </is>
      </c>
      <c r="AT373">
        <f>HYPERLINK("http://catalog.hathitrust.org/Record/001604229","HathiTrust Record")</f>
        <v/>
      </c>
      <c r="AU373">
        <f>HYPERLINK("https://creighton-primo.hosted.exlibrisgroup.com/primo-explore/search?tab=default_tab&amp;search_scope=EVERYTHING&amp;vid=01CRU&amp;lang=en_US&amp;offset=0&amp;query=any,contains,991002252729702656","Catalog Record")</f>
        <v/>
      </c>
      <c r="AV373">
        <f>HYPERLINK("http://www.worldcat.org/oclc/299845","WorldCat Record")</f>
        <v/>
      </c>
      <c r="AW373" t="inlineStr">
        <is>
          <t>1511001:eng</t>
        </is>
      </c>
      <c r="AX373" t="inlineStr">
        <is>
          <t>299845</t>
        </is>
      </c>
      <c r="AY373" t="inlineStr">
        <is>
          <t>991002252729702656</t>
        </is>
      </c>
      <c r="AZ373" t="inlineStr">
        <is>
          <t>991002252729702656</t>
        </is>
      </c>
      <c r="BA373" t="inlineStr">
        <is>
          <t>2264338270002656</t>
        </is>
      </c>
      <c r="BB373" t="inlineStr">
        <is>
          <t>BOOK</t>
        </is>
      </c>
      <c r="BE373" t="inlineStr">
        <is>
          <t>32285002285228</t>
        </is>
      </c>
      <c r="BF373" t="inlineStr">
        <is>
          <t>893510506</t>
        </is>
      </c>
    </row>
    <row r="374">
      <c r="B374" t="inlineStr">
        <is>
          <t>CURAL</t>
        </is>
      </c>
      <c r="C374" t="inlineStr">
        <is>
          <t>SHELVES</t>
        </is>
      </c>
      <c r="D374" t="inlineStr">
        <is>
          <t>CT275.H59926 A3 2004</t>
        </is>
      </c>
      <c r="E374" t="inlineStr">
        <is>
          <t>0                      CT 0275000H  59926              A  3           2004</t>
        </is>
      </c>
      <c r="F374" t="inlineStr">
        <is>
          <t>Confessions of an heiress : a tongue-in-chic peek behind the pose / Paris Hilton with Merle Ginsberg ; photographs by Jeff Vespa and WireImage.</t>
        </is>
      </c>
      <c r="H374" t="inlineStr">
        <is>
          <t>No</t>
        </is>
      </c>
      <c r="I374" t="inlineStr">
        <is>
          <t>1</t>
        </is>
      </c>
      <c r="J374" t="inlineStr">
        <is>
          <t>No</t>
        </is>
      </c>
      <c r="K374" t="inlineStr">
        <is>
          <t>No</t>
        </is>
      </c>
      <c r="L374" t="inlineStr">
        <is>
          <t>0</t>
        </is>
      </c>
      <c r="M374" t="inlineStr">
        <is>
          <t>Hilton, Paris, 1981-</t>
        </is>
      </c>
      <c r="N374" t="inlineStr">
        <is>
          <t>New York : Simon &amp; Schuster, c2004.</t>
        </is>
      </c>
      <c r="O374" t="inlineStr">
        <is>
          <t>2004</t>
        </is>
      </c>
      <c r="Q374" t="inlineStr">
        <is>
          <t>eng</t>
        </is>
      </c>
      <c r="R374" t="inlineStr">
        <is>
          <t>nyu</t>
        </is>
      </c>
      <c r="T374" t="inlineStr">
        <is>
          <t xml:space="preserve">CT </t>
        </is>
      </c>
      <c r="U374" t="n">
        <v>7</v>
      </c>
      <c r="V374" t="n">
        <v>7</v>
      </c>
      <c r="W374" t="inlineStr">
        <is>
          <t>2004-11-07</t>
        </is>
      </c>
      <c r="X374" t="inlineStr">
        <is>
          <t>2004-11-07</t>
        </is>
      </c>
      <c r="Y374" t="inlineStr">
        <is>
          <t>2004-10-13</t>
        </is>
      </c>
      <c r="Z374" t="inlineStr">
        <is>
          <t>2004-10-13</t>
        </is>
      </c>
      <c r="AA374" t="n">
        <v>480</v>
      </c>
      <c r="AB374" t="n">
        <v>451</v>
      </c>
      <c r="AC374" t="n">
        <v>499</v>
      </c>
      <c r="AD374" t="n">
        <v>3</v>
      </c>
      <c r="AE374" t="n">
        <v>4</v>
      </c>
      <c r="AF374" t="n">
        <v>1</v>
      </c>
      <c r="AG374" t="n">
        <v>1</v>
      </c>
      <c r="AH374" t="n">
        <v>0</v>
      </c>
      <c r="AI374" t="n">
        <v>0</v>
      </c>
      <c r="AJ374" t="n">
        <v>0</v>
      </c>
      <c r="AK374" t="n">
        <v>0</v>
      </c>
      <c r="AL374" t="n">
        <v>0</v>
      </c>
      <c r="AM374" t="n">
        <v>0</v>
      </c>
      <c r="AN374" t="n">
        <v>0</v>
      </c>
      <c r="AO374" t="n">
        <v>0</v>
      </c>
      <c r="AP374" t="n">
        <v>1</v>
      </c>
      <c r="AQ374" t="n">
        <v>1</v>
      </c>
      <c r="AR374" t="inlineStr">
        <is>
          <t>No</t>
        </is>
      </c>
      <c r="AS374" t="inlineStr">
        <is>
          <t>No</t>
        </is>
      </c>
      <c r="AU374">
        <f>HYPERLINK("https://creighton-primo.hosted.exlibrisgroup.com/primo-explore/search?tab=default_tab&amp;search_scope=EVERYTHING&amp;vid=01CRU&amp;lang=en_US&amp;offset=0&amp;query=any,contains,991004398029702656","Catalog Record")</f>
        <v/>
      </c>
      <c r="AV374">
        <f>HYPERLINK("http://www.worldcat.org/oclc/55962286","WorldCat Record")</f>
        <v/>
      </c>
      <c r="AW374" t="inlineStr">
        <is>
          <t>864943732:eng</t>
        </is>
      </c>
      <c r="AX374" t="inlineStr">
        <is>
          <t>55962286</t>
        </is>
      </c>
      <c r="AY374" t="inlineStr">
        <is>
          <t>991004398029702656</t>
        </is>
      </c>
      <c r="AZ374" t="inlineStr">
        <is>
          <t>991004398029702656</t>
        </is>
      </c>
      <c r="BA374" t="inlineStr">
        <is>
          <t>2264331920002656</t>
        </is>
      </c>
      <c r="BB374" t="inlineStr">
        <is>
          <t>BOOK</t>
        </is>
      </c>
      <c r="BD374" t="inlineStr">
        <is>
          <t>9780743266642</t>
        </is>
      </c>
      <c r="BE374" t="inlineStr">
        <is>
          <t>32285005003750</t>
        </is>
      </c>
      <c r="BF374" t="inlineStr">
        <is>
          <t>893325337</t>
        </is>
      </c>
    </row>
    <row r="375">
      <c r="B375" t="inlineStr">
        <is>
          <t>CURAL</t>
        </is>
      </c>
      <c r="C375" t="inlineStr">
        <is>
          <t>SHELVES</t>
        </is>
      </c>
      <c r="D375" t="inlineStr">
        <is>
          <t>CT275.H6678 P47</t>
        </is>
      </c>
      <c r="E375" t="inlineStr">
        <is>
          <t>0                      CT 0275000H  6678               P  47</t>
        </is>
      </c>
      <c r="F375" t="inlineStr">
        <is>
          <t>Howard Hughes, the hidden years / James Phelan.</t>
        </is>
      </c>
      <c r="H375" t="inlineStr">
        <is>
          <t>No</t>
        </is>
      </c>
      <c r="I375" t="inlineStr">
        <is>
          <t>1</t>
        </is>
      </c>
      <c r="J375" t="inlineStr">
        <is>
          <t>No</t>
        </is>
      </c>
      <c r="K375" t="inlineStr">
        <is>
          <t>No</t>
        </is>
      </c>
      <c r="L375" t="inlineStr">
        <is>
          <t>0</t>
        </is>
      </c>
      <c r="M375" t="inlineStr">
        <is>
          <t>Phelan, James, 1912-1997.</t>
        </is>
      </c>
      <c r="N375" t="inlineStr">
        <is>
          <t>New York : Random House, c1976.</t>
        </is>
      </c>
      <c r="O375" t="inlineStr">
        <is>
          <t>1976</t>
        </is>
      </c>
      <c r="P375" t="inlineStr">
        <is>
          <t>1st ed.</t>
        </is>
      </c>
      <c r="Q375" t="inlineStr">
        <is>
          <t>eng</t>
        </is>
      </c>
      <c r="R375" t="inlineStr">
        <is>
          <t>nyu</t>
        </is>
      </c>
      <c r="T375" t="inlineStr">
        <is>
          <t xml:space="preserve">CT </t>
        </is>
      </c>
      <c r="U375" t="n">
        <v>7</v>
      </c>
      <c r="V375" t="n">
        <v>7</v>
      </c>
      <c r="W375" t="inlineStr">
        <is>
          <t>2002-04-22</t>
        </is>
      </c>
      <c r="X375" t="inlineStr">
        <is>
          <t>2002-04-22</t>
        </is>
      </c>
      <c r="Y375" t="inlineStr">
        <is>
          <t>1996-08-22</t>
        </is>
      </c>
      <c r="Z375" t="inlineStr">
        <is>
          <t>1996-08-22</t>
        </is>
      </c>
      <c r="AA375" t="n">
        <v>1123</v>
      </c>
      <c r="AB375" t="n">
        <v>1081</v>
      </c>
      <c r="AC375" t="n">
        <v>1169</v>
      </c>
      <c r="AD375" t="n">
        <v>6</v>
      </c>
      <c r="AE375" t="n">
        <v>6</v>
      </c>
      <c r="AF375" t="n">
        <v>9</v>
      </c>
      <c r="AG375" t="n">
        <v>10</v>
      </c>
      <c r="AH375" t="n">
        <v>4</v>
      </c>
      <c r="AI375" t="n">
        <v>4</v>
      </c>
      <c r="AJ375" t="n">
        <v>3</v>
      </c>
      <c r="AK375" t="n">
        <v>4</v>
      </c>
      <c r="AL375" t="n">
        <v>3</v>
      </c>
      <c r="AM375" t="n">
        <v>4</v>
      </c>
      <c r="AN375" t="n">
        <v>1</v>
      </c>
      <c r="AO375" t="n">
        <v>1</v>
      </c>
      <c r="AP375" t="n">
        <v>0</v>
      </c>
      <c r="AQ375" t="n">
        <v>0</v>
      </c>
      <c r="AR375" t="inlineStr">
        <is>
          <t>No</t>
        </is>
      </c>
      <c r="AS375" t="inlineStr">
        <is>
          <t>Yes</t>
        </is>
      </c>
      <c r="AT375">
        <f>HYPERLINK("http://catalog.hathitrust.org/Record/000130198","HathiTrust Record")</f>
        <v/>
      </c>
      <c r="AU375">
        <f>HYPERLINK("https://creighton-primo.hosted.exlibrisgroup.com/primo-explore/search?tab=default_tab&amp;search_scope=EVERYTHING&amp;vid=01CRU&amp;lang=en_US&amp;offset=0&amp;query=any,contains,991004198939702656","Catalog Record")</f>
        <v/>
      </c>
      <c r="AV375">
        <f>HYPERLINK("http://www.worldcat.org/oclc/2646341","WorldCat Record")</f>
        <v/>
      </c>
      <c r="AW375" t="inlineStr">
        <is>
          <t>3855319865:eng</t>
        </is>
      </c>
      <c r="AX375" t="inlineStr">
        <is>
          <t>2646341</t>
        </is>
      </c>
      <c r="AY375" t="inlineStr">
        <is>
          <t>991004198939702656</t>
        </is>
      </c>
      <c r="AZ375" t="inlineStr">
        <is>
          <t>991004198939702656</t>
        </is>
      </c>
      <c r="BA375" t="inlineStr">
        <is>
          <t>2255165350002656</t>
        </is>
      </c>
      <c r="BB375" t="inlineStr">
        <is>
          <t>BOOK</t>
        </is>
      </c>
      <c r="BD375" t="inlineStr">
        <is>
          <t>9780394410425</t>
        </is>
      </c>
      <c r="BE375" t="inlineStr">
        <is>
          <t>32285002285269</t>
        </is>
      </c>
      <c r="BF375" t="inlineStr">
        <is>
          <t>893442333</t>
        </is>
      </c>
    </row>
    <row r="376">
      <c r="B376" t="inlineStr">
        <is>
          <t>CURAL</t>
        </is>
      </c>
      <c r="C376" t="inlineStr">
        <is>
          <t>SHELVES</t>
        </is>
      </c>
      <c r="D376" t="inlineStr">
        <is>
          <t>CT275.I15 G73 2005</t>
        </is>
      </c>
      <c r="E376" t="inlineStr">
        <is>
          <t>0                      CT 0275000I  15                 G  73          2005</t>
        </is>
      </c>
      <c r="F376" t="inlineStr">
        <is>
          <t>Them : a memoir of parents / Francine du Plessix Gray.</t>
        </is>
      </c>
      <c r="H376" t="inlineStr">
        <is>
          <t>No</t>
        </is>
      </c>
      <c r="I376" t="inlineStr">
        <is>
          <t>1</t>
        </is>
      </c>
      <c r="J376" t="inlineStr">
        <is>
          <t>No</t>
        </is>
      </c>
      <c r="K376" t="inlineStr">
        <is>
          <t>No</t>
        </is>
      </c>
      <c r="L376" t="inlineStr">
        <is>
          <t>0</t>
        </is>
      </c>
      <c r="M376" t="inlineStr">
        <is>
          <t>Gray, Francine du Plessix.</t>
        </is>
      </c>
      <c r="N376" t="inlineStr">
        <is>
          <t>New York : Penguin Press, 2005.</t>
        </is>
      </c>
      <c r="O376" t="inlineStr">
        <is>
          <t>2005</t>
        </is>
      </c>
      <c r="Q376" t="inlineStr">
        <is>
          <t>eng</t>
        </is>
      </c>
      <c r="R376" t="inlineStr">
        <is>
          <t>nyu</t>
        </is>
      </c>
      <c r="T376" t="inlineStr">
        <is>
          <t xml:space="preserve">CT </t>
        </is>
      </c>
      <c r="U376" t="n">
        <v>1</v>
      </c>
      <c r="V376" t="n">
        <v>1</v>
      </c>
      <c r="W376" t="inlineStr">
        <is>
          <t>2006-05-10</t>
        </is>
      </c>
      <c r="X376" t="inlineStr">
        <is>
          <t>2006-05-10</t>
        </is>
      </c>
      <c r="Y376" t="inlineStr">
        <is>
          <t>2006-05-10</t>
        </is>
      </c>
      <c r="Z376" t="inlineStr">
        <is>
          <t>2006-05-10</t>
        </is>
      </c>
      <c r="AA376" t="n">
        <v>834</v>
      </c>
      <c r="AB376" t="n">
        <v>774</v>
      </c>
      <c r="AC376" t="n">
        <v>790</v>
      </c>
      <c r="AD376" t="n">
        <v>4</v>
      </c>
      <c r="AE376" t="n">
        <v>4</v>
      </c>
      <c r="AF376" t="n">
        <v>16</v>
      </c>
      <c r="AG376" t="n">
        <v>16</v>
      </c>
      <c r="AH376" t="n">
        <v>6</v>
      </c>
      <c r="AI376" t="n">
        <v>6</v>
      </c>
      <c r="AJ376" t="n">
        <v>7</v>
      </c>
      <c r="AK376" t="n">
        <v>7</v>
      </c>
      <c r="AL376" t="n">
        <v>9</v>
      </c>
      <c r="AM376" t="n">
        <v>9</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HYPERLINK("https://creighton-primo.hosted.exlibrisgroup.com/primo-explore/search?tab=default_tab&amp;search_scope=EVERYTHING&amp;vid=01CRU&amp;lang=en_US&amp;offset=0&amp;query=any,contains,991004817759702656","Catalog Record")</f>
        <v/>
      </c>
      <c r="AV376">
        <f>HYPERLINK("http://www.worldcat.org/oclc/57357443","WorldCat Record")</f>
        <v/>
      </c>
      <c r="AW376" t="inlineStr">
        <is>
          <t>12133:eng</t>
        </is>
      </c>
      <c r="AX376" t="inlineStr">
        <is>
          <t>57357443</t>
        </is>
      </c>
      <c r="AY376" t="inlineStr">
        <is>
          <t>991004817759702656</t>
        </is>
      </c>
      <c r="AZ376" t="inlineStr">
        <is>
          <t>991004817759702656</t>
        </is>
      </c>
      <c r="BA376" t="inlineStr">
        <is>
          <t>2270654570002656</t>
        </is>
      </c>
      <c r="BB376" t="inlineStr">
        <is>
          <t>BOOK</t>
        </is>
      </c>
      <c r="BD376" t="inlineStr">
        <is>
          <t>9781594200496</t>
        </is>
      </c>
      <c r="BE376" t="inlineStr">
        <is>
          <t>32285005186340</t>
        </is>
      </c>
      <c r="BF376" t="inlineStr">
        <is>
          <t>893882987</t>
        </is>
      </c>
    </row>
    <row r="377">
      <c r="B377" t="inlineStr">
        <is>
          <t>CURAL</t>
        </is>
      </c>
      <c r="C377" t="inlineStr">
        <is>
          <t>SHELVES</t>
        </is>
      </c>
      <c r="D377" t="inlineStr">
        <is>
          <t>CT275.J29 A3</t>
        </is>
      </c>
      <c r="E377" t="inlineStr">
        <is>
          <t>0                      CT 0275000J  29                 A  3</t>
        </is>
      </c>
      <c r="F377" t="inlineStr">
        <is>
          <t>The diary of Alice James. Edited with an introd. by Leon Edel.</t>
        </is>
      </c>
      <c r="H377" t="inlineStr">
        <is>
          <t>No</t>
        </is>
      </c>
      <c r="I377" t="inlineStr">
        <is>
          <t>1</t>
        </is>
      </c>
      <c r="J377" t="inlineStr">
        <is>
          <t>No</t>
        </is>
      </c>
      <c r="K377" t="inlineStr">
        <is>
          <t>No</t>
        </is>
      </c>
      <c r="L377" t="inlineStr">
        <is>
          <t>0</t>
        </is>
      </c>
      <c r="M377" t="inlineStr">
        <is>
          <t>James, Alice, 1848-1892.</t>
        </is>
      </c>
      <c r="N377" t="inlineStr">
        <is>
          <t>New York, Dodd, Mead [1964]</t>
        </is>
      </c>
      <c r="O377" t="inlineStr">
        <is>
          <t>1964</t>
        </is>
      </c>
      <c r="Q377" t="inlineStr">
        <is>
          <t>eng</t>
        </is>
      </c>
      <c r="R377" t="inlineStr">
        <is>
          <t>nyu</t>
        </is>
      </c>
      <c r="T377" t="inlineStr">
        <is>
          <t xml:space="preserve">CT </t>
        </is>
      </c>
      <c r="U377" t="n">
        <v>1</v>
      </c>
      <c r="V377" t="n">
        <v>1</v>
      </c>
      <c r="W377" t="inlineStr">
        <is>
          <t>2010-06-04</t>
        </is>
      </c>
      <c r="X377" t="inlineStr">
        <is>
          <t>2010-06-04</t>
        </is>
      </c>
      <c r="Y377" t="inlineStr">
        <is>
          <t>1996-08-22</t>
        </is>
      </c>
      <c r="Z377" t="inlineStr">
        <is>
          <t>1996-08-22</t>
        </is>
      </c>
      <c r="AA377" t="n">
        <v>803</v>
      </c>
      <c r="AB377" t="n">
        <v>752</v>
      </c>
      <c r="AC377" t="n">
        <v>1050</v>
      </c>
      <c r="AD377" t="n">
        <v>6</v>
      </c>
      <c r="AE377" t="n">
        <v>8</v>
      </c>
      <c r="AF377" t="n">
        <v>25</v>
      </c>
      <c r="AG377" t="n">
        <v>37</v>
      </c>
      <c r="AH377" t="n">
        <v>10</v>
      </c>
      <c r="AI377" t="n">
        <v>12</v>
      </c>
      <c r="AJ377" t="n">
        <v>6</v>
      </c>
      <c r="AK377" t="n">
        <v>9</v>
      </c>
      <c r="AL377" t="n">
        <v>13</v>
      </c>
      <c r="AM377" t="n">
        <v>17</v>
      </c>
      <c r="AN377" t="n">
        <v>4</v>
      </c>
      <c r="AO377" t="n">
        <v>6</v>
      </c>
      <c r="AP377" t="n">
        <v>0</v>
      </c>
      <c r="AQ377" t="n">
        <v>1</v>
      </c>
      <c r="AR377" t="inlineStr">
        <is>
          <t>No</t>
        </is>
      </c>
      <c r="AS377" t="inlineStr">
        <is>
          <t>Yes</t>
        </is>
      </c>
      <c r="AT377">
        <f>HYPERLINK("http://catalog.hathitrust.org/Record/001598645","HathiTrust Record")</f>
        <v/>
      </c>
      <c r="AU377">
        <f>HYPERLINK("https://creighton-primo.hosted.exlibrisgroup.com/primo-explore/search?tab=default_tab&amp;search_scope=EVERYTHING&amp;vid=01CRU&amp;lang=en_US&amp;offset=0&amp;query=any,contains,991001206809702656","Catalog Record")</f>
        <v/>
      </c>
      <c r="AV377">
        <f>HYPERLINK("http://www.worldcat.org/oclc/192259","WorldCat Record")</f>
        <v/>
      </c>
      <c r="AW377" t="inlineStr">
        <is>
          <t>4918389165:eng</t>
        </is>
      </c>
      <c r="AX377" t="inlineStr">
        <is>
          <t>192259</t>
        </is>
      </c>
      <c r="AY377" t="inlineStr">
        <is>
          <t>991001206809702656</t>
        </is>
      </c>
      <c r="AZ377" t="inlineStr">
        <is>
          <t>991001206809702656</t>
        </is>
      </c>
      <c r="BA377" t="inlineStr">
        <is>
          <t>2258529510002656</t>
        </is>
      </c>
      <c r="BB377" t="inlineStr">
        <is>
          <t>BOOK</t>
        </is>
      </c>
      <c r="BE377" t="inlineStr">
        <is>
          <t>32285002285285</t>
        </is>
      </c>
      <c r="BF377" t="inlineStr">
        <is>
          <t>893243945</t>
        </is>
      </c>
    </row>
    <row r="378">
      <c r="B378" t="inlineStr">
        <is>
          <t>CURAL</t>
        </is>
      </c>
      <c r="C378" t="inlineStr">
        <is>
          <t>SHELVES</t>
        </is>
      </c>
      <c r="D378" t="inlineStr">
        <is>
          <t>CT275.J29 S77</t>
        </is>
      </c>
      <c r="E378" t="inlineStr">
        <is>
          <t>0                      CT 0275000J  29                 S  77</t>
        </is>
      </c>
      <c r="F378" t="inlineStr">
        <is>
          <t>Alice James, a biography / Jean Strouse.</t>
        </is>
      </c>
      <c r="H378" t="inlineStr">
        <is>
          <t>No</t>
        </is>
      </c>
      <c r="I378" t="inlineStr">
        <is>
          <t>1</t>
        </is>
      </c>
      <c r="J378" t="inlineStr">
        <is>
          <t>No</t>
        </is>
      </c>
      <c r="K378" t="inlineStr">
        <is>
          <t>No</t>
        </is>
      </c>
      <c r="L378" t="inlineStr">
        <is>
          <t>0</t>
        </is>
      </c>
      <c r="M378" t="inlineStr">
        <is>
          <t>Strouse, Jean.</t>
        </is>
      </c>
      <c r="N378" t="inlineStr">
        <is>
          <t>Boston : Houghton Mifflin, c1980.</t>
        </is>
      </c>
      <c r="O378" t="inlineStr">
        <is>
          <t>1980</t>
        </is>
      </c>
      <c r="Q378" t="inlineStr">
        <is>
          <t>eng</t>
        </is>
      </c>
      <c r="R378" t="inlineStr">
        <is>
          <t>mau</t>
        </is>
      </c>
      <c r="T378" t="inlineStr">
        <is>
          <t xml:space="preserve">CT </t>
        </is>
      </c>
      <c r="U378" t="n">
        <v>2</v>
      </c>
      <c r="V378" t="n">
        <v>2</v>
      </c>
      <c r="W378" t="inlineStr">
        <is>
          <t>2004-03-02</t>
        </is>
      </c>
      <c r="X378" t="inlineStr">
        <is>
          <t>2004-03-02</t>
        </is>
      </c>
      <c r="Y378" t="inlineStr">
        <is>
          <t>1992-06-08</t>
        </is>
      </c>
      <c r="Z378" t="inlineStr">
        <is>
          <t>1992-06-08</t>
        </is>
      </c>
      <c r="AA378" t="n">
        <v>1175</v>
      </c>
      <c r="AB378" t="n">
        <v>1082</v>
      </c>
      <c r="AC378" t="n">
        <v>1203</v>
      </c>
      <c r="AD378" t="n">
        <v>8</v>
      </c>
      <c r="AE378" t="n">
        <v>8</v>
      </c>
      <c r="AF378" t="n">
        <v>41</v>
      </c>
      <c r="AG378" t="n">
        <v>41</v>
      </c>
      <c r="AH378" t="n">
        <v>18</v>
      </c>
      <c r="AI378" t="n">
        <v>18</v>
      </c>
      <c r="AJ378" t="n">
        <v>10</v>
      </c>
      <c r="AK378" t="n">
        <v>10</v>
      </c>
      <c r="AL378" t="n">
        <v>19</v>
      </c>
      <c r="AM378" t="n">
        <v>19</v>
      </c>
      <c r="AN378" t="n">
        <v>5</v>
      </c>
      <c r="AO378" t="n">
        <v>5</v>
      </c>
      <c r="AP378" t="n">
        <v>0</v>
      </c>
      <c r="AQ378" t="n">
        <v>0</v>
      </c>
      <c r="AR378" t="inlineStr">
        <is>
          <t>No</t>
        </is>
      </c>
      <c r="AS378" t="inlineStr">
        <is>
          <t>Yes</t>
        </is>
      </c>
      <c r="AT378">
        <f>HYPERLINK("http://catalog.hathitrust.org/Record/000082624","HathiTrust Record")</f>
        <v/>
      </c>
      <c r="AU378">
        <f>HYPERLINK("https://creighton-primo.hosted.exlibrisgroup.com/primo-explore/search?tab=default_tab&amp;search_scope=EVERYTHING&amp;vid=01CRU&amp;lang=en_US&amp;offset=0&amp;query=any,contains,991005033549702656","Catalog Record")</f>
        <v/>
      </c>
      <c r="AV378">
        <f>HYPERLINK("http://www.worldcat.org/oclc/6735548","WorldCat Record")</f>
        <v/>
      </c>
      <c r="AW378" t="inlineStr">
        <is>
          <t>510680:eng</t>
        </is>
      </c>
      <c r="AX378" t="inlineStr">
        <is>
          <t>6735548</t>
        </is>
      </c>
      <c r="AY378" t="inlineStr">
        <is>
          <t>991005033549702656</t>
        </is>
      </c>
      <c r="AZ378" t="inlineStr">
        <is>
          <t>991005033549702656</t>
        </is>
      </c>
      <c r="BA378" t="inlineStr">
        <is>
          <t>2267982020002656</t>
        </is>
      </c>
      <c r="BB378" t="inlineStr">
        <is>
          <t>BOOK</t>
        </is>
      </c>
      <c r="BD378" t="inlineStr">
        <is>
          <t>9780395277874</t>
        </is>
      </c>
      <c r="BE378" t="inlineStr">
        <is>
          <t>32285001165728</t>
        </is>
      </c>
      <c r="BF378" t="inlineStr">
        <is>
          <t>893526793</t>
        </is>
      </c>
    </row>
    <row r="379">
      <c r="B379" t="inlineStr">
        <is>
          <t>CURAL</t>
        </is>
      </c>
      <c r="C379" t="inlineStr">
        <is>
          <t>SHELVES</t>
        </is>
      </c>
      <c r="D379" t="inlineStr">
        <is>
          <t>CT275.L459 L45 2005</t>
        </is>
      </c>
      <c r="E379" t="inlineStr">
        <is>
          <t>0                      CT 0275000L  459                L  45          2005</t>
        </is>
      </c>
      <c r="F379" t="inlineStr">
        <is>
          <t>Omaha blues : a memory loop / Joseph Lelyveld.</t>
        </is>
      </c>
      <c r="H379" t="inlineStr">
        <is>
          <t>No</t>
        </is>
      </c>
      <c r="I379" t="inlineStr">
        <is>
          <t>1</t>
        </is>
      </c>
      <c r="J379" t="inlineStr">
        <is>
          <t>No</t>
        </is>
      </c>
      <c r="K379" t="inlineStr">
        <is>
          <t>No</t>
        </is>
      </c>
      <c r="L379" t="inlineStr">
        <is>
          <t>0</t>
        </is>
      </c>
      <c r="M379" t="inlineStr">
        <is>
          <t>Lelyveld, Joseph.</t>
        </is>
      </c>
      <c r="N379" t="inlineStr">
        <is>
          <t>New York : Farrar, Straus and Giroux, 2005.</t>
        </is>
      </c>
      <c r="O379" t="inlineStr">
        <is>
          <t>2005</t>
        </is>
      </c>
      <c r="P379" t="inlineStr">
        <is>
          <t>1st ed.</t>
        </is>
      </c>
      <c r="Q379" t="inlineStr">
        <is>
          <t>eng</t>
        </is>
      </c>
      <c r="R379" t="inlineStr">
        <is>
          <t>nyu</t>
        </is>
      </c>
      <c r="T379" t="inlineStr">
        <is>
          <t xml:space="preserve">CT </t>
        </is>
      </c>
      <c r="U379" t="n">
        <v>3</v>
      </c>
      <c r="V379" t="n">
        <v>3</v>
      </c>
      <c r="W379" t="inlineStr">
        <is>
          <t>2005-05-25</t>
        </is>
      </c>
      <c r="X379" t="inlineStr">
        <is>
          <t>2005-05-25</t>
        </is>
      </c>
      <c r="Y379" t="inlineStr">
        <is>
          <t>2005-03-31</t>
        </is>
      </c>
      <c r="Z379" t="inlineStr">
        <is>
          <t>2005-03-31</t>
        </is>
      </c>
      <c r="AA379" t="n">
        <v>445</v>
      </c>
      <c r="AB379" t="n">
        <v>431</v>
      </c>
      <c r="AC379" t="n">
        <v>451</v>
      </c>
      <c r="AD379" t="n">
        <v>13</v>
      </c>
      <c r="AE379" t="n">
        <v>14</v>
      </c>
      <c r="AF379" t="n">
        <v>14</v>
      </c>
      <c r="AG379" t="n">
        <v>14</v>
      </c>
      <c r="AH379" t="n">
        <v>2</v>
      </c>
      <c r="AI379" t="n">
        <v>2</v>
      </c>
      <c r="AJ379" t="n">
        <v>3</v>
      </c>
      <c r="AK379" t="n">
        <v>3</v>
      </c>
      <c r="AL379" t="n">
        <v>8</v>
      </c>
      <c r="AM379" t="n">
        <v>8</v>
      </c>
      <c r="AN379" t="n">
        <v>5</v>
      </c>
      <c r="AO379" t="n">
        <v>5</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HYPERLINK("https://creighton-primo.hosted.exlibrisgroup.com/primo-explore/search?tab=default_tab&amp;search_scope=EVERYTHING&amp;vid=01CRU&amp;lang=en_US&amp;offset=0&amp;query=any,contains,991004502799702656","Catalog Record")</f>
        <v/>
      </c>
      <c r="AV379">
        <f>HYPERLINK("http://www.worldcat.org/oclc/58473343","WorldCat Record")</f>
        <v/>
      </c>
      <c r="AW379" t="inlineStr">
        <is>
          <t>719691:eng</t>
        </is>
      </c>
      <c r="AX379" t="inlineStr">
        <is>
          <t>58473343</t>
        </is>
      </c>
      <c r="AY379" t="inlineStr">
        <is>
          <t>991004502799702656</t>
        </is>
      </c>
      <c r="AZ379" t="inlineStr">
        <is>
          <t>991004502799702656</t>
        </is>
      </c>
      <c r="BA379" t="inlineStr">
        <is>
          <t>2258855630002656</t>
        </is>
      </c>
      <c r="BB379" t="inlineStr">
        <is>
          <t>BOOK</t>
        </is>
      </c>
      <c r="BD379" t="inlineStr">
        <is>
          <t>9780374225902</t>
        </is>
      </c>
      <c r="BE379" t="inlineStr">
        <is>
          <t>32285005046015</t>
        </is>
      </c>
      <c r="BF379" t="inlineStr">
        <is>
          <t>893350085</t>
        </is>
      </c>
    </row>
    <row r="380">
      <c r="B380" t="inlineStr">
        <is>
          <t>CURAL</t>
        </is>
      </c>
      <c r="C380" t="inlineStr">
        <is>
          <t>SHELVES</t>
        </is>
      </c>
      <c r="D380" t="inlineStr">
        <is>
          <t>CT275.L691 L6 1934</t>
        </is>
      </c>
      <c r="E380" t="inlineStr">
        <is>
          <t>0                      CT 0275000L  691                L  6           1934</t>
        </is>
      </c>
      <c r="F380" t="inlineStr">
        <is>
          <t>My mother : the study of an uneventful life / by Daniel A. Lord, S.J.</t>
        </is>
      </c>
      <c r="H380" t="inlineStr">
        <is>
          <t>No</t>
        </is>
      </c>
      <c r="I380" t="inlineStr">
        <is>
          <t>1</t>
        </is>
      </c>
      <c r="J380" t="inlineStr">
        <is>
          <t>No</t>
        </is>
      </c>
      <c r="K380" t="inlineStr">
        <is>
          <t>No</t>
        </is>
      </c>
      <c r="L380" t="inlineStr">
        <is>
          <t>0</t>
        </is>
      </c>
      <c r="M380" t="inlineStr">
        <is>
          <t>Lord, Daniel A. (Daniel Aloysius), 1888-1955.</t>
        </is>
      </c>
      <c r="N380" t="inlineStr">
        <is>
          <t>Saint Louis, Mo. : The Queen's work, [c1934]</t>
        </is>
      </c>
      <c r="O380" t="inlineStr">
        <is>
          <t>1934</t>
        </is>
      </c>
      <c r="Q380" t="inlineStr">
        <is>
          <t>eng</t>
        </is>
      </c>
      <c r="R380" t="inlineStr">
        <is>
          <t xml:space="preserve">xx </t>
        </is>
      </c>
      <c r="T380" t="inlineStr">
        <is>
          <t xml:space="preserve">CT </t>
        </is>
      </c>
      <c r="U380" t="n">
        <v>1</v>
      </c>
      <c r="V380" t="n">
        <v>1</v>
      </c>
      <c r="W380" t="inlineStr">
        <is>
          <t>2003-03-17</t>
        </is>
      </c>
      <c r="X380" t="inlineStr">
        <is>
          <t>2003-03-17</t>
        </is>
      </c>
      <c r="Y380" t="inlineStr">
        <is>
          <t>1992-06-08</t>
        </is>
      </c>
      <c r="Z380" t="inlineStr">
        <is>
          <t>1992-06-08</t>
        </is>
      </c>
      <c r="AA380" t="n">
        <v>92</v>
      </c>
      <c r="AB380" t="n">
        <v>84</v>
      </c>
      <c r="AC380" t="n">
        <v>95</v>
      </c>
      <c r="AD380" t="n">
        <v>2</v>
      </c>
      <c r="AE380" t="n">
        <v>2</v>
      </c>
      <c r="AF380" t="n">
        <v>18</v>
      </c>
      <c r="AG380" t="n">
        <v>19</v>
      </c>
      <c r="AH380" t="n">
        <v>3</v>
      </c>
      <c r="AI380" t="n">
        <v>3</v>
      </c>
      <c r="AJ380" t="n">
        <v>6</v>
      </c>
      <c r="AK380" t="n">
        <v>6</v>
      </c>
      <c r="AL380" t="n">
        <v>15</v>
      </c>
      <c r="AM380" t="n">
        <v>16</v>
      </c>
      <c r="AN380" t="n">
        <v>0</v>
      </c>
      <c r="AO380" t="n">
        <v>0</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HYPERLINK("https://creighton-primo.hosted.exlibrisgroup.com/primo-explore/search?tab=default_tab&amp;search_scope=EVERYTHING&amp;vid=01CRU&amp;lang=en_US&amp;offset=0&amp;query=any,contains,991003490469702656","Catalog Record")</f>
        <v/>
      </c>
      <c r="AV380">
        <f>HYPERLINK("http://www.worldcat.org/oclc/1039524","WorldCat Record")</f>
        <v/>
      </c>
      <c r="AW380" t="inlineStr">
        <is>
          <t>2003421:eng</t>
        </is>
      </c>
      <c r="AX380" t="inlineStr">
        <is>
          <t>1039524</t>
        </is>
      </c>
      <c r="AY380" t="inlineStr">
        <is>
          <t>991003490469702656</t>
        </is>
      </c>
      <c r="AZ380" t="inlineStr">
        <is>
          <t>991003490469702656</t>
        </is>
      </c>
      <c r="BA380" t="inlineStr">
        <is>
          <t>2264742780002656</t>
        </is>
      </c>
      <c r="BB380" t="inlineStr">
        <is>
          <t>BOOK</t>
        </is>
      </c>
      <c r="BE380" t="inlineStr">
        <is>
          <t>32285001165769</t>
        </is>
      </c>
      <c r="BF380" t="inlineStr">
        <is>
          <t>893524854</t>
        </is>
      </c>
    </row>
    <row r="381">
      <c r="B381" t="inlineStr">
        <is>
          <t>CURAL</t>
        </is>
      </c>
      <c r="C381" t="inlineStr">
        <is>
          <t>SHELVES</t>
        </is>
      </c>
      <c r="D381" t="inlineStr">
        <is>
          <t>CT275.M593 M66 2006</t>
        </is>
      </c>
      <c r="E381" t="inlineStr">
        <is>
          <t>0                      CT 0275000M  593                M  66          2006</t>
        </is>
      </c>
      <c r="F381" t="inlineStr">
        <is>
          <t>Playing with the enemy : a baseball prodigy, a world at war, and a field of broken dreams / Gary W. Moore.</t>
        </is>
      </c>
      <c r="H381" t="inlineStr">
        <is>
          <t>No</t>
        </is>
      </c>
      <c r="I381" t="inlineStr">
        <is>
          <t>1</t>
        </is>
      </c>
      <c r="J381" t="inlineStr">
        <is>
          <t>No</t>
        </is>
      </c>
      <c r="K381" t="inlineStr">
        <is>
          <t>No</t>
        </is>
      </c>
      <c r="L381" t="inlineStr">
        <is>
          <t>0</t>
        </is>
      </c>
      <c r="M381" t="inlineStr">
        <is>
          <t>Moore, Gary W. (Gary Warren), 1954-</t>
        </is>
      </c>
      <c r="N381" t="inlineStr">
        <is>
          <t>New York : Savas Beatie , c2006.</t>
        </is>
      </c>
      <c r="O381" t="inlineStr">
        <is>
          <t>2006</t>
        </is>
      </c>
      <c r="P381" t="inlineStr">
        <is>
          <t>1st ed.</t>
        </is>
      </c>
      <c r="Q381" t="inlineStr">
        <is>
          <t>eng</t>
        </is>
      </c>
      <c r="R381" t="inlineStr">
        <is>
          <t>nyu</t>
        </is>
      </c>
      <c r="T381" t="inlineStr">
        <is>
          <t xml:space="preserve">CT </t>
        </is>
      </c>
      <c r="U381" t="n">
        <v>2</v>
      </c>
      <c r="V381" t="n">
        <v>2</v>
      </c>
      <c r="W381" t="inlineStr">
        <is>
          <t>2010-06-14</t>
        </is>
      </c>
      <c r="X381" t="inlineStr">
        <is>
          <t>2010-06-14</t>
        </is>
      </c>
      <c r="Y381" t="inlineStr">
        <is>
          <t>2010-05-26</t>
        </is>
      </c>
      <c r="Z381" t="inlineStr">
        <is>
          <t>2010-05-26</t>
        </is>
      </c>
      <c r="AA381" t="n">
        <v>312</v>
      </c>
      <c r="AB381" t="n">
        <v>310</v>
      </c>
      <c r="AC381" t="n">
        <v>713</v>
      </c>
      <c r="AD381" t="n">
        <v>9</v>
      </c>
      <c r="AE381" t="n">
        <v>13</v>
      </c>
      <c r="AF381" t="n">
        <v>2</v>
      </c>
      <c r="AG381" t="n">
        <v>20</v>
      </c>
      <c r="AH381" t="n">
        <v>0</v>
      </c>
      <c r="AI381" t="n">
        <v>6</v>
      </c>
      <c r="AJ381" t="n">
        <v>0</v>
      </c>
      <c r="AK381" t="n">
        <v>5</v>
      </c>
      <c r="AL381" t="n">
        <v>0</v>
      </c>
      <c r="AM381" t="n">
        <v>5</v>
      </c>
      <c r="AN381" t="n">
        <v>2</v>
      </c>
      <c r="AO381" t="n">
        <v>5</v>
      </c>
      <c r="AP381" t="n">
        <v>0</v>
      </c>
      <c r="AQ381" t="n">
        <v>1</v>
      </c>
      <c r="AR381" t="inlineStr">
        <is>
          <t>No</t>
        </is>
      </c>
      <c r="AS381" t="inlineStr">
        <is>
          <t>No</t>
        </is>
      </c>
      <c r="AU381">
        <f>HYPERLINK("https://creighton-primo.hosted.exlibrisgroup.com/primo-explore/search?tab=default_tab&amp;search_scope=EVERYTHING&amp;vid=01CRU&amp;lang=en_US&amp;offset=0&amp;query=any,contains,991005401269702656","Catalog Record")</f>
        <v/>
      </c>
      <c r="AV381">
        <f>HYPERLINK("http://www.worldcat.org/oclc/72447895","WorldCat Record")</f>
        <v/>
      </c>
      <c r="AW381" t="inlineStr">
        <is>
          <t>902427311:eng</t>
        </is>
      </c>
      <c r="AX381" t="inlineStr">
        <is>
          <t>72447895</t>
        </is>
      </c>
      <c r="AY381" t="inlineStr">
        <is>
          <t>991005401269702656</t>
        </is>
      </c>
      <c r="AZ381" t="inlineStr">
        <is>
          <t>991005401269702656</t>
        </is>
      </c>
      <c r="BA381" t="inlineStr">
        <is>
          <t>2269545850002656</t>
        </is>
      </c>
      <c r="BB381" t="inlineStr">
        <is>
          <t>BOOK</t>
        </is>
      </c>
      <c r="BD381" t="inlineStr">
        <is>
          <t>9781932714241</t>
        </is>
      </c>
      <c r="BE381" t="inlineStr">
        <is>
          <t>32285005586358</t>
        </is>
      </c>
      <c r="BF381" t="inlineStr">
        <is>
          <t>893345134</t>
        </is>
      </c>
    </row>
    <row r="382">
      <c r="B382" t="inlineStr">
        <is>
          <t>CURAL</t>
        </is>
      </c>
      <c r="C382" t="inlineStr">
        <is>
          <t>SHELVES</t>
        </is>
      </c>
      <c r="D382" t="inlineStr">
        <is>
          <t>CT275.M6 W55 1930a</t>
        </is>
      </c>
      <c r="E382" t="inlineStr">
        <is>
          <t>0                      CT 0275000M  6                  W  55          1930a</t>
        </is>
      </c>
      <c r="F382" t="inlineStr">
        <is>
          <t>Morgan the magnificent : the life of J. Pierpont Morgan (1837-1913) / by John K. Winkler.</t>
        </is>
      </c>
      <c r="H382" t="inlineStr">
        <is>
          <t>No</t>
        </is>
      </c>
      <c r="I382" t="inlineStr">
        <is>
          <t>1</t>
        </is>
      </c>
      <c r="J382" t="inlineStr">
        <is>
          <t>No</t>
        </is>
      </c>
      <c r="K382" t="inlineStr">
        <is>
          <t>No</t>
        </is>
      </c>
      <c r="L382" t="inlineStr">
        <is>
          <t>0</t>
        </is>
      </c>
      <c r="M382" t="inlineStr">
        <is>
          <t>Winkler, John K. (John Kennedy), 1891-1958.</t>
        </is>
      </c>
      <c r="N382" t="inlineStr">
        <is>
          <t>New York : The Vanguard Press, [1930]</t>
        </is>
      </c>
      <c r="O382" t="inlineStr">
        <is>
          <t>1930</t>
        </is>
      </c>
      <c r="Q382" t="inlineStr">
        <is>
          <t>eng</t>
        </is>
      </c>
      <c r="R382" t="inlineStr">
        <is>
          <t>nyu</t>
        </is>
      </c>
      <c r="T382" t="inlineStr">
        <is>
          <t xml:space="preserve">CT </t>
        </is>
      </c>
      <c r="U382" t="n">
        <v>0</v>
      </c>
      <c r="V382" t="n">
        <v>0</v>
      </c>
      <c r="W382" t="inlineStr">
        <is>
          <t>2002-04-01</t>
        </is>
      </c>
      <c r="X382" t="inlineStr">
        <is>
          <t>2002-04-01</t>
        </is>
      </c>
      <c r="Y382" t="inlineStr">
        <is>
          <t>1990-02-16</t>
        </is>
      </c>
      <c r="Z382" t="inlineStr">
        <is>
          <t>1990-02-16</t>
        </is>
      </c>
      <c r="AA382" t="n">
        <v>601</v>
      </c>
      <c r="AB382" t="n">
        <v>558</v>
      </c>
      <c r="AC382" t="n">
        <v>811</v>
      </c>
      <c r="AD382" t="n">
        <v>3</v>
      </c>
      <c r="AE382" t="n">
        <v>4</v>
      </c>
      <c r="AF382" t="n">
        <v>23</v>
      </c>
      <c r="AG382" t="n">
        <v>34</v>
      </c>
      <c r="AH382" t="n">
        <v>10</v>
      </c>
      <c r="AI382" t="n">
        <v>16</v>
      </c>
      <c r="AJ382" t="n">
        <v>4</v>
      </c>
      <c r="AK382" t="n">
        <v>5</v>
      </c>
      <c r="AL382" t="n">
        <v>14</v>
      </c>
      <c r="AM382" t="n">
        <v>20</v>
      </c>
      <c r="AN382" t="n">
        <v>2</v>
      </c>
      <c r="AO382" t="n">
        <v>3</v>
      </c>
      <c r="AP382" t="n">
        <v>0</v>
      </c>
      <c r="AQ382" t="n">
        <v>0</v>
      </c>
      <c r="AR382" t="inlineStr">
        <is>
          <t>No</t>
        </is>
      </c>
      <c r="AS382" t="inlineStr">
        <is>
          <t>Yes</t>
        </is>
      </c>
      <c r="AT382">
        <f>HYPERLINK("http://catalog.hathitrust.org/Record/001598695","HathiTrust Record")</f>
        <v/>
      </c>
      <c r="AU382">
        <f>HYPERLINK("https://creighton-primo.hosted.exlibrisgroup.com/primo-explore/search?tab=default_tab&amp;search_scope=EVERYTHING&amp;vid=01CRU&amp;lang=en_US&amp;offset=0&amp;query=any,contains,991002654359702656","Catalog Record")</f>
        <v/>
      </c>
      <c r="AV382">
        <f>HYPERLINK("http://www.worldcat.org/oclc/388185","WorldCat Record")</f>
        <v/>
      </c>
      <c r="AW382" t="inlineStr">
        <is>
          <t>1516205:eng</t>
        </is>
      </c>
      <c r="AX382" t="inlineStr">
        <is>
          <t>388185</t>
        </is>
      </c>
      <c r="AY382" t="inlineStr">
        <is>
          <t>991002654359702656</t>
        </is>
      </c>
      <c r="AZ382" t="inlineStr">
        <is>
          <t>991002654359702656</t>
        </is>
      </c>
      <c r="BA382" t="inlineStr">
        <is>
          <t>2255153090002656</t>
        </is>
      </c>
      <c r="BB382" t="inlineStr">
        <is>
          <t>BOOK</t>
        </is>
      </c>
      <c r="BE382" t="inlineStr">
        <is>
          <t>32285000043835</t>
        </is>
      </c>
      <c r="BF382" t="inlineStr">
        <is>
          <t>893792726</t>
        </is>
      </c>
    </row>
    <row r="383">
      <c r="B383" t="inlineStr">
        <is>
          <t>CURAL</t>
        </is>
      </c>
      <c r="C383" t="inlineStr">
        <is>
          <t>SHELVES</t>
        </is>
      </c>
      <c r="D383" t="inlineStr">
        <is>
          <t>CT275.M6397 C73 2000</t>
        </is>
      </c>
      <c r="E383" t="inlineStr">
        <is>
          <t>0                      CT 0275000M  6397               C  73          2000</t>
        </is>
      </c>
      <c r="F383" t="inlineStr">
        <is>
          <t>Unwise passions : a true story of a remarkable woman-- and the first great scandal of eighteenth-century America / Alan Pell Crawford.</t>
        </is>
      </c>
      <c r="H383" t="inlineStr">
        <is>
          <t>No</t>
        </is>
      </c>
      <c r="I383" t="inlineStr">
        <is>
          <t>1</t>
        </is>
      </c>
      <c r="J383" t="inlineStr">
        <is>
          <t>No</t>
        </is>
      </c>
      <c r="K383" t="inlineStr">
        <is>
          <t>No</t>
        </is>
      </c>
      <c r="L383" t="inlineStr">
        <is>
          <t>0</t>
        </is>
      </c>
      <c r="M383" t="inlineStr">
        <is>
          <t>Crawford, Alan Pell.</t>
        </is>
      </c>
      <c r="N383" t="inlineStr">
        <is>
          <t>New York : Simon &amp; Schuster, c2000.</t>
        </is>
      </c>
      <c r="O383" t="inlineStr">
        <is>
          <t>2000</t>
        </is>
      </c>
      <c r="Q383" t="inlineStr">
        <is>
          <t>eng</t>
        </is>
      </c>
      <c r="R383" t="inlineStr">
        <is>
          <t>nyu</t>
        </is>
      </c>
      <c r="T383" t="inlineStr">
        <is>
          <t xml:space="preserve">CT </t>
        </is>
      </c>
      <c r="U383" t="n">
        <v>1</v>
      </c>
      <c r="V383" t="n">
        <v>1</v>
      </c>
      <c r="W383" t="inlineStr">
        <is>
          <t>2001-06-06</t>
        </is>
      </c>
      <c r="X383" t="inlineStr">
        <is>
          <t>2001-06-06</t>
        </is>
      </c>
      <c r="Y383" t="inlineStr">
        <is>
          <t>2001-06-05</t>
        </is>
      </c>
      <c r="Z383" t="inlineStr">
        <is>
          <t>2001-06-05</t>
        </is>
      </c>
      <c r="AA383" t="n">
        <v>597</v>
      </c>
      <c r="AB383" t="n">
        <v>582</v>
      </c>
      <c r="AC383" t="n">
        <v>710</v>
      </c>
      <c r="AD383" t="n">
        <v>6</v>
      </c>
      <c r="AE383" t="n">
        <v>6</v>
      </c>
      <c r="AF383" t="n">
        <v>9</v>
      </c>
      <c r="AG383" t="n">
        <v>10</v>
      </c>
      <c r="AH383" t="n">
        <v>3</v>
      </c>
      <c r="AI383" t="n">
        <v>3</v>
      </c>
      <c r="AJ383" t="n">
        <v>2</v>
      </c>
      <c r="AK383" t="n">
        <v>2</v>
      </c>
      <c r="AL383" t="n">
        <v>3</v>
      </c>
      <c r="AM383" t="n">
        <v>4</v>
      </c>
      <c r="AN383" t="n">
        <v>3</v>
      </c>
      <c r="AO383" t="n">
        <v>3</v>
      </c>
      <c r="AP383" t="n">
        <v>0</v>
      </c>
      <c r="AQ383" t="n">
        <v>0</v>
      </c>
      <c r="AR383" t="inlineStr">
        <is>
          <t>No</t>
        </is>
      </c>
      <c r="AS383" t="inlineStr">
        <is>
          <t>Yes</t>
        </is>
      </c>
      <c r="AT383">
        <f>HYPERLINK("http://catalog.hathitrust.org/Record/004138252","HathiTrust Record")</f>
        <v/>
      </c>
      <c r="AU383">
        <f>HYPERLINK("https://creighton-primo.hosted.exlibrisgroup.com/primo-explore/search?tab=default_tab&amp;search_scope=EVERYTHING&amp;vid=01CRU&amp;lang=en_US&amp;offset=0&amp;query=any,contains,991003545629702656","Catalog Record")</f>
        <v/>
      </c>
      <c r="AV383">
        <f>HYPERLINK("http://www.worldcat.org/oclc/44841500","WorldCat Record")</f>
        <v/>
      </c>
      <c r="AW383" t="inlineStr">
        <is>
          <t>35422202:eng</t>
        </is>
      </c>
      <c r="AX383" t="inlineStr">
        <is>
          <t>44841500</t>
        </is>
      </c>
      <c r="AY383" t="inlineStr">
        <is>
          <t>991003545629702656</t>
        </is>
      </c>
      <c r="AZ383" t="inlineStr">
        <is>
          <t>991003545629702656</t>
        </is>
      </c>
      <c r="BA383" t="inlineStr">
        <is>
          <t>2265427580002656</t>
        </is>
      </c>
      <c r="BB383" t="inlineStr">
        <is>
          <t>BOOK</t>
        </is>
      </c>
      <c r="BD383" t="inlineStr">
        <is>
          <t>9780684834740</t>
        </is>
      </c>
      <c r="BE383" t="inlineStr">
        <is>
          <t>32285004325113</t>
        </is>
      </c>
      <c r="BF383" t="inlineStr">
        <is>
          <t>893410391</t>
        </is>
      </c>
    </row>
    <row r="384">
      <c r="B384" t="inlineStr">
        <is>
          <t>CURAL</t>
        </is>
      </c>
      <c r="C384" t="inlineStr">
        <is>
          <t>SHELVES</t>
        </is>
      </c>
      <c r="D384" t="inlineStr">
        <is>
          <t>CT275.M813 T6 1971</t>
        </is>
      </c>
      <c r="E384" t="inlineStr">
        <is>
          <t>0                      CT 0275000M  813                T  6           1971</t>
        </is>
      </c>
      <c r="F384" t="inlineStr">
        <is>
          <t>Living well is the best revenge / by Calvin Tomkins.</t>
        </is>
      </c>
      <c r="H384" t="inlineStr">
        <is>
          <t>No</t>
        </is>
      </c>
      <c r="I384" t="inlineStr">
        <is>
          <t>1</t>
        </is>
      </c>
      <c r="J384" t="inlineStr">
        <is>
          <t>No</t>
        </is>
      </c>
      <c r="K384" t="inlineStr">
        <is>
          <t>No</t>
        </is>
      </c>
      <c r="L384" t="inlineStr">
        <is>
          <t>0</t>
        </is>
      </c>
      <c r="M384" t="inlineStr">
        <is>
          <t>Tomkins, Calvin, 1925-</t>
        </is>
      </c>
      <c r="N384" t="inlineStr">
        <is>
          <t>New York : Viking Press, [1971]</t>
        </is>
      </c>
      <c r="O384" t="inlineStr">
        <is>
          <t>1971</t>
        </is>
      </c>
      <c r="Q384" t="inlineStr">
        <is>
          <t>eng</t>
        </is>
      </c>
      <c r="R384" t="inlineStr">
        <is>
          <t>nyu</t>
        </is>
      </c>
      <c r="T384" t="inlineStr">
        <is>
          <t xml:space="preserve">CT </t>
        </is>
      </c>
      <c r="U384" t="n">
        <v>2</v>
      </c>
      <c r="V384" t="n">
        <v>2</v>
      </c>
      <c r="W384" t="inlineStr">
        <is>
          <t>1993-03-18</t>
        </is>
      </c>
      <c r="X384" t="inlineStr">
        <is>
          <t>1993-03-18</t>
        </is>
      </c>
      <c r="Y384" t="inlineStr">
        <is>
          <t>1992-06-08</t>
        </is>
      </c>
      <c r="Z384" t="inlineStr">
        <is>
          <t>1992-06-08</t>
        </is>
      </c>
      <c r="AA384" t="n">
        <v>913</v>
      </c>
      <c r="AB384" t="n">
        <v>862</v>
      </c>
      <c r="AC384" t="n">
        <v>1058</v>
      </c>
      <c r="AD384" t="n">
        <v>5</v>
      </c>
      <c r="AE384" t="n">
        <v>6</v>
      </c>
      <c r="AF384" t="n">
        <v>20</v>
      </c>
      <c r="AG384" t="n">
        <v>26</v>
      </c>
      <c r="AH384" t="n">
        <v>8</v>
      </c>
      <c r="AI384" t="n">
        <v>9</v>
      </c>
      <c r="AJ384" t="n">
        <v>4</v>
      </c>
      <c r="AK384" t="n">
        <v>6</v>
      </c>
      <c r="AL384" t="n">
        <v>11</v>
      </c>
      <c r="AM384" t="n">
        <v>15</v>
      </c>
      <c r="AN384" t="n">
        <v>3</v>
      </c>
      <c r="AO384" t="n">
        <v>3</v>
      </c>
      <c r="AP384" t="n">
        <v>0</v>
      </c>
      <c r="AQ384" t="n">
        <v>0</v>
      </c>
      <c r="AR384" t="inlineStr">
        <is>
          <t>No</t>
        </is>
      </c>
      <c r="AS384" t="inlineStr">
        <is>
          <t>Yes</t>
        </is>
      </c>
      <c r="AT384">
        <f>HYPERLINK("http://catalog.hathitrust.org/Record/001598700","HathiTrust Record")</f>
        <v/>
      </c>
      <c r="AU384">
        <f>HYPERLINK("https://creighton-primo.hosted.exlibrisgroup.com/primo-explore/search?tab=default_tab&amp;search_scope=EVERYTHING&amp;vid=01CRU&amp;lang=en_US&amp;offset=0&amp;query=any,contains,991000887809702656","Catalog Record")</f>
        <v/>
      </c>
      <c r="AV384">
        <f>HYPERLINK("http://www.worldcat.org/oclc/153103","WorldCat Record")</f>
        <v/>
      </c>
      <c r="AW384" t="inlineStr">
        <is>
          <t>1178096:eng</t>
        </is>
      </c>
      <c r="AX384" t="inlineStr">
        <is>
          <t>153103</t>
        </is>
      </c>
      <c r="AY384" t="inlineStr">
        <is>
          <t>991000887809702656</t>
        </is>
      </c>
      <c r="AZ384" t="inlineStr">
        <is>
          <t>991000887809702656</t>
        </is>
      </c>
      <c r="BA384" t="inlineStr">
        <is>
          <t>2269678080002656</t>
        </is>
      </c>
      <c r="BB384" t="inlineStr">
        <is>
          <t>BOOK</t>
        </is>
      </c>
      <c r="BD384" t="inlineStr">
        <is>
          <t>9780670435913</t>
        </is>
      </c>
      <c r="BE384" t="inlineStr">
        <is>
          <t>32285001165801</t>
        </is>
      </c>
      <c r="BF384" t="inlineStr">
        <is>
          <t>893426129</t>
        </is>
      </c>
    </row>
    <row r="385">
      <c r="B385" t="inlineStr">
        <is>
          <t>CURAL</t>
        </is>
      </c>
      <c r="C385" t="inlineStr">
        <is>
          <t>SHELVES</t>
        </is>
      </c>
      <c r="D385" t="inlineStr">
        <is>
          <t>CT275.N523 A3 2007</t>
        </is>
      </c>
      <c r="E385" t="inlineStr">
        <is>
          <t>0                      CT 0275000N  523                A  3           2007</t>
        </is>
      </c>
      <c r="F385" t="inlineStr">
        <is>
          <t>Stealing Buddha's dinner : a memoir / Bich Minh Nguyen.</t>
        </is>
      </c>
      <c r="H385" t="inlineStr">
        <is>
          <t>No</t>
        </is>
      </c>
      <c r="I385" t="inlineStr">
        <is>
          <t>1</t>
        </is>
      </c>
      <c r="J385" t="inlineStr">
        <is>
          <t>No</t>
        </is>
      </c>
      <c r="K385" t="inlineStr">
        <is>
          <t>No</t>
        </is>
      </c>
      <c r="L385" t="inlineStr">
        <is>
          <t>0</t>
        </is>
      </c>
      <c r="M385" t="inlineStr">
        <is>
          <t>Nguyen, Bich Minh.</t>
        </is>
      </c>
      <c r="N385" t="inlineStr">
        <is>
          <t>New York : Viking, 2007.</t>
        </is>
      </c>
      <c r="O385" t="inlineStr">
        <is>
          <t>2007</t>
        </is>
      </c>
      <c r="Q385" t="inlineStr">
        <is>
          <t>eng</t>
        </is>
      </c>
      <c r="R385" t="inlineStr">
        <is>
          <t>nyu</t>
        </is>
      </c>
      <c r="T385" t="inlineStr">
        <is>
          <t xml:space="preserve">CT </t>
        </is>
      </c>
      <c r="U385" t="n">
        <v>3</v>
      </c>
      <c r="V385" t="n">
        <v>3</v>
      </c>
      <c r="W385" t="inlineStr">
        <is>
          <t>2007-05-14</t>
        </is>
      </c>
      <c r="X385" t="inlineStr">
        <is>
          <t>2007-05-14</t>
        </is>
      </c>
      <c r="Y385" t="inlineStr">
        <is>
          <t>2007-03-14</t>
        </is>
      </c>
      <c r="Z385" t="inlineStr">
        <is>
          <t>2007-03-14</t>
        </is>
      </c>
      <c r="AA385" t="n">
        <v>828</v>
      </c>
      <c r="AB385" t="n">
        <v>803</v>
      </c>
      <c r="AC385" t="n">
        <v>1042</v>
      </c>
      <c r="AD385" t="n">
        <v>5</v>
      </c>
      <c r="AE385" t="n">
        <v>7</v>
      </c>
      <c r="AF385" t="n">
        <v>16</v>
      </c>
      <c r="AG385" t="n">
        <v>21</v>
      </c>
      <c r="AH385" t="n">
        <v>5</v>
      </c>
      <c r="AI385" t="n">
        <v>7</v>
      </c>
      <c r="AJ385" t="n">
        <v>4</v>
      </c>
      <c r="AK385" t="n">
        <v>5</v>
      </c>
      <c r="AL385" t="n">
        <v>10</v>
      </c>
      <c r="AM385" t="n">
        <v>13</v>
      </c>
      <c r="AN385" t="n">
        <v>2</v>
      </c>
      <c r="AO385" t="n">
        <v>3</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HYPERLINK("https://creighton-primo.hosted.exlibrisgroup.com/primo-explore/search?tab=default_tab&amp;search_scope=EVERYTHING&amp;vid=01CRU&amp;lang=en_US&amp;offset=0&amp;query=any,contains,991005046149702656","Catalog Record")</f>
        <v/>
      </c>
      <c r="AV385">
        <f>HYPERLINK("http://www.worldcat.org/oclc/71237477","WorldCat Record")</f>
        <v/>
      </c>
      <c r="AW385" t="inlineStr">
        <is>
          <t>196623072:eng</t>
        </is>
      </c>
      <c r="AX385" t="inlineStr">
        <is>
          <t>71237477</t>
        </is>
      </c>
      <c r="AY385" t="inlineStr">
        <is>
          <t>991005046149702656</t>
        </is>
      </c>
      <c r="AZ385" t="inlineStr">
        <is>
          <t>991005046149702656</t>
        </is>
      </c>
      <c r="BA385" t="inlineStr">
        <is>
          <t>2268209240002656</t>
        </is>
      </c>
      <c r="BB385" t="inlineStr">
        <is>
          <t>BOOK</t>
        </is>
      </c>
      <c r="BD385" t="inlineStr">
        <is>
          <t>9780670038329</t>
        </is>
      </c>
      <c r="BE385" t="inlineStr">
        <is>
          <t>32285005281877</t>
        </is>
      </c>
      <c r="BF385" t="inlineStr">
        <is>
          <t>893876850</t>
        </is>
      </c>
    </row>
    <row r="386">
      <c r="B386" t="inlineStr">
        <is>
          <t>CURAL</t>
        </is>
      </c>
      <c r="C386" t="inlineStr">
        <is>
          <t>SHELVES</t>
        </is>
      </c>
      <c r="D386" t="inlineStr">
        <is>
          <t>CT275.O552 K56 2004</t>
        </is>
      </c>
      <c r="E386" t="inlineStr">
        <is>
          <t>0                      CT 0275000O  552                K  56          2004</t>
        </is>
      </c>
      <c r="F386" t="inlineStr">
        <is>
          <t>Farewell, Jackie : a portrait of her final days / Edward Klein.</t>
        </is>
      </c>
      <c r="H386" t="inlineStr">
        <is>
          <t>No</t>
        </is>
      </c>
      <c r="I386" t="inlineStr">
        <is>
          <t>1</t>
        </is>
      </c>
      <c r="J386" t="inlineStr">
        <is>
          <t>No</t>
        </is>
      </c>
      <c r="K386" t="inlineStr">
        <is>
          <t>No</t>
        </is>
      </c>
      <c r="L386" t="inlineStr">
        <is>
          <t>0</t>
        </is>
      </c>
      <c r="M386" t="inlineStr">
        <is>
          <t>Klein, Edward, 1936-</t>
        </is>
      </c>
      <c r="N386" t="inlineStr">
        <is>
          <t>New York : Viking, c2004.</t>
        </is>
      </c>
      <c r="O386" t="inlineStr">
        <is>
          <t>2004</t>
        </is>
      </c>
      <c r="Q386" t="inlineStr">
        <is>
          <t>eng</t>
        </is>
      </c>
      <c r="R386" t="inlineStr">
        <is>
          <t>nyu</t>
        </is>
      </c>
      <c r="T386" t="inlineStr">
        <is>
          <t xml:space="preserve">CT </t>
        </is>
      </c>
      <c r="U386" t="n">
        <v>3</v>
      </c>
      <c r="V386" t="n">
        <v>3</v>
      </c>
      <c r="W386" t="inlineStr">
        <is>
          <t>2007-04-23</t>
        </is>
      </c>
      <c r="X386" t="inlineStr">
        <is>
          <t>2007-04-23</t>
        </is>
      </c>
      <c r="Y386" t="inlineStr">
        <is>
          <t>2004-06-07</t>
        </is>
      </c>
      <c r="Z386" t="inlineStr">
        <is>
          <t>2004-06-07</t>
        </is>
      </c>
      <c r="AA386" t="n">
        <v>1063</v>
      </c>
      <c r="AB386" t="n">
        <v>1014</v>
      </c>
      <c r="AC386" t="n">
        <v>1110</v>
      </c>
      <c r="AD386" t="n">
        <v>10</v>
      </c>
      <c r="AE386" t="n">
        <v>11</v>
      </c>
      <c r="AF386" t="n">
        <v>3</v>
      </c>
      <c r="AG386" t="n">
        <v>3</v>
      </c>
      <c r="AH386" t="n">
        <v>1</v>
      </c>
      <c r="AI386" t="n">
        <v>1</v>
      </c>
      <c r="AJ386" t="n">
        <v>1</v>
      </c>
      <c r="AK386" t="n">
        <v>1</v>
      </c>
      <c r="AL386" t="n">
        <v>2</v>
      </c>
      <c r="AM386" t="n">
        <v>2</v>
      </c>
      <c r="AN386" t="n">
        <v>0</v>
      </c>
      <c r="AO386" t="n">
        <v>0</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HYPERLINK("https://creighton-primo.hosted.exlibrisgroup.com/primo-explore/search?tab=default_tab&amp;search_scope=EVERYTHING&amp;vid=01CRU&amp;lang=en_US&amp;offset=0&amp;query=any,contains,991004302559702656","Catalog Record")</f>
        <v/>
      </c>
      <c r="AV386">
        <f>HYPERLINK("http://www.worldcat.org/oclc/54365143","WorldCat Record")</f>
        <v/>
      </c>
      <c r="AW386" t="inlineStr">
        <is>
          <t>12696451:eng</t>
        </is>
      </c>
      <c r="AX386" t="inlineStr">
        <is>
          <t>54365143</t>
        </is>
      </c>
      <c r="AY386" t="inlineStr">
        <is>
          <t>991004302559702656</t>
        </is>
      </c>
      <c r="AZ386" t="inlineStr">
        <is>
          <t>991004302559702656</t>
        </is>
      </c>
      <c r="BA386" t="inlineStr">
        <is>
          <t>2258110470002656</t>
        </is>
      </c>
      <c r="BB386" t="inlineStr">
        <is>
          <t>BOOK</t>
        </is>
      </c>
      <c r="BD386" t="inlineStr">
        <is>
          <t>9780670033317</t>
        </is>
      </c>
      <c r="BE386" t="inlineStr">
        <is>
          <t>32285004907753</t>
        </is>
      </c>
      <c r="BF386" t="inlineStr">
        <is>
          <t>893888535</t>
        </is>
      </c>
    </row>
    <row r="387">
      <c r="B387" t="inlineStr">
        <is>
          <t>CURAL</t>
        </is>
      </c>
      <c r="C387" t="inlineStr">
        <is>
          <t>SHELVES</t>
        </is>
      </c>
      <c r="D387" t="inlineStr">
        <is>
          <t>CT275.R19 D83 1995</t>
        </is>
      </c>
      <c r="E387" t="inlineStr">
        <is>
          <t>0                      CT 0275000R  19                 D  83          1995</t>
        </is>
      </c>
      <c r="F387" t="inlineStr">
        <is>
          <t>In her sister's shadow : an intimate biography of Lee Radziwill / Diana DuBois.</t>
        </is>
      </c>
      <c r="H387" t="inlineStr">
        <is>
          <t>No</t>
        </is>
      </c>
      <c r="I387" t="inlineStr">
        <is>
          <t>1</t>
        </is>
      </c>
      <c r="J387" t="inlineStr">
        <is>
          <t>No</t>
        </is>
      </c>
      <c r="K387" t="inlineStr">
        <is>
          <t>No</t>
        </is>
      </c>
      <c r="L387" t="inlineStr">
        <is>
          <t>0</t>
        </is>
      </c>
      <c r="M387" t="inlineStr">
        <is>
          <t>Dubois, Diana, 1943-</t>
        </is>
      </c>
      <c r="N387" t="inlineStr">
        <is>
          <t>Boston : Little, Brown, c1995.</t>
        </is>
      </c>
      <c r="O387" t="inlineStr">
        <is>
          <t>1995</t>
        </is>
      </c>
      <c r="P387" t="inlineStr">
        <is>
          <t>1st ed.</t>
        </is>
      </c>
      <c r="Q387" t="inlineStr">
        <is>
          <t>eng</t>
        </is>
      </c>
      <c r="R387" t="inlineStr">
        <is>
          <t>mau</t>
        </is>
      </c>
      <c r="T387" t="inlineStr">
        <is>
          <t xml:space="preserve">CT </t>
        </is>
      </c>
      <c r="U387" t="n">
        <v>7</v>
      </c>
      <c r="V387" t="n">
        <v>7</v>
      </c>
      <c r="W387" t="inlineStr">
        <is>
          <t>2010-01-15</t>
        </is>
      </c>
      <c r="X387" t="inlineStr">
        <is>
          <t>2010-01-15</t>
        </is>
      </c>
      <c r="Y387" t="inlineStr">
        <is>
          <t>1995-08-24</t>
        </is>
      </c>
      <c r="Z387" t="inlineStr">
        <is>
          <t>1995-08-24</t>
        </is>
      </c>
      <c r="AA387" t="n">
        <v>734</v>
      </c>
      <c r="AB387" t="n">
        <v>651</v>
      </c>
      <c r="AC387" t="n">
        <v>667</v>
      </c>
      <c r="AD387" t="n">
        <v>7</v>
      </c>
      <c r="AE387" t="n">
        <v>7</v>
      </c>
      <c r="AF387" t="n">
        <v>4</v>
      </c>
      <c r="AG387" t="n">
        <v>4</v>
      </c>
      <c r="AH387" t="n">
        <v>1</v>
      </c>
      <c r="AI387" t="n">
        <v>1</v>
      </c>
      <c r="AJ387" t="n">
        <v>1</v>
      </c>
      <c r="AK387" t="n">
        <v>1</v>
      </c>
      <c r="AL387" t="n">
        <v>3</v>
      </c>
      <c r="AM387" t="n">
        <v>3</v>
      </c>
      <c r="AN387" t="n">
        <v>0</v>
      </c>
      <c r="AO387" t="n">
        <v>0</v>
      </c>
      <c r="AP387" t="n">
        <v>0</v>
      </c>
      <c r="AQ387" t="n">
        <v>0</v>
      </c>
      <c r="AR387" t="inlineStr">
        <is>
          <t>No</t>
        </is>
      </c>
      <c r="AS387" t="inlineStr">
        <is>
          <t>No</t>
        </is>
      </c>
      <c r="AU387">
        <f>HYPERLINK("https://creighton-primo.hosted.exlibrisgroup.com/primo-explore/search?tab=default_tab&amp;search_scope=EVERYTHING&amp;vid=01CRU&amp;lang=en_US&amp;offset=0&amp;query=any,contains,991002430949702656","Catalog Record")</f>
        <v/>
      </c>
      <c r="AV387">
        <f>HYPERLINK("http://www.worldcat.org/oclc/31707831","WorldCat Record")</f>
        <v/>
      </c>
      <c r="AW387" t="inlineStr">
        <is>
          <t>895859884:eng</t>
        </is>
      </c>
      <c r="AX387" t="inlineStr">
        <is>
          <t>31707831</t>
        </is>
      </c>
      <c r="AY387" t="inlineStr">
        <is>
          <t>991002430949702656</t>
        </is>
      </c>
      <c r="AZ387" t="inlineStr">
        <is>
          <t>991002430949702656</t>
        </is>
      </c>
      <c r="BA387" t="inlineStr">
        <is>
          <t>2272102020002656</t>
        </is>
      </c>
      <c r="BB387" t="inlineStr">
        <is>
          <t>BOOK</t>
        </is>
      </c>
      <c r="BD387" t="inlineStr">
        <is>
          <t>9780316187534</t>
        </is>
      </c>
      <c r="BE387" t="inlineStr">
        <is>
          <t>32285002079944</t>
        </is>
      </c>
      <c r="BF387" t="inlineStr">
        <is>
          <t>893445158</t>
        </is>
      </c>
    </row>
    <row r="388">
      <c r="B388" t="inlineStr">
        <is>
          <t>CURAL</t>
        </is>
      </c>
      <c r="C388" t="inlineStr">
        <is>
          <t>SHELVES</t>
        </is>
      </c>
      <c r="D388" t="inlineStr">
        <is>
          <t>CT275.R6 A3 1918</t>
        </is>
      </c>
      <c r="E388" t="inlineStr">
        <is>
          <t>0                      CT 0275000R  6                  A  3           1918</t>
        </is>
      </c>
      <c r="F388" t="inlineStr">
        <is>
          <t>The making of an American, by Jacob A. Riis.</t>
        </is>
      </c>
      <c r="H388" t="inlineStr">
        <is>
          <t>No</t>
        </is>
      </c>
      <c r="I388" t="inlineStr">
        <is>
          <t>1</t>
        </is>
      </c>
      <c r="J388" t="inlineStr">
        <is>
          <t>No</t>
        </is>
      </c>
      <c r="K388" t="inlineStr">
        <is>
          <t>No</t>
        </is>
      </c>
      <c r="L388" t="inlineStr">
        <is>
          <t>0</t>
        </is>
      </c>
      <c r="M388" t="inlineStr">
        <is>
          <t>Riis, Jacob A. (Jacob August), 1849-1914.</t>
        </is>
      </c>
      <c r="N388" t="inlineStr">
        <is>
          <t>New York, Macmillan company; London, Macmillan &amp; co., ltd., 1918, 1916.</t>
        </is>
      </c>
      <c r="O388" t="inlineStr">
        <is>
          <t>1918</t>
        </is>
      </c>
      <c r="P388" t="inlineStr">
        <is>
          <t>New ed. with numerous illustrations and an introduction by Theodore Roosevelt.</t>
        </is>
      </c>
      <c r="Q388" t="inlineStr">
        <is>
          <t>eng</t>
        </is>
      </c>
      <c r="R388" t="inlineStr">
        <is>
          <t>nyu</t>
        </is>
      </c>
      <c r="T388" t="inlineStr">
        <is>
          <t xml:space="preserve">CT </t>
        </is>
      </c>
      <c r="U388" t="n">
        <v>2</v>
      </c>
      <c r="V388" t="n">
        <v>2</v>
      </c>
      <c r="W388" t="inlineStr">
        <is>
          <t>2009-02-25</t>
        </is>
      </c>
      <c r="X388" t="inlineStr">
        <is>
          <t>2009-02-25</t>
        </is>
      </c>
      <c r="Y388" t="inlineStr">
        <is>
          <t>1996-04-30</t>
        </is>
      </c>
      <c r="Z388" t="inlineStr">
        <is>
          <t>1996-04-30</t>
        </is>
      </c>
      <c r="AA388" t="n">
        <v>55</v>
      </c>
      <c r="AB388" t="n">
        <v>50</v>
      </c>
      <c r="AC388" t="n">
        <v>1645</v>
      </c>
      <c r="AD388" t="n">
        <v>1</v>
      </c>
      <c r="AE388" t="n">
        <v>12</v>
      </c>
      <c r="AF388" t="n">
        <v>1</v>
      </c>
      <c r="AG388" t="n">
        <v>56</v>
      </c>
      <c r="AH388" t="n">
        <v>0</v>
      </c>
      <c r="AI388" t="n">
        <v>27</v>
      </c>
      <c r="AJ388" t="n">
        <v>0</v>
      </c>
      <c r="AK388" t="n">
        <v>11</v>
      </c>
      <c r="AL388" t="n">
        <v>1</v>
      </c>
      <c r="AM388" t="n">
        <v>23</v>
      </c>
      <c r="AN388" t="n">
        <v>0</v>
      </c>
      <c r="AO388" t="n">
        <v>8</v>
      </c>
      <c r="AP388" t="n">
        <v>0</v>
      </c>
      <c r="AQ388" t="n">
        <v>1</v>
      </c>
      <c r="AR388" t="inlineStr">
        <is>
          <t>Yes</t>
        </is>
      </c>
      <c r="AS388" t="inlineStr">
        <is>
          <t>No</t>
        </is>
      </c>
      <c r="AT388">
        <f>HYPERLINK("http://catalog.hathitrust.org/Record/006547789","HathiTrust Record")</f>
        <v/>
      </c>
      <c r="AU388">
        <f>HYPERLINK("https://creighton-primo.hosted.exlibrisgroup.com/primo-explore/search?tab=default_tab&amp;search_scope=EVERYTHING&amp;vid=01CRU&amp;lang=en_US&amp;offset=0&amp;query=any,contains,991004130189702656","Catalog Record")</f>
        <v/>
      </c>
      <c r="AV388">
        <f>HYPERLINK("http://www.worldcat.org/oclc/2465939","WorldCat Record")</f>
        <v/>
      </c>
      <c r="AW388" t="inlineStr">
        <is>
          <t>765343:eng</t>
        </is>
      </c>
      <c r="AX388" t="inlineStr">
        <is>
          <t>2465939</t>
        </is>
      </c>
      <c r="AY388" t="inlineStr">
        <is>
          <t>991004130189702656</t>
        </is>
      </c>
      <c r="AZ388" t="inlineStr">
        <is>
          <t>991004130189702656</t>
        </is>
      </c>
      <c r="BA388" t="inlineStr">
        <is>
          <t>2272101130002656</t>
        </is>
      </c>
      <c r="BB388" t="inlineStr">
        <is>
          <t>BOOK</t>
        </is>
      </c>
      <c r="BE388" t="inlineStr">
        <is>
          <t>32285002161148</t>
        </is>
      </c>
      <c r="BF388" t="inlineStr">
        <is>
          <t>893423419</t>
        </is>
      </c>
    </row>
    <row r="389">
      <c r="B389" t="inlineStr">
        <is>
          <t>CURAL</t>
        </is>
      </c>
      <c r="C389" t="inlineStr">
        <is>
          <t>SHELVES</t>
        </is>
      </c>
      <c r="D389" t="inlineStr">
        <is>
          <t>CT275.R6 B85 2008</t>
        </is>
      </c>
      <c r="E389" t="inlineStr">
        <is>
          <t>0                      CT 0275000R  6                  B  85          2008</t>
        </is>
      </c>
      <c r="F389" t="inlineStr">
        <is>
          <t>The other half : the life of Jacob Riis and the world of immigrant America / Tom Buk-Swienty ; translated from the Danish by Annette Buk-Swienty.</t>
        </is>
      </c>
      <c r="H389" t="inlineStr">
        <is>
          <t>No</t>
        </is>
      </c>
      <c r="I389" t="inlineStr">
        <is>
          <t>1</t>
        </is>
      </c>
      <c r="J389" t="inlineStr">
        <is>
          <t>No</t>
        </is>
      </c>
      <c r="K389" t="inlineStr">
        <is>
          <t>No</t>
        </is>
      </c>
      <c r="L389" t="inlineStr">
        <is>
          <t>0</t>
        </is>
      </c>
      <c r="M389" t="inlineStr">
        <is>
          <t>Buk-Swienty, Tom, 1966-</t>
        </is>
      </c>
      <c r="N389" t="inlineStr">
        <is>
          <t>New York : W.W. Norton &amp; Co., c2008.</t>
        </is>
      </c>
      <c r="O389" t="inlineStr">
        <is>
          <t>2008</t>
        </is>
      </c>
      <c r="Q389" t="inlineStr">
        <is>
          <t>eng</t>
        </is>
      </c>
      <c r="R389" t="inlineStr">
        <is>
          <t>nyu</t>
        </is>
      </c>
      <c r="T389" t="inlineStr">
        <is>
          <t xml:space="preserve">CT </t>
        </is>
      </c>
      <c r="U389" t="n">
        <v>3</v>
      </c>
      <c r="V389" t="n">
        <v>3</v>
      </c>
      <c r="W389" t="inlineStr">
        <is>
          <t>2009-02-23</t>
        </is>
      </c>
      <c r="X389" t="inlineStr">
        <is>
          <t>2009-02-23</t>
        </is>
      </c>
      <c r="Y389" t="inlineStr">
        <is>
          <t>2008-10-09</t>
        </is>
      </c>
      <c r="Z389" t="inlineStr">
        <is>
          <t>2008-10-09</t>
        </is>
      </c>
      <c r="AA389" t="n">
        <v>582</v>
      </c>
      <c r="AB389" t="n">
        <v>562</v>
      </c>
      <c r="AC389" t="n">
        <v>569</v>
      </c>
      <c r="AD389" t="n">
        <v>4</v>
      </c>
      <c r="AE389" t="n">
        <v>4</v>
      </c>
      <c r="AF389" t="n">
        <v>14</v>
      </c>
      <c r="AG389" t="n">
        <v>14</v>
      </c>
      <c r="AH389" t="n">
        <v>5</v>
      </c>
      <c r="AI389" t="n">
        <v>5</v>
      </c>
      <c r="AJ389" t="n">
        <v>5</v>
      </c>
      <c r="AK389" t="n">
        <v>5</v>
      </c>
      <c r="AL389" t="n">
        <v>7</v>
      </c>
      <c r="AM389" t="n">
        <v>7</v>
      </c>
      <c r="AN389" t="n">
        <v>1</v>
      </c>
      <c r="AO389" t="n">
        <v>1</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HYPERLINK("https://creighton-primo.hosted.exlibrisgroup.com/primo-explore/search?tab=default_tab&amp;search_scope=EVERYTHING&amp;vid=01CRU&amp;lang=en_US&amp;offset=0&amp;query=any,contains,991005269979702656","Catalog Record")</f>
        <v/>
      </c>
      <c r="AV389">
        <f>HYPERLINK("http://www.worldcat.org/oclc/181139241","WorldCat Record")</f>
        <v/>
      </c>
      <c r="AW389" t="inlineStr">
        <is>
          <t>4535579679:eng</t>
        </is>
      </c>
      <c r="AX389" t="inlineStr">
        <is>
          <t>181139241</t>
        </is>
      </c>
      <c r="AY389" t="inlineStr">
        <is>
          <t>991005269979702656</t>
        </is>
      </c>
      <c r="AZ389" t="inlineStr">
        <is>
          <t>991005269979702656</t>
        </is>
      </c>
      <c r="BA389" t="inlineStr">
        <is>
          <t>2265062180002656</t>
        </is>
      </c>
      <c r="BB389" t="inlineStr">
        <is>
          <t>BOOK</t>
        </is>
      </c>
      <c r="BD389" t="inlineStr">
        <is>
          <t>9780393060232</t>
        </is>
      </c>
      <c r="BE389" t="inlineStr">
        <is>
          <t>32285005462642</t>
        </is>
      </c>
      <c r="BF389" t="inlineStr">
        <is>
          <t>893338839</t>
        </is>
      </c>
    </row>
    <row r="390">
      <c r="B390" t="inlineStr">
        <is>
          <t>CURAL</t>
        </is>
      </c>
      <c r="C390" t="inlineStr">
        <is>
          <t>SHELVES</t>
        </is>
      </c>
      <c r="D390" t="inlineStr">
        <is>
          <t>CT275.R75 A3 1933</t>
        </is>
      </c>
      <c r="E390" t="inlineStr">
        <is>
          <t>0                      CT 0275000R  75                 A  3           1933</t>
        </is>
      </c>
      <c r="F390" t="inlineStr">
        <is>
          <t>Random reminiscences of men and events / by John D. Rockefeller.</t>
        </is>
      </c>
      <c r="H390" t="inlineStr">
        <is>
          <t>No</t>
        </is>
      </c>
      <c r="I390" t="inlineStr">
        <is>
          <t>1</t>
        </is>
      </c>
      <c r="J390" t="inlineStr">
        <is>
          <t>No</t>
        </is>
      </c>
      <c r="K390" t="inlineStr">
        <is>
          <t>No</t>
        </is>
      </c>
      <c r="L390" t="inlineStr">
        <is>
          <t>0</t>
        </is>
      </c>
      <c r="M390" t="inlineStr">
        <is>
          <t>Rockefeller, John D. (John Davison), 1839-1937.</t>
        </is>
      </c>
      <c r="N390" t="inlineStr">
        <is>
          <t>New York : Doubleday, Doran, 1933, c1909.</t>
        </is>
      </c>
      <c r="O390" t="inlineStr">
        <is>
          <t>1933</t>
        </is>
      </c>
      <c r="Q390" t="inlineStr">
        <is>
          <t>eng</t>
        </is>
      </c>
      <c r="R390" t="inlineStr">
        <is>
          <t>nyu</t>
        </is>
      </c>
      <c r="T390" t="inlineStr">
        <is>
          <t xml:space="preserve">CT </t>
        </is>
      </c>
      <c r="U390" t="n">
        <v>2</v>
      </c>
      <c r="V390" t="n">
        <v>2</v>
      </c>
      <c r="W390" t="inlineStr">
        <is>
          <t>1997-01-28</t>
        </is>
      </c>
      <c r="X390" t="inlineStr">
        <is>
          <t>1997-01-28</t>
        </is>
      </c>
      <c r="Y390" t="inlineStr">
        <is>
          <t>1996-04-30</t>
        </is>
      </c>
      <c r="Z390" t="inlineStr">
        <is>
          <t>1996-04-30</t>
        </is>
      </c>
      <c r="AA390" t="n">
        <v>174</v>
      </c>
      <c r="AB390" t="n">
        <v>173</v>
      </c>
      <c r="AC390" t="n">
        <v>805</v>
      </c>
      <c r="AD390" t="n">
        <v>4</v>
      </c>
      <c r="AE390" t="n">
        <v>6</v>
      </c>
      <c r="AF390" t="n">
        <v>11</v>
      </c>
      <c r="AG390" t="n">
        <v>32</v>
      </c>
      <c r="AH390" t="n">
        <v>4</v>
      </c>
      <c r="AI390" t="n">
        <v>12</v>
      </c>
      <c r="AJ390" t="n">
        <v>0</v>
      </c>
      <c r="AK390" t="n">
        <v>6</v>
      </c>
      <c r="AL390" t="n">
        <v>4</v>
      </c>
      <c r="AM390" t="n">
        <v>16</v>
      </c>
      <c r="AN390" t="n">
        <v>3</v>
      </c>
      <c r="AO390" t="n">
        <v>5</v>
      </c>
      <c r="AP390" t="n">
        <v>0</v>
      </c>
      <c r="AQ390" t="n">
        <v>0</v>
      </c>
      <c r="AR390" t="inlineStr">
        <is>
          <t>Yes</t>
        </is>
      </c>
      <c r="AS390" t="inlineStr">
        <is>
          <t>No</t>
        </is>
      </c>
      <c r="AT390">
        <f>HYPERLINK("http://catalog.hathitrust.org/Record/001895681","HathiTrust Record")</f>
        <v/>
      </c>
      <c r="AU390">
        <f>HYPERLINK("https://creighton-primo.hosted.exlibrisgroup.com/primo-explore/search?tab=default_tab&amp;search_scope=EVERYTHING&amp;vid=01CRU&amp;lang=en_US&amp;offset=0&amp;query=any,contains,991004443279702656","Catalog Record")</f>
        <v/>
      </c>
      <c r="AV390">
        <f>HYPERLINK("http://www.worldcat.org/oclc/3474522","WorldCat Record")</f>
        <v/>
      </c>
      <c r="AW390" t="inlineStr">
        <is>
          <t>1523785:eng</t>
        </is>
      </c>
      <c r="AX390" t="inlineStr">
        <is>
          <t>3474522</t>
        </is>
      </c>
      <c r="AY390" t="inlineStr">
        <is>
          <t>991004443279702656</t>
        </is>
      </c>
      <c r="AZ390" t="inlineStr">
        <is>
          <t>991004443279702656</t>
        </is>
      </c>
      <c r="BA390" t="inlineStr">
        <is>
          <t>2270661220002656</t>
        </is>
      </c>
      <c r="BB390" t="inlineStr">
        <is>
          <t>BOOK</t>
        </is>
      </c>
      <c r="BE390" t="inlineStr">
        <is>
          <t>32285002161155</t>
        </is>
      </c>
      <c r="BF390" t="inlineStr">
        <is>
          <t>893599843</t>
        </is>
      </c>
    </row>
    <row r="391">
      <c r="B391" t="inlineStr">
        <is>
          <t>CURAL</t>
        </is>
      </c>
      <c r="C391" t="inlineStr">
        <is>
          <t>SHELVES</t>
        </is>
      </c>
      <c r="D391" t="inlineStr">
        <is>
          <t>CT275.R75 C3</t>
        </is>
      </c>
      <c r="E391" t="inlineStr">
        <is>
          <t>0                      CT 0275000R  75                 C  3</t>
        </is>
      </c>
      <c r="F391" t="inlineStr">
        <is>
          <t>John D. Rockefeller's secret weapon.</t>
        </is>
      </c>
      <c r="H391" t="inlineStr">
        <is>
          <t>No</t>
        </is>
      </c>
      <c r="I391" t="inlineStr">
        <is>
          <t>1</t>
        </is>
      </c>
      <c r="J391" t="inlineStr">
        <is>
          <t>No</t>
        </is>
      </c>
      <c r="K391" t="inlineStr">
        <is>
          <t>No</t>
        </is>
      </c>
      <c r="L391" t="inlineStr">
        <is>
          <t>0</t>
        </is>
      </c>
      <c r="M391" t="inlineStr">
        <is>
          <t>Carr, Albert H. Z. (Albert H. Zolotkoff), 1902-1971.</t>
        </is>
      </c>
      <c r="N391" t="inlineStr">
        <is>
          <t>New York : McGraw-Hill, [1962]</t>
        </is>
      </c>
      <c r="O391" t="inlineStr">
        <is>
          <t>1962</t>
        </is>
      </c>
      <c r="P391" t="inlineStr">
        <is>
          <t>[1st ed.]</t>
        </is>
      </c>
      <c r="Q391" t="inlineStr">
        <is>
          <t>eng</t>
        </is>
      </c>
      <c r="R391" t="inlineStr">
        <is>
          <t>nyu</t>
        </is>
      </c>
      <c r="T391" t="inlineStr">
        <is>
          <t xml:space="preserve">CT </t>
        </is>
      </c>
      <c r="U391" t="n">
        <v>2</v>
      </c>
      <c r="V391" t="n">
        <v>2</v>
      </c>
      <c r="W391" t="inlineStr">
        <is>
          <t>1993-09-29</t>
        </is>
      </c>
      <c r="X391" t="inlineStr">
        <is>
          <t>1993-09-29</t>
        </is>
      </c>
      <c r="Y391" t="inlineStr">
        <is>
          <t>1990-02-16</t>
        </is>
      </c>
      <c r="Z391" t="inlineStr">
        <is>
          <t>1990-02-16</t>
        </is>
      </c>
      <c r="AA391" t="n">
        <v>1186</v>
      </c>
      <c r="AB391" t="n">
        <v>1150</v>
      </c>
      <c r="AC391" t="n">
        <v>1156</v>
      </c>
      <c r="AD391" t="n">
        <v>12</v>
      </c>
      <c r="AE391" t="n">
        <v>12</v>
      </c>
      <c r="AF391" t="n">
        <v>50</v>
      </c>
      <c r="AG391" t="n">
        <v>50</v>
      </c>
      <c r="AH391" t="n">
        <v>20</v>
      </c>
      <c r="AI391" t="n">
        <v>20</v>
      </c>
      <c r="AJ391" t="n">
        <v>9</v>
      </c>
      <c r="AK391" t="n">
        <v>9</v>
      </c>
      <c r="AL391" t="n">
        <v>22</v>
      </c>
      <c r="AM391" t="n">
        <v>22</v>
      </c>
      <c r="AN391" t="n">
        <v>9</v>
      </c>
      <c r="AO391" t="n">
        <v>9</v>
      </c>
      <c r="AP391" t="n">
        <v>0</v>
      </c>
      <c r="AQ391" t="n">
        <v>0</v>
      </c>
      <c r="AR391" t="inlineStr">
        <is>
          <t>No</t>
        </is>
      </c>
      <c r="AS391" t="inlineStr">
        <is>
          <t>Yes</t>
        </is>
      </c>
      <c r="AT391">
        <f>HYPERLINK("http://catalog.hathitrust.org/Record/001598724","HathiTrust Record")</f>
        <v/>
      </c>
      <c r="AU391">
        <f>HYPERLINK("https://creighton-primo.hosted.exlibrisgroup.com/primo-explore/search?tab=default_tab&amp;search_scope=EVERYTHING&amp;vid=01CRU&amp;lang=en_US&amp;offset=0&amp;query=any,contains,991003279069702656","Catalog Record")</f>
        <v/>
      </c>
      <c r="AV391">
        <f>HYPERLINK("http://www.worldcat.org/oclc/801975","WorldCat Record")</f>
        <v/>
      </c>
      <c r="AW391" t="inlineStr">
        <is>
          <t>1605956:eng</t>
        </is>
      </c>
      <c r="AX391" t="inlineStr">
        <is>
          <t>801975</t>
        </is>
      </c>
      <c r="AY391" t="inlineStr">
        <is>
          <t>991003279069702656</t>
        </is>
      </c>
      <c r="AZ391" t="inlineStr">
        <is>
          <t>991003279069702656</t>
        </is>
      </c>
      <c r="BA391" t="inlineStr">
        <is>
          <t>2270004830002656</t>
        </is>
      </c>
      <c r="BB391" t="inlineStr">
        <is>
          <t>BOOK</t>
        </is>
      </c>
      <c r="BE391" t="inlineStr">
        <is>
          <t>32285000043843</t>
        </is>
      </c>
      <c r="BF391" t="inlineStr">
        <is>
          <t>893246207</t>
        </is>
      </c>
    </row>
    <row r="392">
      <c r="B392" t="inlineStr">
        <is>
          <t>CURAL</t>
        </is>
      </c>
      <c r="C392" t="inlineStr">
        <is>
          <t>SHELVES</t>
        </is>
      </c>
      <c r="D392" t="inlineStr">
        <is>
          <t>CT275.R75 F6</t>
        </is>
      </c>
      <c r="E392" t="inlineStr">
        <is>
          <t>0                      CT 0275000R  75                 F  6</t>
        </is>
      </c>
      <c r="F392" t="inlineStr">
        <is>
          <t>God's gold : the story of Rockefeller and his times / by John T. Flynn.</t>
        </is>
      </c>
      <c r="H392" t="inlineStr">
        <is>
          <t>No</t>
        </is>
      </c>
      <c r="I392" t="inlineStr">
        <is>
          <t>1</t>
        </is>
      </c>
      <c r="J392" t="inlineStr">
        <is>
          <t>No</t>
        </is>
      </c>
      <c r="K392" t="inlineStr">
        <is>
          <t>No</t>
        </is>
      </c>
      <c r="L392" t="inlineStr">
        <is>
          <t>0</t>
        </is>
      </c>
      <c r="M392" t="inlineStr">
        <is>
          <t>Flynn, John T., 1882-1964.</t>
        </is>
      </c>
      <c r="N392" t="inlineStr">
        <is>
          <t>Chautauqua, N.Y. : Chautauqa Press, 1932.</t>
        </is>
      </c>
      <c r="O392" t="inlineStr">
        <is>
          <t>1932</t>
        </is>
      </c>
      <c r="Q392" t="inlineStr">
        <is>
          <t>eng</t>
        </is>
      </c>
      <c r="R392" t="inlineStr">
        <is>
          <t>nyu</t>
        </is>
      </c>
      <c r="S392" t="inlineStr">
        <is>
          <t>Chautauqua home reading series</t>
        </is>
      </c>
      <c r="T392" t="inlineStr">
        <is>
          <t xml:space="preserve">CT </t>
        </is>
      </c>
      <c r="U392" t="n">
        <v>6</v>
      </c>
      <c r="V392" t="n">
        <v>6</v>
      </c>
      <c r="W392" t="inlineStr">
        <is>
          <t>2008-04-01</t>
        </is>
      </c>
      <c r="X392" t="inlineStr">
        <is>
          <t>2008-04-01</t>
        </is>
      </c>
      <c r="Y392" t="inlineStr">
        <is>
          <t>1990-02-16</t>
        </is>
      </c>
      <c r="Z392" t="inlineStr">
        <is>
          <t>1990-02-16</t>
        </is>
      </c>
      <c r="AA392" t="n">
        <v>59</v>
      </c>
      <c r="AB392" t="n">
        <v>58</v>
      </c>
      <c r="AC392" t="n">
        <v>725</v>
      </c>
      <c r="AD392" t="n">
        <v>3</v>
      </c>
      <c r="AE392" t="n">
        <v>7</v>
      </c>
      <c r="AF392" t="n">
        <v>4</v>
      </c>
      <c r="AG392" t="n">
        <v>39</v>
      </c>
      <c r="AH392" t="n">
        <v>1</v>
      </c>
      <c r="AI392" t="n">
        <v>15</v>
      </c>
      <c r="AJ392" t="n">
        <v>0</v>
      </c>
      <c r="AK392" t="n">
        <v>4</v>
      </c>
      <c r="AL392" t="n">
        <v>2</v>
      </c>
      <c r="AM392" t="n">
        <v>22</v>
      </c>
      <c r="AN392" t="n">
        <v>2</v>
      </c>
      <c r="AO392" t="n">
        <v>5</v>
      </c>
      <c r="AP392" t="n">
        <v>0</v>
      </c>
      <c r="AQ392" t="n">
        <v>2</v>
      </c>
      <c r="AR392" t="inlineStr">
        <is>
          <t>No</t>
        </is>
      </c>
      <c r="AS392" t="inlineStr">
        <is>
          <t>No</t>
        </is>
      </c>
      <c r="AU392">
        <f>HYPERLINK("https://creighton-primo.hosted.exlibrisgroup.com/primo-explore/search?tab=default_tab&amp;search_scope=EVERYTHING&amp;vid=01CRU&amp;lang=en_US&amp;offset=0&amp;query=any,contains,991004795569702656","Catalog Record")</f>
        <v/>
      </c>
      <c r="AV392">
        <f>HYPERLINK("http://www.worldcat.org/oclc/5183371","WorldCat Record")</f>
        <v/>
      </c>
      <c r="AW392" t="inlineStr">
        <is>
          <t>1386665:eng</t>
        </is>
      </c>
      <c r="AX392" t="inlineStr">
        <is>
          <t>5183371</t>
        </is>
      </c>
      <c r="AY392" t="inlineStr">
        <is>
          <t>991004795569702656</t>
        </is>
      </c>
      <c r="AZ392" t="inlineStr">
        <is>
          <t>991004795569702656</t>
        </is>
      </c>
      <c r="BA392" t="inlineStr">
        <is>
          <t>2255348850002656</t>
        </is>
      </c>
      <c r="BB392" t="inlineStr">
        <is>
          <t>BOOK</t>
        </is>
      </c>
      <c r="BE392" t="inlineStr">
        <is>
          <t>32285000043850</t>
        </is>
      </c>
      <c r="BF392" t="inlineStr">
        <is>
          <t>893260179</t>
        </is>
      </c>
    </row>
    <row r="393">
      <c r="B393" t="inlineStr">
        <is>
          <t>CURAL</t>
        </is>
      </c>
      <c r="C393" t="inlineStr">
        <is>
          <t>SHELVES</t>
        </is>
      </c>
      <c r="D393" t="inlineStr">
        <is>
          <t>CT275.R75 N4</t>
        </is>
      </c>
      <c r="E393" t="inlineStr">
        <is>
          <t>0                      CT 0275000R  75                 N  4</t>
        </is>
      </c>
      <c r="F393" t="inlineStr">
        <is>
          <t>John D. Rockefeller : the heroic age of American enterprise / by Allan Nevins.</t>
        </is>
      </c>
      <c r="G393" t="inlineStr">
        <is>
          <t>V.1</t>
        </is>
      </c>
      <c r="H393" t="inlineStr">
        <is>
          <t>Yes</t>
        </is>
      </c>
      <c r="I393" t="inlineStr">
        <is>
          <t>1</t>
        </is>
      </c>
      <c r="J393" t="inlineStr">
        <is>
          <t>No</t>
        </is>
      </c>
      <c r="K393" t="inlineStr">
        <is>
          <t>No</t>
        </is>
      </c>
      <c r="L393" t="inlineStr">
        <is>
          <t>0</t>
        </is>
      </c>
      <c r="M393" t="inlineStr">
        <is>
          <t>Nevins, Allan, 1890-1971.</t>
        </is>
      </c>
      <c r="N393" t="inlineStr">
        <is>
          <t>New York : C. Scribner's Sons, 1941, c1940.</t>
        </is>
      </c>
      <c r="O393" t="inlineStr">
        <is>
          <t>1940</t>
        </is>
      </c>
      <c r="Q393" t="inlineStr">
        <is>
          <t>eng</t>
        </is>
      </c>
      <c r="R393" t="inlineStr">
        <is>
          <t>nyu</t>
        </is>
      </c>
      <c r="T393" t="inlineStr">
        <is>
          <t xml:space="preserve">CT </t>
        </is>
      </c>
      <c r="U393" t="n">
        <v>2</v>
      </c>
      <c r="V393" t="n">
        <v>4</v>
      </c>
      <c r="W393" t="inlineStr">
        <is>
          <t>2010-03-11</t>
        </is>
      </c>
      <c r="X393" t="inlineStr">
        <is>
          <t>2010-03-11</t>
        </is>
      </c>
      <c r="Y393" t="inlineStr">
        <is>
          <t>1996-08-22</t>
        </is>
      </c>
      <c r="Z393" t="inlineStr">
        <is>
          <t>1996-08-22</t>
        </is>
      </c>
      <c r="AA393" t="n">
        <v>996</v>
      </c>
      <c r="AB393" t="n">
        <v>916</v>
      </c>
      <c r="AC393" t="n">
        <v>1043</v>
      </c>
      <c r="AD393" t="n">
        <v>7</v>
      </c>
      <c r="AE393" t="n">
        <v>8</v>
      </c>
      <c r="AF393" t="n">
        <v>38</v>
      </c>
      <c r="AG393" t="n">
        <v>46</v>
      </c>
      <c r="AH393" t="n">
        <v>17</v>
      </c>
      <c r="AI393" t="n">
        <v>20</v>
      </c>
      <c r="AJ393" t="n">
        <v>5</v>
      </c>
      <c r="AK393" t="n">
        <v>7</v>
      </c>
      <c r="AL393" t="n">
        <v>20</v>
      </c>
      <c r="AM393" t="n">
        <v>25</v>
      </c>
      <c r="AN393" t="n">
        <v>4</v>
      </c>
      <c r="AO393" t="n">
        <v>5</v>
      </c>
      <c r="AP393" t="n">
        <v>1</v>
      </c>
      <c r="AQ393" t="n">
        <v>1</v>
      </c>
      <c r="AR393" t="inlineStr">
        <is>
          <t>No</t>
        </is>
      </c>
      <c r="AS393" t="inlineStr">
        <is>
          <t>Yes</t>
        </is>
      </c>
      <c r="AT393">
        <f>HYPERLINK("http://catalog.hathitrust.org/Record/001598726","HathiTrust Record")</f>
        <v/>
      </c>
      <c r="AU393">
        <f>HYPERLINK("https://creighton-primo.hosted.exlibrisgroup.com/primo-explore/search?tab=default_tab&amp;search_scope=EVERYTHING&amp;vid=01CRU&amp;lang=en_US&amp;offset=0&amp;query=any,contains,991001693989702656","Catalog Record")</f>
        <v/>
      </c>
      <c r="AV393">
        <f>HYPERLINK("http://www.worldcat.org/oclc/21462484","WorldCat Record")</f>
        <v/>
      </c>
      <c r="AW393" t="inlineStr">
        <is>
          <t>4845186:eng</t>
        </is>
      </c>
      <c r="AX393" t="inlineStr">
        <is>
          <t>21462484</t>
        </is>
      </c>
      <c r="AY393" t="inlineStr">
        <is>
          <t>991001693989702656</t>
        </is>
      </c>
      <c r="AZ393" t="inlineStr">
        <is>
          <t>991001693989702656</t>
        </is>
      </c>
      <c r="BA393" t="inlineStr">
        <is>
          <t>2259369060002656</t>
        </is>
      </c>
      <c r="BB393" t="inlineStr">
        <is>
          <t>BOOK</t>
        </is>
      </c>
      <c r="BE393" t="inlineStr">
        <is>
          <t>32285002285475</t>
        </is>
      </c>
      <c r="BF393" t="inlineStr">
        <is>
          <t>893226042</t>
        </is>
      </c>
    </row>
    <row r="394">
      <c r="B394" t="inlineStr">
        <is>
          <t>CURAL</t>
        </is>
      </c>
      <c r="C394" t="inlineStr">
        <is>
          <t>SHELVES</t>
        </is>
      </c>
      <c r="D394" t="inlineStr">
        <is>
          <t>CT275.R75 N4</t>
        </is>
      </c>
      <c r="E394" t="inlineStr">
        <is>
          <t>0                      CT 0275000R  75                 N  4</t>
        </is>
      </c>
      <c r="F394" t="inlineStr">
        <is>
          <t>John D. Rockefeller : the heroic age of American enterprise / by Allan Nevins.</t>
        </is>
      </c>
      <c r="G394" t="inlineStr">
        <is>
          <t>V.2</t>
        </is>
      </c>
      <c r="H394" t="inlineStr">
        <is>
          <t>Yes</t>
        </is>
      </c>
      <c r="I394" t="inlineStr">
        <is>
          <t>1</t>
        </is>
      </c>
      <c r="J394" t="inlineStr">
        <is>
          <t>No</t>
        </is>
      </c>
      <c r="K394" t="inlineStr">
        <is>
          <t>No</t>
        </is>
      </c>
      <c r="L394" t="inlineStr">
        <is>
          <t>0</t>
        </is>
      </c>
      <c r="M394" t="inlineStr">
        <is>
          <t>Nevins, Allan, 1890-1971.</t>
        </is>
      </c>
      <c r="N394" t="inlineStr">
        <is>
          <t>New York : C. Scribner's Sons, 1941, c1940.</t>
        </is>
      </c>
      <c r="O394" t="inlineStr">
        <is>
          <t>1940</t>
        </is>
      </c>
      <c r="Q394" t="inlineStr">
        <is>
          <t>eng</t>
        </is>
      </c>
      <c r="R394" t="inlineStr">
        <is>
          <t>nyu</t>
        </is>
      </c>
      <c r="T394" t="inlineStr">
        <is>
          <t xml:space="preserve">CT </t>
        </is>
      </c>
      <c r="U394" t="n">
        <v>2</v>
      </c>
      <c r="V394" t="n">
        <v>4</v>
      </c>
      <c r="W394" t="inlineStr">
        <is>
          <t>2010-03-11</t>
        </is>
      </c>
      <c r="X394" t="inlineStr">
        <is>
          <t>2010-03-11</t>
        </is>
      </c>
      <c r="Y394" t="inlineStr">
        <is>
          <t>1996-08-22</t>
        </is>
      </c>
      <c r="Z394" t="inlineStr">
        <is>
          <t>1996-08-22</t>
        </is>
      </c>
      <c r="AA394" t="n">
        <v>996</v>
      </c>
      <c r="AB394" t="n">
        <v>916</v>
      </c>
      <c r="AC394" t="n">
        <v>1043</v>
      </c>
      <c r="AD394" t="n">
        <v>7</v>
      </c>
      <c r="AE394" t="n">
        <v>8</v>
      </c>
      <c r="AF394" t="n">
        <v>38</v>
      </c>
      <c r="AG394" t="n">
        <v>46</v>
      </c>
      <c r="AH394" t="n">
        <v>17</v>
      </c>
      <c r="AI394" t="n">
        <v>20</v>
      </c>
      <c r="AJ394" t="n">
        <v>5</v>
      </c>
      <c r="AK394" t="n">
        <v>7</v>
      </c>
      <c r="AL394" t="n">
        <v>20</v>
      </c>
      <c r="AM394" t="n">
        <v>25</v>
      </c>
      <c r="AN394" t="n">
        <v>4</v>
      </c>
      <c r="AO394" t="n">
        <v>5</v>
      </c>
      <c r="AP394" t="n">
        <v>1</v>
      </c>
      <c r="AQ394" t="n">
        <v>1</v>
      </c>
      <c r="AR394" t="inlineStr">
        <is>
          <t>No</t>
        </is>
      </c>
      <c r="AS394" t="inlineStr">
        <is>
          <t>Yes</t>
        </is>
      </c>
      <c r="AT394">
        <f>HYPERLINK("http://catalog.hathitrust.org/Record/001598726","HathiTrust Record")</f>
        <v/>
      </c>
      <c r="AU394">
        <f>HYPERLINK("https://creighton-primo.hosted.exlibrisgroup.com/primo-explore/search?tab=default_tab&amp;search_scope=EVERYTHING&amp;vid=01CRU&amp;lang=en_US&amp;offset=0&amp;query=any,contains,991001693989702656","Catalog Record")</f>
        <v/>
      </c>
      <c r="AV394">
        <f>HYPERLINK("http://www.worldcat.org/oclc/21462484","WorldCat Record")</f>
        <v/>
      </c>
      <c r="AW394" t="inlineStr">
        <is>
          <t>4845186:eng</t>
        </is>
      </c>
      <c r="AX394" t="inlineStr">
        <is>
          <t>21462484</t>
        </is>
      </c>
      <c r="AY394" t="inlineStr">
        <is>
          <t>991001693989702656</t>
        </is>
      </c>
      <c r="AZ394" t="inlineStr">
        <is>
          <t>991001693989702656</t>
        </is>
      </c>
      <c r="BA394" t="inlineStr">
        <is>
          <t>2259369060002656</t>
        </is>
      </c>
      <c r="BB394" t="inlineStr">
        <is>
          <t>BOOK</t>
        </is>
      </c>
      <c r="BE394" t="inlineStr">
        <is>
          <t>32285002285483</t>
        </is>
      </c>
      <c r="BF394" t="inlineStr">
        <is>
          <t>893226041</t>
        </is>
      </c>
    </row>
    <row r="395">
      <c r="B395" t="inlineStr">
        <is>
          <t>CURAL</t>
        </is>
      </c>
      <c r="C395" t="inlineStr">
        <is>
          <t>SHELVES</t>
        </is>
      </c>
      <c r="D395" t="inlineStr">
        <is>
          <t>CT275.R75 W5</t>
        </is>
      </c>
      <c r="E395" t="inlineStr">
        <is>
          <t>0                      CT 0275000R  75                 W  5</t>
        </is>
      </c>
      <c r="F395" t="inlineStr">
        <is>
          <t>John D. : a portrait in oils / by John K. Winkler.</t>
        </is>
      </c>
      <c r="H395" t="inlineStr">
        <is>
          <t>No</t>
        </is>
      </c>
      <c r="I395" t="inlineStr">
        <is>
          <t>1</t>
        </is>
      </c>
      <c r="J395" t="inlineStr">
        <is>
          <t>No</t>
        </is>
      </c>
      <c r="K395" t="inlineStr">
        <is>
          <t>No</t>
        </is>
      </c>
      <c r="L395" t="inlineStr">
        <is>
          <t>0</t>
        </is>
      </c>
      <c r="M395" t="inlineStr">
        <is>
          <t>Winkler, John K. (John Kennedy), 1891-1958.</t>
        </is>
      </c>
      <c r="N395" t="inlineStr">
        <is>
          <t>New York : Blue Ribbon Books, [1929]</t>
        </is>
      </c>
      <c r="O395" t="inlineStr">
        <is>
          <t>1929</t>
        </is>
      </c>
      <c r="Q395" t="inlineStr">
        <is>
          <t>eng</t>
        </is>
      </c>
      <c r="R395" t="inlineStr">
        <is>
          <t xml:space="preserve">xx </t>
        </is>
      </c>
      <c r="T395" t="inlineStr">
        <is>
          <t xml:space="preserve">CT </t>
        </is>
      </c>
      <c r="U395" t="n">
        <v>1</v>
      </c>
      <c r="V395" t="n">
        <v>1</v>
      </c>
      <c r="W395" t="inlineStr">
        <is>
          <t>1995-01-16</t>
        </is>
      </c>
      <c r="X395" t="inlineStr">
        <is>
          <t>1995-01-16</t>
        </is>
      </c>
      <c r="Y395" t="inlineStr">
        <is>
          <t>1993-02-09</t>
        </is>
      </c>
      <c r="Z395" t="inlineStr">
        <is>
          <t>1993-02-09</t>
        </is>
      </c>
      <c r="AA395" t="n">
        <v>154</v>
      </c>
      <c r="AB395" t="n">
        <v>139</v>
      </c>
      <c r="AC395" t="n">
        <v>363</v>
      </c>
      <c r="AD395" t="n">
        <v>3</v>
      </c>
      <c r="AE395" t="n">
        <v>3</v>
      </c>
      <c r="AF395" t="n">
        <v>9</v>
      </c>
      <c r="AG395" t="n">
        <v>15</v>
      </c>
      <c r="AH395" t="n">
        <v>7</v>
      </c>
      <c r="AI395" t="n">
        <v>9</v>
      </c>
      <c r="AJ395" t="n">
        <v>0</v>
      </c>
      <c r="AK395" t="n">
        <v>3</v>
      </c>
      <c r="AL395" t="n">
        <v>5</v>
      </c>
      <c r="AM395" t="n">
        <v>8</v>
      </c>
      <c r="AN395" t="n">
        <v>1</v>
      </c>
      <c r="AO395" t="n">
        <v>1</v>
      </c>
      <c r="AP395" t="n">
        <v>0</v>
      </c>
      <c r="AQ395" t="n">
        <v>0</v>
      </c>
      <c r="AR395" t="inlineStr">
        <is>
          <t>Yes</t>
        </is>
      </c>
      <c r="AS395" t="inlineStr">
        <is>
          <t>No</t>
        </is>
      </c>
      <c r="AT395">
        <f>HYPERLINK("http://catalog.hathitrust.org/Record/102072993","HathiTrust Record")</f>
        <v/>
      </c>
      <c r="AU395">
        <f>HYPERLINK("https://creighton-primo.hosted.exlibrisgroup.com/primo-explore/search?tab=default_tab&amp;search_scope=EVERYTHING&amp;vid=01CRU&amp;lang=en_US&amp;offset=0&amp;query=any,contains,991003045969702656","Catalog Record")</f>
        <v/>
      </c>
      <c r="AV395">
        <f>HYPERLINK("http://www.worldcat.org/oclc/606533","WorldCat Record")</f>
        <v/>
      </c>
      <c r="AW395" t="inlineStr">
        <is>
          <t>1625936:eng</t>
        </is>
      </c>
      <c r="AX395" t="inlineStr">
        <is>
          <t>606533</t>
        </is>
      </c>
      <c r="AY395" t="inlineStr">
        <is>
          <t>991003045969702656</t>
        </is>
      </c>
      <c r="AZ395" t="inlineStr">
        <is>
          <t>991003045969702656</t>
        </is>
      </c>
      <c r="BA395" t="inlineStr">
        <is>
          <t>2263983270002656</t>
        </is>
      </c>
      <c r="BB395" t="inlineStr">
        <is>
          <t>BOOK</t>
        </is>
      </c>
      <c r="BE395" t="inlineStr">
        <is>
          <t>32285001508323</t>
        </is>
      </c>
      <c r="BF395" t="inlineStr">
        <is>
          <t>893258027</t>
        </is>
      </c>
    </row>
    <row r="396">
      <c r="B396" t="inlineStr">
        <is>
          <t>CURAL</t>
        </is>
      </c>
      <c r="C396" t="inlineStr">
        <is>
          <t>SHELVES</t>
        </is>
      </c>
      <c r="D396" t="inlineStr">
        <is>
          <t>CT275.S3474 A3</t>
        </is>
      </c>
      <c r="E396" t="inlineStr">
        <is>
          <t>0                      CT 0275000S  3474               A  3</t>
        </is>
      </c>
      <c r="F396" t="inlineStr">
        <is>
          <t>The pleasure was all mine; the journal of an undisappointed man. With drawings by Walt Kelly.</t>
        </is>
      </c>
      <c r="H396" t="inlineStr">
        <is>
          <t>No</t>
        </is>
      </c>
      <c r="I396" t="inlineStr">
        <is>
          <t>1</t>
        </is>
      </c>
      <c r="J396" t="inlineStr">
        <is>
          <t>No</t>
        </is>
      </c>
      <c r="K396" t="inlineStr">
        <is>
          <t>No</t>
        </is>
      </c>
      <c r="L396" t="inlineStr">
        <is>
          <t>0</t>
        </is>
      </c>
      <c r="M396" t="inlineStr">
        <is>
          <t>Schwed, Fred, 1901 or 1902-1966.</t>
        </is>
      </c>
      <c r="N396" t="inlineStr">
        <is>
          <t>New York, Simon and Schuster [1951]</t>
        </is>
      </c>
      <c r="O396" t="inlineStr">
        <is>
          <t>1951</t>
        </is>
      </c>
      <c r="Q396" t="inlineStr">
        <is>
          <t>eng</t>
        </is>
      </c>
      <c r="R396" t="inlineStr">
        <is>
          <t>nyu</t>
        </is>
      </c>
      <c r="T396" t="inlineStr">
        <is>
          <t xml:space="preserve">CT </t>
        </is>
      </c>
      <c r="U396" t="n">
        <v>0</v>
      </c>
      <c r="V396" t="n">
        <v>0</v>
      </c>
      <c r="W396" t="inlineStr">
        <is>
          <t>2001-09-12</t>
        </is>
      </c>
      <c r="X396" t="inlineStr">
        <is>
          <t>2001-09-12</t>
        </is>
      </c>
      <c r="Y396" t="inlineStr">
        <is>
          <t>1992-06-08</t>
        </is>
      </c>
      <c r="Z396" t="inlineStr">
        <is>
          <t>1992-06-08</t>
        </is>
      </c>
      <c r="AA396" t="n">
        <v>51</v>
      </c>
      <c r="AB396" t="n">
        <v>48</v>
      </c>
      <c r="AC396" t="n">
        <v>48</v>
      </c>
      <c r="AD396" t="n">
        <v>2</v>
      </c>
      <c r="AE396" t="n">
        <v>2</v>
      </c>
      <c r="AF396" t="n">
        <v>1</v>
      </c>
      <c r="AG396" t="n">
        <v>1</v>
      </c>
      <c r="AH396" t="n">
        <v>0</v>
      </c>
      <c r="AI396" t="n">
        <v>0</v>
      </c>
      <c r="AJ396" t="n">
        <v>0</v>
      </c>
      <c r="AK396" t="n">
        <v>0</v>
      </c>
      <c r="AL396" t="n">
        <v>0</v>
      </c>
      <c r="AM396" t="n">
        <v>0</v>
      </c>
      <c r="AN396" t="n">
        <v>1</v>
      </c>
      <c r="AO396" t="n">
        <v>1</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HYPERLINK("https://creighton-primo.hosted.exlibrisgroup.com/primo-explore/search?tab=default_tab&amp;search_scope=EVERYTHING&amp;vid=01CRU&amp;lang=en_US&amp;offset=0&amp;query=any,contains,991004243379702656","Catalog Record")</f>
        <v/>
      </c>
      <c r="AV396">
        <f>HYPERLINK("http://www.worldcat.org/oclc/2795561","WorldCat Record")</f>
        <v/>
      </c>
      <c r="AW396" t="inlineStr">
        <is>
          <t>6309711:eng</t>
        </is>
      </c>
      <c r="AX396" t="inlineStr">
        <is>
          <t>2795561</t>
        </is>
      </c>
      <c r="AY396" t="inlineStr">
        <is>
          <t>991004243379702656</t>
        </is>
      </c>
      <c r="AZ396" t="inlineStr">
        <is>
          <t>991004243379702656</t>
        </is>
      </c>
      <c r="BA396" t="inlineStr">
        <is>
          <t>2265119670002656</t>
        </is>
      </c>
      <c r="BB396" t="inlineStr">
        <is>
          <t>BOOK</t>
        </is>
      </c>
      <c r="BE396" t="inlineStr">
        <is>
          <t>32285001165843</t>
        </is>
      </c>
      <c r="BF396" t="inlineStr">
        <is>
          <t>893782011</t>
        </is>
      </c>
    </row>
    <row r="397">
      <c r="B397" t="inlineStr">
        <is>
          <t>CURAL</t>
        </is>
      </c>
      <c r="C397" t="inlineStr">
        <is>
          <t>SHELVES</t>
        </is>
      </c>
      <c r="D397" t="inlineStr">
        <is>
          <t>CT275.S5233 A35 1964</t>
        </is>
      </c>
      <c r="E397" t="inlineStr">
        <is>
          <t>0                      CT 0275000S  5233               A  35          1964</t>
        </is>
      </c>
      <c r="F397" t="inlineStr">
        <is>
          <t>My years with General Motors / by Alfred P. Sloan, Jr. ; Edited by John McDonald ; with Catharine Stevens.</t>
        </is>
      </c>
      <c r="H397" t="inlineStr">
        <is>
          <t>No</t>
        </is>
      </c>
      <c r="I397" t="inlineStr">
        <is>
          <t>1</t>
        </is>
      </c>
      <c r="J397" t="inlineStr">
        <is>
          <t>No</t>
        </is>
      </c>
      <c r="K397" t="inlineStr">
        <is>
          <t>No</t>
        </is>
      </c>
      <c r="L397" t="inlineStr">
        <is>
          <t>0</t>
        </is>
      </c>
      <c r="M397" t="inlineStr">
        <is>
          <t>Sloan, Alfred P. (Alfred Pritchard), 1875-1966.</t>
        </is>
      </c>
      <c r="N397" t="inlineStr">
        <is>
          <t>Garden City, N.Y., : Doubleday, 1964 [c1963]</t>
        </is>
      </c>
      <c r="O397" t="inlineStr">
        <is>
          <t>1964</t>
        </is>
      </c>
      <c r="P397" t="inlineStr">
        <is>
          <t>[1st ed.]</t>
        </is>
      </c>
      <c r="Q397" t="inlineStr">
        <is>
          <t>eng</t>
        </is>
      </c>
      <c r="R397" t="inlineStr">
        <is>
          <t>nyu</t>
        </is>
      </c>
      <c r="T397" t="inlineStr">
        <is>
          <t xml:space="preserve">CT </t>
        </is>
      </c>
      <c r="U397" t="n">
        <v>6</v>
      </c>
      <c r="V397" t="n">
        <v>6</v>
      </c>
      <c r="W397" t="inlineStr">
        <is>
          <t>2007-01-17</t>
        </is>
      </c>
      <c r="X397" t="inlineStr">
        <is>
          <t>2007-01-17</t>
        </is>
      </c>
      <c r="Y397" t="inlineStr">
        <is>
          <t>1992-04-28</t>
        </is>
      </c>
      <c r="Z397" t="inlineStr">
        <is>
          <t>1992-04-28</t>
        </is>
      </c>
      <c r="AA397" t="n">
        <v>1230</v>
      </c>
      <c r="AB397" t="n">
        <v>1130</v>
      </c>
      <c r="AC397" t="n">
        <v>1593</v>
      </c>
      <c r="AD397" t="n">
        <v>10</v>
      </c>
      <c r="AE397" t="n">
        <v>14</v>
      </c>
      <c r="AF397" t="n">
        <v>47</v>
      </c>
      <c r="AG397" t="n">
        <v>54</v>
      </c>
      <c r="AH397" t="n">
        <v>22</v>
      </c>
      <c r="AI397" t="n">
        <v>25</v>
      </c>
      <c r="AJ397" t="n">
        <v>9</v>
      </c>
      <c r="AK397" t="n">
        <v>9</v>
      </c>
      <c r="AL397" t="n">
        <v>20</v>
      </c>
      <c r="AM397" t="n">
        <v>24</v>
      </c>
      <c r="AN397" t="n">
        <v>7</v>
      </c>
      <c r="AO397" t="n">
        <v>8</v>
      </c>
      <c r="AP397" t="n">
        <v>1</v>
      </c>
      <c r="AQ397" t="n">
        <v>1</v>
      </c>
      <c r="AR397" t="inlineStr">
        <is>
          <t>No</t>
        </is>
      </c>
      <c r="AS397" t="inlineStr">
        <is>
          <t>Yes</t>
        </is>
      </c>
      <c r="AT397">
        <f>HYPERLINK("http://catalog.hathitrust.org/Record/001598737","HathiTrust Record")</f>
        <v/>
      </c>
      <c r="AU397">
        <f>HYPERLINK("https://creighton-primo.hosted.exlibrisgroup.com/primo-explore/search?tab=default_tab&amp;search_scope=EVERYTHING&amp;vid=01CRU&amp;lang=en_US&amp;offset=0&amp;query=any,contains,991003279249702656","Catalog Record")</f>
        <v/>
      </c>
      <c r="AV397">
        <f>HYPERLINK("http://www.worldcat.org/oclc/802024","WorldCat Record")</f>
        <v/>
      </c>
      <c r="AW397" t="inlineStr">
        <is>
          <t>966958:eng</t>
        </is>
      </c>
      <c r="AX397" t="inlineStr">
        <is>
          <t>802024</t>
        </is>
      </c>
      <c r="AY397" t="inlineStr">
        <is>
          <t>991003279249702656</t>
        </is>
      </c>
      <c r="AZ397" t="inlineStr">
        <is>
          <t>991003279249702656</t>
        </is>
      </c>
      <c r="BA397" t="inlineStr">
        <is>
          <t>2270408140002656</t>
        </is>
      </c>
      <c r="BB397" t="inlineStr">
        <is>
          <t>BOOK</t>
        </is>
      </c>
      <c r="BE397" t="inlineStr">
        <is>
          <t>32285001089886</t>
        </is>
      </c>
      <c r="BF397" t="inlineStr">
        <is>
          <t>893531045</t>
        </is>
      </c>
    </row>
    <row r="398">
      <c r="B398" t="inlineStr">
        <is>
          <t>CURAL</t>
        </is>
      </c>
      <c r="C398" t="inlineStr">
        <is>
          <t>SHELVES</t>
        </is>
      </c>
      <c r="D398" t="inlineStr">
        <is>
          <t>CT275.T554 A34 1976</t>
        </is>
      </c>
      <c r="E398" t="inlineStr">
        <is>
          <t>0                      CT 0275000T  554                A  34          1976</t>
        </is>
      </c>
      <c r="F398" t="inlineStr">
        <is>
          <t>Good evening everybody : from Cripple Creek to Samarkand / by Lowell Thomas.</t>
        </is>
      </c>
      <c r="H398" t="inlineStr">
        <is>
          <t>No</t>
        </is>
      </c>
      <c r="I398" t="inlineStr">
        <is>
          <t>1</t>
        </is>
      </c>
      <c r="J398" t="inlineStr">
        <is>
          <t>No</t>
        </is>
      </c>
      <c r="K398" t="inlineStr">
        <is>
          <t>No</t>
        </is>
      </c>
      <c r="L398" t="inlineStr">
        <is>
          <t>0</t>
        </is>
      </c>
      <c r="M398" t="inlineStr">
        <is>
          <t>Thomas, Lowell, 1892-1981.</t>
        </is>
      </c>
      <c r="N398" t="inlineStr">
        <is>
          <t>New York : Morrow, 1976.</t>
        </is>
      </c>
      <c r="O398" t="inlineStr">
        <is>
          <t>1976</t>
        </is>
      </c>
      <c r="Q398" t="inlineStr">
        <is>
          <t>eng</t>
        </is>
      </c>
      <c r="R398" t="inlineStr">
        <is>
          <t>nyu</t>
        </is>
      </c>
      <c r="T398" t="inlineStr">
        <is>
          <t xml:space="preserve">CT </t>
        </is>
      </c>
      <c r="U398" t="n">
        <v>1</v>
      </c>
      <c r="V398" t="n">
        <v>1</v>
      </c>
      <c r="W398" t="inlineStr">
        <is>
          <t>2007-10-11</t>
        </is>
      </c>
      <c r="X398" t="inlineStr">
        <is>
          <t>2007-10-11</t>
        </is>
      </c>
      <c r="Y398" t="inlineStr">
        <is>
          <t>1992-06-08</t>
        </is>
      </c>
      <c r="Z398" t="inlineStr">
        <is>
          <t>1992-06-08</t>
        </is>
      </c>
      <c r="AA398" t="n">
        <v>1023</v>
      </c>
      <c r="AB398" t="n">
        <v>990</v>
      </c>
      <c r="AC398" t="n">
        <v>1093</v>
      </c>
      <c r="AD398" t="n">
        <v>7</v>
      </c>
      <c r="AE398" t="n">
        <v>7</v>
      </c>
      <c r="AF398" t="n">
        <v>17</v>
      </c>
      <c r="AG398" t="n">
        <v>24</v>
      </c>
      <c r="AH398" t="n">
        <v>8</v>
      </c>
      <c r="AI398" t="n">
        <v>14</v>
      </c>
      <c r="AJ398" t="n">
        <v>2</v>
      </c>
      <c r="AK398" t="n">
        <v>3</v>
      </c>
      <c r="AL398" t="n">
        <v>8</v>
      </c>
      <c r="AM398" t="n">
        <v>10</v>
      </c>
      <c r="AN398" t="n">
        <v>2</v>
      </c>
      <c r="AO398" t="n">
        <v>2</v>
      </c>
      <c r="AP398" t="n">
        <v>0</v>
      </c>
      <c r="AQ398" t="n">
        <v>0</v>
      </c>
      <c r="AR398" t="inlineStr">
        <is>
          <t>No</t>
        </is>
      </c>
      <c r="AS398" t="inlineStr">
        <is>
          <t>Yes</t>
        </is>
      </c>
      <c r="AT398">
        <f>HYPERLINK("http://catalog.hathitrust.org/Record/000715826","HathiTrust Record")</f>
        <v/>
      </c>
      <c r="AU398">
        <f>HYPERLINK("https://creighton-primo.hosted.exlibrisgroup.com/primo-explore/search?tab=default_tab&amp;search_scope=EVERYTHING&amp;vid=01CRU&amp;lang=en_US&amp;offset=0&amp;query=any,contains,991004021879702656","Catalog Record")</f>
        <v/>
      </c>
      <c r="AV398">
        <f>HYPERLINK("http://www.worldcat.org/oclc/2121721","WorldCat Record")</f>
        <v/>
      </c>
      <c r="AW398" t="inlineStr">
        <is>
          <t>4022337:eng</t>
        </is>
      </c>
      <c r="AX398" t="inlineStr">
        <is>
          <t>2121721</t>
        </is>
      </c>
      <c r="AY398" t="inlineStr">
        <is>
          <t>991004021879702656</t>
        </is>
      </c>
      <c r="AZ398" t="inlineStr">
        <is>
          <t>991004021879702656</t>
        </is>
      </c>
      <c r="BA398" t="inlineStr">
        <is>
          <t>2267486750002656</t>
        </is>
      </c>
      <c r="BB398" t="inlineStr">
        <is>
          <t>BOOK</t>
        </is>
      </c>
      <c r="BD398" t="inlineStr">
        <is>
          <t>9780688030681</t>
        </is>
      </c>
      <c r="BE398" t="inlineStr">
        <is>
          <t>32285005360093</t>
        </is>
      </c>
      <c r="BF398" t="inlineStr">
        <is>
          <t>893800488</t>
        </is>
      </c>
    </row>
    <row r="399">
      <c r="B399" t="inlineStr">
        <is>
          <t>CURAL</t>
        </is>
      </c>
      <c r="C399" t="inlineStr">
        <is>
          <t>SHELVES</t>
        </is>
      </c>
      <c r="D399" t="inlineStr">
        <is>
          <t>CT275.V233 A3</t>
        </is>
      </c>
      <c r="E399" t="inlineStr">
        <is>
          <t>0                      CT 0275000V  233                A  3</t>
        </is>
      </c>
      <c r="F399" t="inlineStr">
        <is>
          <t>Without prej́udice, by Gloria Morgan Vanderbilt with Palma Wayne; photographs.</t>
        </is>
      </c>
      <c r="H399" t="inlineStr">
        <is>
          <t>No</t>
        </is>
      </c>
      <c r="I399" t="inlineStr">
        <is>
          <t>1</t>
        </is>
      </c>
      <c r="J399" t="inlineStr">
        <is>
          <t>No</t>
        </is>
      </c>
      <c r="K399" t="inlineStr">
        <is>
          <t>No</t>
        </is>
      </c>
      <c r="L399" t="inlineStr">
        <is>
          <t>0</t>
        </is>
      </c>
      <c r="M399" t="inlineStr">
        <is>
          <t>Vanderbilt, Gloria Morgan, 1904-1965.</t>
        </is>
      </c>
      <c r="N399" t="inlineStr">
        <is>
          <t>New York, E. P. Dutton &amp; Company, inc., 1936.</t>
        </is>
      </c>
      <c r="O399" t="inlineStr">
        <is>
          <t>1936</t>
        </is>
      </c>
      <c r="Q399" t="inlineStr">
        <is>
          <t>eng</t>
        </is>
      </c>
      <c r="R399" t="inlineStr">
        <is>
          <t>nyu</t>
        </is>
      </c>
      <c r="T399" t="inlineStr">
        <is>
          <t xml:space="preserve">CT </t>
        </is>
      </c>
      <c r="U399" t="n">
        <v>0</v>
      </c>
      <c r="V399" t="n">
        <v>0</v>
      </c>
      <c r="W399" t="inlineStr">
        <is>
          <t>2006-03-16</t>
        </is>
      </c>
      <c r="X399" t="inlineStr">
        <is>
          <t>2006-03-16</t>
        </is>
      </c>
      <c r="Y399" t="inlineStr">
        <is>
          <t>1996-08-22</t>
        </is>
      </c>
      <c r="Z399" t="inlineStr">
        <is>
          <t>1996-08-22</t>
        </is>
      </c>
      <c r="AA399" t="n">
        <v>67</v>
      </c>
      <c r="AB399" t="n">
        <v>67</v>
      </c>
      <c r="AC399" t="n">
        <v>68</v>
      </c>
      <c r="AD399" t="n">
        <v>1</v>
      </c>
      <c r="AE399" t="n">
        <v>1</v>
      </c>
      <c r="AF399" t="n">
        <v>0</v>
      </c>
      <c r="AG399" t="n">
        <v>0</v>
      </c>
      <c r="AH399" t="n">
        <v>0</v>
      </c>
      <c r="AI399" t="n">
        <v>0</v>
      </c>
      <c r="AJ399" t="n">
        <v>0</v>
      </c>
      <c r="AK399" t="n">
        <v>0</v>
      </c>
      <c r="AL399" t="n">
        <v>0</v>
      </c>
      <c r="AM399" t="n">
        <v>0</v>
      </c>
      <c r="AN399" t="n">
        <v>0</v>
      </c>
      <c r="AO399" t="n">
        <v>0</v>
      </c>
      <c r="AP399" t="n">
        <v>0</v>
      </c>
      <c r="AQ399" t="n">
        <v>0</v>
      </c>
      <c r="AR399" t="inlineStr">
        <is>
          <t>No</t>
        </is>
      </c>
      <c r="AS399" t="inlineStr">
        <is>
          <t>No</t>
        </is>
      </c>
      <c r="AU399">
        <f>HYPERLINK("https://creighton-primo.hosted.exlibrisgroup.com/primo-explore/search?tab=default_tab&amp;search_scope=EVERYTHING&amp;vid=01CRU&amp;lang=en_US&amp;offset=0&amp;query=any,contains,991003375129702656","Catalog Record")</f>
        <v/>
      </c>
      <c r="AV399">
        <f>HYPERLINK("http://www.worldcat.org/oclc/912066","WorldCat Record")</f>
        <v/>
      </c>
      <c r="AW399" t="inlineStr">
        <is>
          <t>1819492761:eng</t>
        </is>
      </c>
      <c r="AX399" t="inlineStr">
        <is>
          <t>912066</t>
        </is>
      </c>
      <c r="AY399" t="inlineStr">
        <is>
          <t>991003375129702656</t>
        </is>
      </c>
      <c r="AZ399" t="inlineStr">
        <is>
          <t>991003375129702656</t>
        </is>
      </c>
      <c r="BA399" t="inlineStr">
        <is>
          <t>2268430250002656</t>
        </is>
      </c>
      <c r="BB399" t="inlineStr">
        <is>
          <t>BOOK</t>
        </is>
      </c>
      <c r="BE399" t="inlineStr">
        <is>
          <t>32285002285558</t>
        </is>
      </c>
      <c r="BF399" t="inlineStr">
        <is>
          <t>893441237</t>
        </is>
      </c>
    </row>
    <row r="400">
      <c r="B400" t="inlineStr">
        <is>
          <t>CURAL</t>
        </is>
      </c>
      <c r="C400" t="inlineStr">
        <is>
          <t>SHELVES</t>
        </is>
      </c>
      <c r="D400" t="inlineStr">
        <is>
          <t>CT275.W2814 A3 1996</t>
        </is>
      </c>
      <c r="E400" t="inlineStr">
        <is>
          <t>0                      CT 0275000W  2814               A  3           1996</t>
        </is>
      </c>
      <c r="F400" t="inlineStr">
        <is>
          <t>The final goodbye : the struggle to self-awareness / Shirley Gerald Ware.</t>
        </is>
      </c>
      <c r="H400" t="inlineStr">
        <is>
          <t>No</t>
        </is>
      </c>
      <c r="I400" t="inlineStr">
        <is>
          <t>1</t>
        </is>
      </c>
      <c r="J400" t="inlineStr">
        <is>
          <t>No</t>
        </is>
      </c>
      <c r="K400" t="inlineStr">
        <is>
          <t>No</t>
        </is>
      </c>
      <c r="L400" t="inlineStr">
        <is>
          <t>0</t>
        </is>
      </c>
      <c r="M400" t="inlineStr">
        <is>
          <t>Ware, Shirley Gerald, 1949-</t>
        </is>
      </c>
      <c r="N400" t="inlineStr">
        <is>
          <t>Santa Barbara, Calif. : Fithian Press, 1996.</t>
        </is>
      </c>
      <c r="O400" t="inlineStr">
        <is>
          <t>1996</t>
        </is>
      </c>
      <c r="Q400" t="inlineStr">
        <is>
          <t>eng</t>
        </is>
      </c>
      <c r="R400" t="inlineStr">
        <is>
          <t>cau</t>
        </is>
      </c>
      <c r="T400" t="inlineStr">
        <is>
          <t xml:space="preserve">CT </t>
        </is>
      </c>
      <c r="U400" t="n">
        <v>4</v>
      </c>
      <c r="V400" t="n">
        <v>4</v>
      </c>
      <c r="W400" t="inlineStr">
        <is>
          <t>2003-05-23</t>
        </is>
      </c>
      <c r="X400" t="inlineStr">
        <is>
          <t>2003-05-23</t>
        </is>
      </c>
      <c r="Y400" t="inlineStr">
        <is>
          <t>1996-06-12</t>
        </is>
      </c>
      <c r="Z400" t="inlineStr">
        <is>
          <t>1996-06-12</t>
        </is>
      </c>
      <c r="AA400" t="n">
        <v>21</v>
      </c>
      <c r="AB400" t="n">
        <v>21</v>
      </c>
      <c r="AC400" t="n">
        <v>26</v>
      </c>
      <c r="AD400" t="n">
        <v>1</v>
      </c>
      <c r="AE400" t="n">
        <v>1</v>
      </c>
      <c r="AF400" t="n">
        <v>0</v>
      </c>
      <c r="AG400" t="n">
        <v>0</v>
      </c>
      <c r="AH400" t="n">
        <v>0</v>
      </c>
      <c r="AI400" t="n">
        <v>0</v>
      </c>
      <c r="AJ400" t="n">
        <v>0</v>
      </c>
      <c r="AK400" t="n">
        <v>0</v>
      </c>
      <c r="AL400" t="n">
        <v>0</v>
      </c>
      <c r="AM400" t="n">
        <v>0</v>
      </c>
      <c r="AN400" t="n">
        <v>0</v>
      </c>
      <c r="AO400" t="n">
        <v>0</v>
      </c>
      <c r="AP400" t="n">
        <v>0</v>
      </c>
      <c r="AQ400" t="n">
        <v>0</v>
      </c>
      <c r="AR400" t="inlineStr">
        <is>
          <t>No</t>
        </is>
      </c>
      <c r="AS400" t="inlineStr">
        <is>
          <t>No</t>
        </is>
      </c>
      <c r="AU400">
        <f>HYPERLINK("https://creighton-primo.hosted.exlibrisgroup.com/primo-explore/search?tab=default_tab&amp;search_scope=EVERYTHING&amp;vid=01CRU&amp;lang=en_US&amp;offset=0&amp;query=any,contains,991002548049702656","Catalog Record")</f>
        <v/>
      </c>
      <c r="AV400">
        <f>HYPERLINK("http://www.worldcat.org/oclc/33102531","WorldCat Record")</f>
        <v/>
      </c>
      <c r="AW400" t="inlineStr">
        <is>
          <t>37216377:eng</t>
        </is>
      </c>
      <c r="AX400" t="inlineStr">
        <is>
          <t>33102531</t>
        </is>
      </c>
      <c r="AY400" t="inlineStr">
        <is>
          <t>991002548049702656</t>
        </is>
      </c>
      <c r="AZ400" t="inlineStr">
        <is>
          <t>991002548049702656</t>
        </is>
      </c>
      <c r="BA400" t="inlineStr">
        <is>
          <t>2272072850002656</t>
        </is>
      </c>
      <c r="BB400" t="inlineStr">
        <is>
          <t>BOOK</t>
        </is>
      </c>
      <c r="BD400" t="inlineStr">
        <is>
          <t>9781564741639</t>
        </is>
      </c>
      <c r="BE400" t="inlineStr">
        <is>
          <t>32285002191913</t>
        </is>
      </c>
      <c r="BF400" t="inlineStr">
        <is>
          <t>893697940</t>
        </is>
      </c>
    </row>
    <row r="401">
      <c r="B401" t="inlineStr">
        <is>
          <t>CURAL</t>
        </is>
      </c>
      <c r="C401" t="inlineStr">
        <is>
          <t>SHELVES</t>
        </is>
      </c>
      <c r="D401" t="inlineStr">
        <is>
          <t>CT275.W3294 W3</t>
        </is>
      </c>
      <c r="E401" t="inlineStr">
        <is>
          <t>0                      CT 0275000W  3294               W  3</t>
        </is>
      </c>
      <c r="F401" t="inlineStr">
        <is>
          <t>Autobiography of Gurdon Wallace Wattles. Genealogy.</t>
        </is>
      </c>
      <c r="H401" t="inlineStr">
        <is>
          <t>No</t>
        </is>
      </c>
      <c r="I401" t="inlineStr">
        <is>
          <t>1</t>
        </is>
      </c>
      <c r="J401" t="inlineStr">
        <is>
          <t>No</t>
        </is>
      </c>
      <c r="K401" t="inlineStr">
        <is>
          <t>No</t>
        </is>
      </c>
      <c r="L401" t="inlineStr">
        <is>
          <t>0</t>
        </is>
      </c>
      <c r="M401" t="inlineStr">
        <is>
          <t>Wattles, Gurdon Wallace, 1855-1932.</t>
        </is>
      </c>
      <c r="N401" t="inlineStr">
        <is>
          <t>[New York, The Scribner press] 1922.</t>
        </is>
      </c>
      <c r="O401" t="inlineStr">
        <is>
          <t>1922</t>
        </is>
      </c>
      <c r="Q401" t="inlineStr">
        <is>
          <t>eng</t>
        </is>
      </c>
      <c r="R401" t="inlineStr">
        <is>
          <t xml:space="preserve">xx </t>
        </is>
      </c>
      <c r="T401" t="inlineStr">
        <is>
          <t xml:space="preserve">CT </t>
        </is>
      </c>
      <c r="U401" t="n">
        <v>3</v>
      </c>
      <c r="V401" t="n">
        <v>3</v>
      </c>
      <c r="W401" t="inlineStr">
        <is>
          <t>2000-10-30</t>
        </is>
      </c>
      <c r="X401" t="inlineStr">
        <is>
          <t>2000-10-30</t>
        </is>
      </c>
      <c r="Y401" t="inlineStr">
        <is>
          <t>1996-08-22</t>
        </is>
      </c>
      <c r="Z401" t="inlineStr">
        <is>
          <t>1996-08-22</t>
        </is>
      </c>
      <c r="AA401" t="n">
        <v>78</v>
      </c>
      <c r="AB401" t="n">
        <v>77</v>
      </c>
      <c r="AC401" t="n">
        <v>97</v>
      </c>
      <c r="AD401" t="n">
        <v>12</v>
      </c>
      <c r="AE401" t="n">
        <v>12</v>
      </c>
      <c r="AF401" t="n">
        <v>8</v>
      </c>
      <c r="AG401" t="n">
        <v>8</v>
      </c>
      <c r="AH401" t="n">
        <v>1</v>
      </c>
      <c r="AI401" t="n">
        <v>1</v>
      </c>
      <c r="AJ401" t="n">
        <v>0</v>
      </c>
      <c r="AK401" t="n">
        <v>0</v>
      </c>
      <c r="AL401" t="n">
        <v>2</v>
      </c>
      <c r="AM401" t="n">
        <v>2</v>
      </c>
      <c r="AN401" t="n">
        <v>6</v>
      </c>
      <c r="AO401" t="n">
        <v>6</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HYPERLINK("https://creighton-primo.hosted.exlibrisgroup.com/primo-explore/search?tab=default_tab&amp;search_scope=EVERYTHING&amp;vid=01CRU&amp;lang=en_US&amp;offset=0&amp;query=any,contains,991004440979702656","Catalog Record")</f>
        <v/>
      </c>
      <c r="AV401">
        <f>HYPERLINK("http://www.worldcat.org/oclc/3462076","WorldCat Record")</f>
        <v/>
      </c>
      <c r="AW401" t="inlineStr">
        <is>
          <t>10070156:eng</t>
        </is>
      </c>
      <c r="AX401" t="inlineStr">
        <is>
          <t>3462076</t>
        </is>
      </c>
      <c r="AY401" t="inlineStr">
        <is>
          <t>991004440979702656</t>
        </is>
      </c>
      <c r="AZ401" t="inlineStr">
        <is>
          <t>991004440979702656</t>
        </is>
      </c>
      <c r="BA401" t="inlineStr">
        <is>
          <t>2272527440002656</t>
        </is>
      </c>
      <c r="BB401" t="inlineStr">
        <is>
          <t>BOOK</t>
        </is>
      </c>
      <c r="BE401" t="inlineStr">
        <is>
          <t>32285002285582</t>
        </is>
      </c>
      <c r="BF401" t="inlineStr">
        <is>
          <t>893519663</t>
        </is>
      </c>
    </row>
    <row r="402">
      <c r="B402" t="inlineStr">
        <is>
          <t>CURAL</t>
        </is>
      </c>
      <c r="C402" t="inlineStr">
        <is>
          <t>SHELVES</t>
        </is>
      </c>
      <c r="D402" t="inlineStr">
        <is>
          <t>CT275.W5797 A3 2005</t>
        </is>
      </c>
      <c r="E402" t="inlineStr">
        <is>
          <t>0                      CT 0275000W  5797               A  3           2005</t>
        </is>
      </c>
      <c r="F402" t="inlineStr">
        <is>
          <t>Oh the glory of it all / Sean Wilsey.</t>
        </is>
      </c>
      <c r="H402" t="inlineStr">
        <is>
          <t>No</t>
        </is>
      </c>
      <c r="I402" t="inlineStr">
        <is>
          <t>1</t>
        </is>
      </c>
      <c r="J402" t="inlineStr">
        <is>
          <t>No</t>
        </is>
      </c>
      <c r="K402" t="inlineStr">
        <is>
          <t>No</t>
        </is>
      </c>
      <c r="L402" t="inlineStr">
        <is>
          <t>0</t>
        </is>
      </c>
      <c r="M402" t="inlineStr">
        <is>
          <t>Wilsey, Sean.</t>
        </is>
      </c>
      <c r="N402" t="inlineStr">
        <is>
          <t>New York : Penguin Press, 2005.</t>
        </is>
      </c>
      <c r="O402" t="inlineStr">
        <is>
          <t>2005</t>
        </is>
      </c>
      <c r="Q402" t="inlineStr">
        <is>
          <t>eng</t>
        </is>
      </c>
      <c r="R402" t="inlineStr">
        <is>
          <t>nyu</t>
        </is>
      </c>
      <c r="T402" t="inlineStr">
        <is>
          <t xml:space="preserve">CT </t>
        </is>
      </c>
      <c r="U402" t="n">
        <v>4</v>
      </c>
      <c r="V402" t="n">
        <v>4</v>
      </c>
      <c r="W402" t="inlineStr">
        <is>
          <t>2007-09-07</t>
        </is>
      </c>
      <c r="X402" t="inlineStr">
        <is>
          <t>2007-09-07</t>
        </is>
      </c>
      <c r="Y402" t="inlineStr">
        <is>
          <t>2005-12-01</t>
        </is>
      </c>
      <c r="Z402" t="inlineStr">
        <is>
          <t>2005-12-01</t>
        </is>
      </c>
      <c r="AA402" t="n">
        <v>811</v>
      </c>
      <c r="AB402" t="n">
        <v>776</v>
      </c>
      <c r="AC402" t="n">
        <v>829</v>
      </c>
      <c r="AD402" t="n">
        <v>7</v>
      </c>
      <c r="AE402" t="n">
        <v>7</v>
      </c>
      <c r="AF402" t="n">
        <v>10</v>
      </c>
      <c r="AG402" t="n">
        <v>10</v>
      </c>
      <c r="AH402" t="n">
        <v>3</v>
      </c>
      <c r="AI402" t="n">
        <v>3</v>
      </c>
      <c r="AJ402" t="n">
        <v>2</v>
      </c>
      <c r="AK402" t="n">
        <v>2</v>
      </c>
      <c r="AL402" t="n">
        <v>5</v>
      </c>
      <c r="AM402" t="n">
        <v>5</v>
      </c>
      <c r="AN402" t="n">
        <v>1</v>
      </c>
      <c r="AO402" t="n">
        <v>1</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HYPERLINK("https://creighton-primo.hosted.exlibrisgroup.com/primo-explore/search?tab=default_tab&amp;search_scope=EVERYTHING&amp;vid=01CRU&amp;lang=en_US&amp;offset=0&amp;query=any,contains,991004699939702656","Catalog Record")</f>
        <v/>
      </c>
      <c r="AV402">
        <f>HYPERLINK("http://www.worldcat.org/oclc/57069292","WorldCat Record")</f>
        <v/>
      </c>
      <c r="AW402" t="inlineStr">
        <is>
          <t>7906:eng</t>
        </is>
      </c>
      <c r="AX402" t="inlineStr">
        <is>
          <t>57069292</t>
        </is>
      </c>
      <c r="AY402" t="inlineStr">
        <is>
          <t>991004699939702656</t>
        </is>
      </c>
      <c r="AZ402" t="inlineStr">
        <is>
          <t>991004699939702656</t>
        </is>
      </c>
      <c r="BA402" t="inlineStr">
        <is>
          <t>2267707730002656</t>
        </is>
      </c>
      <c r="BB402" t="inlineStr">
        <is>
          <t>BOOK</t>
        </is>
      </c>
      <c r="BD402" t="inlineStr">
        <is>
          <t>9781594200519</t>
        </is>
      </c>
      <c r="BE402" t="inlineStr">
        <is>
          <t>32285005150460</t>
        </is>
      </c>
      <c r="BF402" t="inlineStr">
        <is>
          <t>893532708</t>
        </is>
      </c>
    </row>
    <row r="403">
      <c r="B403" t="inlineStr">
        <is>
          <t>CURAL</t>
        </is>
      </c>
      <c r="C403" t="inlineStr">
        <is>
          <t>SHELVES</t>
        </is>
      </c>
      <c r="D403" t="inlineStr">
        <is>
          <t>CT284 .W38 2000</t>
        </is>
      </c>
      <c r="E403" t="inlineStr">
        <is>
          <t>0                      CT 0284000W  38          2000</t>
        </is>
      </c>
      <c r="F403" t="inlineStr">
        <is>
          <t>The Canadians : biographies of a nation / Patrick Watson.</t>
        </is>
      </c>
      <c r="G403" t="inlineStr">
        <is>
          <t>V. 2</t>
        </is>
      </c>
      <c r="H403" t="inlineStr">
        <is>
          <t>Yes</t>
        </is>
      </c>
      <c r="I403" t="inlineStr">
        <is>
          <t>1</t>
        </is>
      </c>
      <c r="J403" t="inlineStr">
        <is>
          <t>No</t>
        </is>
      </c>
      <c r="K403" t="inlineStr">
        <is>
          <t>No</t>
        </is>
      </c>
      <c r="L403" t="inlineStr">
        <is>
          <t>0</t>
        </is>
      </c>
      <c r="M403" t="inlineStr">
        <is>
          <t>Watson, Patrick, 1929-</t>
        </is>
      </c>
      <c r="N403" t="inlineStr">
        <is>
          <t>Toronto : McArthur &amp; Co., 2000-</t>
        </is>
      </c>
      <c r="O403" t="inlineStr">
        <is>
          <t>2000</t>
        </is>
      </c>
      <c r="Q403" t="inlineStr">
        <is>
          <t>eng</t>
        </is>
      </c>
      <c r="R403" t="inlineStr">
        <is>
          <t>onc</t>
        </is>
      </c>
      <c r="T403" t="inlineStr">
        <is>
          <t xml:space="preserve">CT </t>
        </is>
      </c>
      <c r="U403" t="n">
        <v>1</v>
      </c>
      <c r="V403" t="n">
        <v>2</v>
      </c>
      <c r="W403" t="inlineStr">
        <is>
          <t>2002-10-28</t>
        </is>
      </c>
      <c r="X403" t="inlineStr">
        <is>
          <t>2004-03-03</t>
        </is>
      </c>
      <c r="Y403" t="inlineStr">
        <is>
          <t>2002-10-28</t>
        </is>
      </c>
      <c r="Z403" t="inlineStr">
        <is>
          <t>2004-03-03</t>
        </is>
      </c>
      <c r="AA403" t="n">
        <v>139</v>
      </c>
      <c r="AB403" t="n">
        <v>36</v>
      </c>
      <c r="AC403" t="n">
        <v>54</v>
      </c>
      <c r="AD403" t="n">
        <v>1</v>
      </c>
      <c r="AE403" t="n">
        <v>1</v>
      </c>
      <c r="AF403" t="n">
        <v>0</v>
      </c>
      <c r="AG403" t="n">
        <v>0</v>
      </c>
      <c r="AH403" t="n">
        <v>0</v>
      </c>
      <c r="AI403" t="n">
        <v>0</v>
      </c>
      <c r="AJ403" t="n">
        <v>0</v>
      </c>
      <c r="AK403" t="n">
        <v>0</v>
      </c>
      <c r="AL403" t="n">
        <v>0</v>
      </c>
      <c r="AM403" t="n">
        <v>0</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HYPERLINK("https://creighton-primo.hosted.exlibrisgroup.com/primo-explore/search?tab=default_tab&amp;search_scope=EVERYTHING&amp;vid=01CRU&amp;lang=en_US&amp;offset=0&amp;query=any,contains,991003864739702656","Catalog Record")</f>
        <v/>
      </c>
      <c r="AV403">
        <f>HYPERLINK("http://www.worldcat.org/oclc/44405697","WorldCat Record")</f>
        <v/>
      </c>
      <c r="AW403" t="inlineStr">
        <is>
          <t>4020701721:eng</t>
        </is>
      </c>
      <c r="AX403" t="inlineStr">
        <is>
          <t>44405697</t>
        </is>
      </c>
      <c r="AY403" t="inlineStr">
        <is>
          <t>991003864739702656</t>
        </is>
      </c>
      <c r="AZ403" t="inlineStr">
        <is>
          <t>991003864739702656</t>
        </is>
      </c>
      <c r="BA403" t="inlineStr">
        <is>
          <t>2254840760002656</t>
        </is>
      </c>
      <c r="BB403" t="inlineStr">
        <is>
          <t>BOOK</t>
        </is>
      </c>
      <c r="BD403" t="inlineStr">
        <is>
          <t>9781552781708</t>
        </is>
      </c>
      <c r="BE403" t="inlineStr">
        <is>
          <t>32285004654389</t>
        </is>
      </c>
      <c r="BF403" t="inlineStr">
        <is>
          <t>893794168</t>
        </is>
      </c>
    </row>
    <row r="404">
      <c r="B404" t="inlineStr">
        <is>
          <t>CURAL</t>
        </is>
      </c>
      <c r="C404" t="inlineStr">
        <is>
          <t>SHELVES</t>
        </is>
      </c>
      <c r="D404" t="inlineStr">
        <is>
          <t>CT284 .W38 2000</t>
        </is>
      </c>
      <c r="E404" t="inlineStr">
        <is>
          <t>0                      CT 0284000W  38          2000</t>
        </is>
      </c>
      <c r="F404" t="inlineStr">
        <is>
          <t>The Canadians : biographies of a nation / Patrick Watson.</t>
        </is>
      </c>
      <c r="G404" t="inlineStr">
        <is>
          <t>V. 3</t>
        </is>
      </c>
      <c r="H404" t="inlineStr">
        <is>
          <t>Yes</t>
        </is>
      </c>
      <c r="I404" t="inlineStr">
        <is>
          <t>1</t>
        </is>
      </c>
      <c r="J404" t="inlineStr">
        <is>
          <t>No</t>
        </is>
      </c>
      <c r="K404" t="inlineStr">
        <is>
          <t>No</t>
        </is>
      </c>
      <c r="L404" t="inlineStr">
        <is>
          <t>0</t>
        </is>
      </c>
      <c r="M404" t="inlineStr">
        <is>
          <t>Watson, Patrick, 1929-</t>
        </is>
      </c>
      <c r="N404" t="inlineStr">
        <is>
          <t>Toronto : McArthur &amp; Co., 2000-</t>
        </is>
      </c>
      <c r="O404" t="inlineStr">
        <is>
          <t>2000</t>
        </is>
      </c>
      <c r="Q404" t="inlineStr">
        <is>
          <t>eng</t>
        </is>
      </c>
      <c r="R404" t="inlineStr">
        <is>
          <t>onc</t>
        </is>
      </c>
      <c r="T404" t="inlineStr">
        <is>
          <t xml:space="preserve">CT </t>
        </is>
      </c>
      <c r="U404" t="n">
        <v>1</v>
      </c>
      <c r="V404" t="n">
        <v>2</v>
      </c>
      <c r="W404" t="inlineStr">
        <is>
          <t>2004-03-03</t>
        </is>
      </c>
      <c r="X404" t="inlineStr">
        <is>
          <t>2004-03-03</t>
        </is>
      </c>
      <c r="Y404" t="inlineStr">
        <is>
          <t>2004-03-03</t>
        </is>
      </c>
      <c r="Z404" t="inlineStr">
        <is>
          <t>2004-03-03</t>
        </is>
      </c>
      <c r="AA404" t="n">
        <v>139</v>
      </c>
      <c r="AB404" t="n">
        <v>36</v>
      </c>
      <c r="AC404" t="n">
        <v>54</v>
      </c>
      <c r="AD404" t="n">
        <v>1</v>
      </c>
      <c r="AE404" t="n">
        <v>1</v>
      </c>
      <c r="AF404" t="n">
        <v>0</v>
      </c>
      <c r="AG404" t="n">
        <v>0</v>
      </c>
      <c r="AH404" t="n">
        <v>0</v>
      </c>
      <c r="AI404" t="n">
        <v>0</v>
      </c>
      <c r="AJ404" t="n">
        <v>0</v>
      </c>
      <c r="AK404" t="n">
        <v>0</v>
      </c>
      <c r="AL404" t="n">
        <v>0</v>
      </c>
      <c r="AM404" t="n">
        <v>0</v>
      </c>
      <c r="AN404" t="n">
        <v>0</v>
      </c>
      <c r="AO404" t="n">
        <v>0</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HYPERLINK("https://creighton-primo.hosted.exlibrisgroup.com/primo-explore/search?tab=default_tab&amp;search_scope=EVERYTHING&amp;vid=01CRU&amp;lang=en_US&amp;offset=0&amp;query=any,contains,991003864739702656","Catalog Record")</f>
        <v/>
      </c>
      <c r="AV404">
        <f>HYPERLINK("http://www.worldcat.org/oclc/44405697","WorldCat Record")</f>
        <v/>
      </c>
      <c r="AW404" t="inlineStr">
        <is>
          <t>4020701721:eng</t>
        </is>
      </c>
      <c r="AX404" t="inlineStr">
        <is>
          <t>44405697</t>
        </is>
      </c>
      <c r="AY404" t="inlineStr">
        <is>
          <t>991003864739702656</t>
        </is>
      </c>
      <c r="AZ404" t="inlineStr">
        <is>
          <t>991003864739702656</t>
        </is>
      </c>
      <c r="BA404" t="inlineStr">
        <is>
          <t>2254840760002656</t>
        </is>
      </c>
      <c r="BB404" t="inlineStr">
        <is>
          <t>BOOK</t>
        </is>
      </c>
      <c r="BD404" t="inlineStr">
        <is>
          <t>9781552781708</t>
        </is>
      </c>
      <c r="BE404" t="inlineStr">
        <is>
          <t>32285004892021</t>
        </is>
      </c>
      <c r="BF404" t="inlineStr">
        <is>
          <t>893781537</t>
        </is>
      </c>
    </row>
    <row r="405">
      <c r="B405" t="inlineStr">
        <is>
          <t>CURAL</t>
        </is>
      </c>
      <c r="C405" t="inlineStr">
        <is>
          <t>SHELVES</t>
        </is>
      </c>
      <c r="D405" t="inlineStr">
        <is>
          <t>CT3203 .D57 2004</t>
        </is>
      </c>
      <c r="E405" t="inlineStr">
        <is>
          <t>0                      CT 3203000D  57          2004</t>
        </is>
      </c>
      <c r="F405" t="inlineStr">
        <is>
          <t>Alone! alone! : lives of some outsider women / Rosemary Dinnage.</t>
        </is>
      </c>
      <c r="H405" t="inlineStr">
        <is>
          <t>No</t>
        </is>
      </c>
      <c r="I405" t="inlineStr">
        <is>
          <t>1</t>
        </is>
      </c>
      <c r="J405" t="inlineStr">
        <is>
          <t>No</t>
        </is>
      </c>
      <c r="K405" t="inlineStr">
        <is>
          <t>No</t>
        </is>
      </c>
      <c r="L405" t="inlineStr">
        <is>
          <t>0</t>
        </is>
      </c>
      <c r="M405" t="inlineStr">
        <is>
          <t>Dinnage, Rosemary.</t>
        </is>
      </c>
      <c r="N405" t="inlineStr">
        <is>
          <t>New York : New York Review Books, 2004.</t>
        </is>
      </c>
      <c r="O405" t="inlineStr">
        <is>
          <t>2004</t>
        </is>
      </c>
      <c r="Q405" t="inlineStr">
        <is>
          <t>eng</t>
        </is>
      </c>
      <c r="R405" t="inlineStr">
        <is>
          <t>nyu</t>
        </is>
      </c>
      <c r="T405" t="inlineStr">
        <is>
          <t xml:space="preserve">CT </t>
        </is>
      </c>
      <c r="U405" t="n">
        <v>2</v>
      </c>
      <c r="V405" t="n">
        <v>2</v>
      </c>
      <c r="W405" t="inlineStr">
        <is>
          <t>2005-09-21</t>
        </is>
      </c>
      <c r="X405" t="inlineStr">
        <is>
          <t>2005-09-21</t>
        </is>
      </c>
      <c r="Y405" t="inlineStr">
        <is>
          <t>2005-02-01</t>
        </is>
      </c>
      <c r="Z405" t="inlineStr">
        <is>
          <t>2005-02-01</t>
        </is>
      </c>
      <c r="AA405" t="n">
        <v>557</v>
      </c>
      <c r="AB405" t="n">
        <v>471</v>
      </c>
      <c r="AC405" t="n">
        <v>498</v>
      </c>
      <c r="AD405" t="n">
        <v>2</v>
      </c>
      <c r="AE405" t="n">
        <v>2</v>
      </c>
      <c r="AF405" t="n">
        <v>14</v>
      </c>
      <c r="AG405" t="n">
        <v>14</v>
      </c>
      <c r="AH405" t="n">
        <v>7</v>
      </c>
      <c r="AI405" t="n">
        <v>7</v>
      </c>
      <c r="AJ405" t="n">
        <v>3</v>
      </c>
      <c r="AK405" t="n">
        <v>3</v>
      </c>
      <c r="AL405" t="n">
        <v>8</v>
      </c>
      <c r="AM405" t="n">
        <v>8</v>
      </c>
      <c r="AN405" t="n">
        <v>0</v>
      </c>
      <c r="AO405" t="n">
        <v>0</v>
      </c>
      <c r="AP405" t="n">
        <v>0</v>
      </c>
      <c r="AQ405" t="n">
        <v>0</v>
      </c>
      <c r="AR405" t="inlineStr">
        <is>
          <t>No</t>
        </is>
      </c>
      <c r="AS405" t="inlineStr">
        <is>
          <t>Yes</t>
        </is>
      </c>
      <c r="AT405">
        <f>HYPERLINK("http://catalog.hathitrust.org/Record/004730102","HathiTrust Record")</f>
        <v/>
      </c>
      <c r="AU405">
        <f>HYPERLINK("https://creighton-primo.hosted.exlibrisgroup.com/primo-explore/search?tab=default_tab&amp;search_scope=EVERYTHING&amp;vid=01CRU&amp;lang=en_US&amp;offset=0&amp;query=any,contains,991004300919702656","Catalog Record")</f>
        <v/>
      </c>
      <c r="AV405">
        <f>HYPERLINK("http://www.worldcat.org/oclc/54047029","WorldCat Record")</f>
        <v/>
      </c>
      <c r="AW405" t="inlineStr">
        <is>
          <t>13419944:eng</t>
        </is>
      </c>
      <c r="AX405" t="inlineStr">
        <is>
          <t>54047029</t>
        </is>
      </c>
      <c r="AY405" t="inlineStr">
        <is>
          <t>991004300919702656</t>
        </is>
      </c>
      <c r="AZ405" t="inlineStr">
        <is>
          <t>991004300919702656</t>
        </is>
      </c>
      <c r="BA405" t="inlineStr">
        <is>
          <t>2257890070002656</t>
        </is>
      </c>
      <c r="BB405" t="inlineStr">
        <is>
          <t>BOOK</t>
        </is>
      </c>
      <c r="BD405" t="inlineStr">
        <is>
          <t>9781590170694</t>
        </is>
      </c>
      <c r="BE405" t="inlineStr">
        <is>
          <t>32285005024160</t>
        </is>
      </c>
      <c r="BF405" t="inlineStr">
        <is>
          <t>893235310</t>
        </is>
      </c>
    </row>
    <row r="406">
      <c r="B406" t="inlineStr">
        <is>
          <t>CURAL</t>
        </is>
      </c>
      <c r="C406" t="inlineStr">
        <is>
          <t>SHELVES</t>
        </is>
      </c>
      <c r="D406" t="inlineStr">
        <is>
          <t>CT3203 .G69 1974</t>
        </is>
      </c>
      <c r="E406" t="inlineStr">
        <is>
          <t>0                      CT 3203000G  69          1974</t>
        </is>
      </c>
      <c r="F406" t="inlineStr">
        <is>
          <t>How to marry super rich : or, Love, money, and the morning after / Sheilah Graham.</t>
        </is>
      </c>
      <c r="H406" t="inlineStr">
        <is>
          <t>No</t>
        </is>
      </c>
      <c r="I406" t="inlineStr">
        <is>
          <t>1</t>
        </is>
      </c>
      <c r="J406" t="inlineStr">
        <is>
          <t>No</t>
        </is>
      </c>
      <c r="K406" t="inlineStr">
        <is>
          <t>No</t>
        </is>
      </c>
      <c r="L406" t="inlineStr">
        <is>
          <t>0</t>
        </is>
      </c>
      <c r="M406" t="inlineStr">
        <is>
          <t>Graham, Sheilah.</t>
        </is>
      </c>
      <c r="N406" t="inlineStr">
        <is>
          <t>New York : Grosset &amp; Dunlap, [1974]</t>
        </is>
      </c>
      <c r="O406" t="inlineStr">
        <is>
          <t>1974</t>
        </is>
      </c>
      <c r="Q406" t="inlineStr">
        <is>
          <t>eng</t>
        </is>
      </c>
      <c r="R406" t="inlineStr">
        <is>
          <t>nyu</t>
        </is>
      </c>
      <c r="T406" t="inlineStr">
        <is>
          <t xml:space="preserve">CT </t>
        </is>
      </c>
      <c r="U406" t="n">
        <v>2</v>
      </c>
      <c r="V406" t="n">
        <v>2</v>
      </c>
      <c r="W406" t="inlineStr">
        <is>
          <t>2004-02-18</t>
        </is>
      </c>
      <c r="X406" t="inlineStr">
        <is>
          <t>2004-02-18</t>
        </is>
      </c>
      <c r="Y406" t="inlineStr">
        <is>
          <t>1992-06-10</t>
        </is>
      </c>
      <c r="Z406" t="inlineStr">
        <is>
          <t>1992-06-10</t>
        </is>
      </c>
      <c r="AA406" t="n">
        <v>152</v>
      </c>
      <c r="AB406" t="n">
        <v>148</v>
      </c>
      <c r="AC406" t="n">
        <v>155</v>
      </c>
      <c r="AD406" t="n">
        <v>1</v>
      </c>
      <c r="AE406" t="n">
        <v>1</v>
      </c>
      <c r="AF406" t="n">
        <v>0</v>
      </c>
      <c r="AG406" t="n">
        <v>0</v>
      </c>
      <c r="AH406" t="n">
        <v>0</v>
      </c>
      <c r="AI406" t="n">
        <v>0</v>
      </c>
      <c r="AJ406" t="n">
        <v>0</v>
      </c>
      <c r="AK406" t="n">
        <v>0</v>
      </c>
      <c r="AL406" t="n">
        <v>0</v>
      </c>
      <c r="AM406" t="n">
        <v>0</v>
      </c>
      <c r="AN406" t="n">
        <v>0</v>
      </c>
      <c r="AO406" t="n">
        <v>0</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HYPERLINK("https://creighton-primo.hosted.exlibrisgroup.com/primo-explore/search?tab=default_tab&amp;search_scope=EVERYTHING&amp;vid=01CRU&amp;lang=en_US&amp;offset=0&amp;query=any,contains,991003472099702656","Catalog Record")</f>
        <v/>
      </c>
      <c r="AV406">
        <f>HYPERLINK("http://www.worldcat.org/oclc/1015217","WorldCat Record")</f>
        <v/>
      </c>
      <c r="AW406" t="inlineStr">
        <is>
          <t>1939431:eng</t>
        </is>
      </c>
      <c r="AX406" t="inlineStr">
        <is>
          <t>1015217</t>
        </is>
      </c>
      <c r="AY406" t="inlineStr">
        <is>
          <t>991003472099702656</t>
        </is>
      </c>
      <c r="AZ406" t="inlineStr">
        <is>
          <t>991003472099702656</t>
        </is>
      </c>
      <c r="BA406" t="inlineStr">
        <is>
          <t>2255784740002656</t>
        </is>
      </c>
      <c r="BB406" t="inlineStr">
        <is>
          <t>BOOK</t>
        </is>
      </c>
      <c r="BD406" t="inlineStr">
        <is>
          <t>9780448013046</t>
        </is>
      </c>
      <c r="BE406" t="inlineStr">
        <is>
          <t>32285001166270</t>
        </is>
      </c>
      <c r="BF406" t="inlineStr">
        <is>
          <t>893330325</t>
        </is>
      </c>
    </row>
    <row r="407">
      <c r="B407" t="inlineStr">
        <is>
          <t>CURAL</t>
        </is>
      </c>
      <c r="C407" t="inlineStr">
        <is>
          <t>SHELVES</t>
        </is>
      </c>
      <c r="D407" t="inlineStr">
        <is>
          <t>CT3203 .H44 1988</t>
        </is>
      </c>
      <c r="E407" t="inlineStr">
        <is>
          <t>0                      CT 3203000H  44          1988</t>
        </is>
      </c>
      <c r="F407" t="inlineStr">
        <is>
          <t>Writing a woman's life / Carolyn G. Heilbrun.</t>
        </is>
      </c>
      <c r="H407" t="inlineStr">
        <is>
          <t>No</t>
        </is>
      </c>
      <c r="I407" t="inlineStr">
        <is>
          <t>1</t>
        </is>
      </c>
      <c r="J407" t="inlineStr">
        <is>
          <t>No</t>
        </is>
      </c>
      <c r="K407" t="inlineStr">
        <is>
          <t>No</t>
        </is>
      </c>
      <c r="L407" t="inlineStr">
        <is>
          <t>0</t>
        </is>
      </c>
      <c r="M407" t="inlineStr">
        <is>
          <t>Heilbrun, Carolyn G., 1926-2003.</t>
        </is>
      </c>
      <c r="N407" t="inlineStr">
        <is>
          <t>New York : Norton, 1988.</t>
        </is>
      </c>
      <c r="O407" t="inlineStr">
        <is>
          <t>1988</t>
        </is>
      </c>
      <c r="P407" t="inlineStr">
        <is>
          <t>1st ed.</t>
        </is>
      </c>
      <c r="Q407" t="inlineStr">
        <is>
          <t>eng</t>
        </is>
      </c>
      <c r="R407" t="inlineStr">
        <is>
          <t>nyu</t>
        </is>
      </c>
      <c r="T407" t="inlineStr">
        <is>
          <t xml:space="preserve">CT </t>
        </is>
      </c>
      <c r="U407" t="n">
        <v>4</v>
      </c>
      <c r="V407" t="n">
        <v>4</v>
      </c>
      <c r="W407" t="inlineStr">
        <is>
          <t>2000-04-27</t>
        </is>
      </c>
      <c r="X407" t="inlineStr">
        <is>
          <t>2000-04-27</t>
        </is>
      </c>
      <c r="Y407" t="inlineStr">
        <is>
          <t>1990-06-06</t>
        </is>
      </c>
      <c r="Z407" t="inlineStr">
        <is>
          <t>1990-06-06</t>
        </is>
      </c>
      <c r="AA407" t="n">
        <v>1069</v>
      </c>
      <c r="AB407" t="n">
        <v>985</v>
      </c>
      <c r="AC407" t="n">
        <v>1453</v>
      </c>
      <c r="AD407" t="n">
        <v>5</v>
      </c>
      <c r="AE407" t="n">
        <v>9</v>
      </c>
      <c r="AF407" t="n">
        <v>33</v>
      </c>
      <c r="AG407" t="n">
        <v>44</v>
      </c>
      <c r="AH407" t="n">
        <v>12</v>
      </c>
      <c r="AI407" t="n">
        <v>18</v>
      </c>
      <c r="AJ407" t="n">
        <v>8</v>
      </c>
      <c r="AK407" t="n">
        <v>10</v>
      </c>
      <c r="AL407" t="n">
        <v>19</v>
      </c>
      <c r="AM407" t="n">
        <v>23</v>
      </c>
      <c r="AN407" t="n">
        <v>4</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HYPERLINK("https://creighton-primo.hosted.exlibrisgroup.com/primo-explore/search?tab=default_tab&amp;search_scope=EVERYTHING&amp;vid=01CRU&amp;lang=en_US&amp;offset=0&amp;query=any,contains,991001185889702656","Catalog Record")</f>
        <v/>
      </c>
      <c r="AV407">
        <f>HYPERLINK("http://www.worldcat.org/oclc/17202774","WorldCat Record")</f>
        <v/>
      </c>
      <c r="AW407" t="inlineStr">
        <is>
          <t>38075295:eng</t>
        </is>
      </c>
      <c r="AX407" t="inlineStr">
        <is>
          <t>17202774</t>
        </is>
      </c>
      <c r="AY407" t="inlineStr">
        <is>
          <t>991001185889702656</t>
        </is>
      </c>
      <c r="AZ407" t="inlineStr">
        <is>
          <t>991001185889702656</t>
        </is>
      </c>
      <c r="BA407" t="inlineStr">
        <is>
          <t>2258749760002656</t>
        </is>
      </c>
      <c r="BB407" t="inlineStr">
        <is>
          <t>BOOK</t>
        </is>
      </c>
      <c r="BD407" t="inlineStr">
        <is>
          <t>9780393026016</t>
        </is>
      </c>
      <c r="BE407" t="inlineStr">
        <is>
          <t>32285000182757</t>
        </is>
      </c>
      <c r="BF407" t="inlineStr">
        <is>
          <t>893872355</t>
        </is>
      </c>
    </row>
    <row r="408">
      <c r="B408" t="inlineStr">
        <is>
          <t>CURAL</t>
        </is>
      </c>
      <c r="C408" t="inlineStr">
        <is>
          <t>SHELVES</t>
        </is>
      </c>
      <c r="D408" t="inlineStr">
        <is>
          <t>CT3220 .W4 1972a</t>
        </is>
      </c>
      <c r="E408" t="inlineStr">
        <is>
          <t>0                      CT 3220000W  4           1972a</t>
        </is>
      </c>
      <c r="F408" t="inlineStr">
        <is>
          <t>Of six mediaeval women; to which is added A note on mediaeval gardens.</t>
        </is>
      </c>
      <c r="H408" t="inlineStr">
        <is>
          <t>No</t>
        </is>
      </c>
      <c r="I408" t="inlineStr">
        <is>
          <t>1</t>
        </is>
      </c>
      <c r="J408" t="inlineStr">
        <is>
          <t>No</t>
        </is>
      </c>
      <c r="K408" t="inlineStr">
        <is>
          <t>No</t>
        </is>
      </c>
      <c r="L408" t="inlineStr">
        <is>
          <t>0</t>
        </is>
      </c>
      <c r="M408" t="inlineStr">
        <is>
          <t>Kemp-Welch, Alice.</t>
        </is>
      </c>
      <c r="N408" t="inlineStr">
        <is>
          <t>Williamstown, Mass., Corner House, 1972.</t>
        </is>
      </c>
      <c r="O408" t="inlineStr">
        <is>
          <t>1972</t>
        </is>
      </c>
      <c r="Q408" t="inlineStr">
        <is>
          <t>eng</t>
        </is>
      </c>
      <c r="R408" t="inlineStr">
        <is>
          <t>mau</t>
        </is>
      </c>
      <c r="T408" t="inlineStr">
        <is>
          <t xml:space="preserve">CT </t>
        </is>
      </c>
      <c r="U408" t="n">
        <v>15</v>
      </c>
      <c r="V408" t="n">
        <v>15</v>
      </c>
      <c r="W408" t="inlineStr">
        <is>
          <t>2006-10-12</t>
        </is>
      </c>
      <c r="X408" t="inlineStr">
        <is>
          <t>2006-10-12</t>
        </is>
      </c>
      <c r="Y408" t="inlineStr">
        <is>
          <t>1996-04-30</t>
        </is>
      </c>
      <c r="Z408" t="inlineStr">
        <is>
          <t>1996-04-30</t>
        </is>
      </c>
      <c r="AA408" t="n">
        <v>545</v>
      </c>
      <c r="AB408" t="n">
        <v>535</v>
      </c>
      <c r="AC408" t="n">
        <v>856</v>
      </c>
      <c r="AD408" t="n">
        <v>7</v>
      </c>
      <c r="AE408" t="n">
        <v>8</v>
      </c>
      <c r="AF408" t="n">
        <v>19</v>
      </c>
      <c r="AG408" t="n">
        <v>33</v>
      </c>
      <c r="AH408" t="n">
        <v>8</v>
      </c>
      <c r="AI408" t="n">
        <v>13</v>
      </c>
      <c r="AJ408" t="n">
        <v>4</v>
      </c>
      <c r="AK408" t="n">
        <v>6</v>
      </c>
      <c r="AL408" t="n">
        <v>7</v>
      </c>
      <c r="AM408" t="n">
        <v>14</v>
      </c>
      <c r="AN408" t="n">
        <v>6</v>
      </c>
      <c r="AO408" t="n">
        <v>7</v>
      </c>
      <c r="AP408" t="n">
        <v>0</v>
      </c>
      <c r="AQ408" t="n">
        <v>1</v>
      </c>
      <c r="AR408" t="inlineStr">
        <is>
          <t>No</t>
        </is>
      </c>
      <c r="AS408" t="inlineStr">
        <is>
          <t>Yes</t>
        </is>
      </c>
      <c r="AT408">
        <f>HYPERLINK("http://catalog.hathitrust.org/Record/102072712","HathiTrust Record")</f>
        <v/>
      </c>
      <c r="AU408">
        <f>HYPERLINK("https://creighton-primo.hosted.exlibrisgroup.com/primo-explore/search?tab=default_tab&amp;search_scope=EVERYTHING&amp;vid=01CRU&amp;lang=en_US&amp;offset=0&amp;query=any,contains,991002996749702656","Catalog Record")</f>
        <v/>
      </c>
      <c r="AV408">
        <f>HYPERLINK("http://www.worldcat.org/oclc/565250","WorldCat Record")</f>
        <v/>
      </c>
      <c r="AW408" t="inlineStr">
        <is>
          <t>1650897:eng</t>
        </is>
      </c>
      <c r="AX408" t="inlineStr">
        <is>
          <t>565250</t>
        </is>
      </c>
      <c r="AY408" t="inlineStr">
        <is>
          <t>991002996749702656</t>
        </is>
      </c>
      <c r="AZ408" t="inlineStr">
        <is>
          <t>991002996749702656</t>
        </is>
      </c>
      <c r="BA408" t="inlineStr">
        <is>
          <t>2258913450002656</t>
        </is>
      </c>
      <c r="BB408" t="inlineStr">
        <is>
          <t>BOOK</t>
        </is>
      </c>
      <c r="BE408" t="inlineStr">
        <is>
          <t>32285002161171</t>
        </is>
      </c>
      <c r="BF408" t="inlineStr">
        <is>
          <t>893692268</t>
        </is>
      </c>
    </row>
    <row r="409">
      <c r="B409" t="inlineStr">
        <is>
          <t>CURAL</t>
        </is>
      </c>
      <c r="C409" t="inlineStr">
        <is>
          <t>SHELVES</t>
        </is>
      </c>
      <c r="D409" t="inlineStr">
        <is>
          <t>CT3230 .C55 1989</t>
        </is>
      </c>
      <c r="E409" t="inlineStr">
        <is>
          <t>0                      CT 3230000C  55          1989</t>
        </is>
      </c>
      <c r="F409" t="inlineStr">
        <is>
          <t>Women's diaries, journals, and letters : an annotated bibliography / Cheryl Cline.</t>
        </is>
      </c>
      <c r="H409" t="inlineStr">
        <is>
          <t>No</t>
        </is>
      </c>
      <c r="I409" t="inlineStr">
        <is>
          <t>1</t>
        </is>
      </c>
      <c r="J409" t="inlineStr">
        <is>
          <t>No</t>
        </is>
      </c>
      <c r="K409" t="inlineStr">
        <is>
          <t>No</t>
        </is>
      </c>
      <c r="L409" t="inlineStr">
        <is>
          <t>0</t>
        </is>
      </c>
      <c r="M409" t="inlineStr">
        <is>
          <t>Cline, Cheryl, 1954-</t>
        </is>
      </c>
      <c r="N409" t="inlineStr">
        <is>
          <t>New York : Garland Pub., 1989.</t>
        </is>
      </c>
      <c r="O409" t="inlineStr">
        <is>
          <t>1989</t>
        </is>
      </c>
      <c r="Q409" t="inlineStr">
        <is>
          <t>eng</t>
        </is>
      </c>
      <c r="R409" t="inlineStr">
        <is>
          <t>nyu</t>
        </is>
      </c>
      <c r="S409" t="inlineStr">
        <is>
          <t>Garland reference library of the humanities ; vol. 780</t>
        </is>
      </c>
      <c r="T409" t="inlineStr">
        <is>
          <t xml:space="preserve">CT </t>
        </is>
      </c>
      <c r="U409" t="n">
        <v>1</v>
      </c>
      <c r="V409" t="n">
        <v>1</v>
      </c>
      <c r="W409" t="inlineStr">
        <is>
          <t>1992-04-25</t>
        </is>
      </c>
      <c r="X409" t="inlineStr">
        <is>
          <t>1992-04-25</t>
        </is>
      </c>
      <c r="Y409" t="inlineStr">
        <is>
          <t>1992-03-31</t>
        </is>
      </c>
      <c r="Z409" t="inlineStr">
        <is>
          <t>1992-03-31</t>
        </is>
      </c>
      <c r="AA409" t="n">
        <v>365</v>
      </c>
      <c r="AB409" t="n">
        <v>294</v>
      </c>
      <c r="AC409" t="n">
        <v>294</v>
      </c>
      <c r="AD409" t="n">
        <v>4</v>
      </c>
      <c r="AE409" t="n">
        <v>4</v>
      </c>
      <c r="AF409" t="n">
        <v>16</v>
      </c>
      <c r="AG409" t="n">
        <v>16</v>
      </c>
      <c r="AH409" t="n">
        <v>2</v>
      </c>
      <c r="AI409" t="n">
        <v>2</v>
      </c>
      <c r="AJ409" t="n">
        <v>6</v>
      </c>
      <c r="AK409" t="n">
        <v>6</v>
      </c>
      <c r="AL409" t="n">
        <v>8</v>
      </c>
      <c r="AM409" t="n">
        <v>8</v>
      </c>
      <c r="AN409" t="n">
        <v>3</v>
      </c>
      <c r="AO409" t="n">
        <v>3</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HYPERLINK("https://creighton-primo.hosted.exlibrisgroup.com/primo-explore/search?tab=default_tab&amp;search_scope=EVERYTHING&amp;vid=01CRU&amp;lang=en_US&amp;offset=0&amp;query=any,contains,991001449869702656","Catalog Record")</f>
        <v/>
      </c>
      <c r="AV409">
        <f>HYPERLINK("http://www.worldcat.org/oclc/19323426","WorldCat Record")</f>
        <v/>
      </c>
      <c r="AW409" t="inlineStr">
        <is>
          <t>912088:eng</t>
        </is>
      </c>
      <c r="AX409" t="inlineStr">
        <is>
          <t>19323426</t>
        </is>
      </c>
      <c r="AY409" t="inlineStr">
        <is>
          <t>991001449869702656</t>
        </is>
      </c>
      <c r="AZ409" t="inlineStr">
        <is>
          <t>991001449869702656</t>
        </is>
      </c>
      <c r="BA409" t="inlineStr">
        <is>
          <t>2266442930002656</t>
        </is>
      </c>
      <c r="BB409" t="inlineStr">
        <is>
          <t>BOOK</t>
        </is>
      </c>
      <c r="BD409" t="inlineStr">
        <is>
          <t>9780824066376</t>
        </is>
      </c>
      <c r="BE409" t="inlineStr">
        <is>
          <t>32285001007565</t>
        </is>
      </c>
      <c r="BF409" t="inlineStr">
        <is>
          <t>893721030</t>
        </is>
      </c>
    </row>
    <row r="410">
      <c r="B410" t="inlineStr">
        <is>
          <t>CURAL</t>
        </is>
      </c>
      <c r="C410" t="inlineStr">
        <is>
          <t>SHELVES</t>
        </is>
      </c>
      <c r="D410" t="inlineStr">
        <is>
          <t>CT3232 .H45</t>
        </is>
      </c>
      <c r="E410" t="inlineStr">
        <is>
          <t>0                      CT 3232000H  45</t>
        </is>
      </c>
      <c r="F410" t="inlineStr">
        <is>
          <t>Women of Europe in the fifteenth and sixteenth centuries. By Mrs. Napier Higgins.</t>
        </is>
      </c>
      <c r="G410" t="inlineStr">
        <is>
          <t>V. 1</t>
        </is>
      </c>
      <c r="H410" t="inlineStr">
        <is>
          <t>Yes</t>
        </is>
      </c>
      <c r="I410" t="inlineStr">
        <is>
          <t>1</t>
        </is>
      </c>
      <c r="J410" t="inlineStr">
        <is>
          <t>No</t>
        </is>
      </c>
      <c r="K410" t="inlineStr">
        <is>
          <t>No</t>
        </is>
      </c>
      <c r="L410" t="inlineStr">
        <is>
          <t>0</t>
        </is>
      </c>
      <c r="M410" t="inlineStr">
        <is>
          <t>Higgins, Sophia Elizabeth.</t>
        </is>
      </c>
      <c r="N410" t="inlineStr">
        <is>
          <t>London, Hurst and Blackett, 1885.</t>
        </is>
      </c>
      <c r="O410" t="inlineStr">
        <is>
          <t>1885</t>
        </is>
      </c>
      <c r="Q410" t="inlineStr">
        <is>
          <t>eng</t>
        </is>
      </c>
      <c r="R410" t="inlineStr">
        <is>
          <t xml:space="preserve">xx </t>
        </is>
      </c>
      <c r="T410" t="inlineStr">
        <is>
          <t xml:space="preserve">CT </t>
        </is>
      </c>
      <c r="U410" t="n">
        <v>0</v>
      </c>
      <c r="V410" t="n">
        <v>0</v>
      </c>
      <c r="W410" t="inlineStr">
        <is>
          <t>2009-02-23</t>
        </is>
      </c>
      <c r="X410" t="inlineStr">
        <is>
          <t>2009-02-23</t>
        </is>
      </c>
      <c r="Y410" t="inlineStr">
        <is>
          <t>1996-08-22</t>
        </is>
      </c>
      <c r="Z410" t="inlineStr">
        <is>
          <t>1996-08-22</t>
        </is>
      </c>
      <c r="AA410" t="n">
        <v>53</v>
      </c>
      <c r="AB410" t="n">
        <v>40</v>
      </c>
      <c r="AC410" t="n">
        <v>185</v>
      </c>
      <c r="AD410" t="n">
        <v>1</v>
      </c>
      <c r="AE410" t="n">
        <v>2</v>
      </c>
      <c r="AF410" t="n">
        <v>0</v>
      </c>
      <c r="AG410" t="n">
        <v>10</v>
      </c>
      <c r="AH410" t="n">
        <v>0</v>
      </c>
      <c r="AI410" t="n">
        <v>4</v>
      </c>
      <c r="AJ410" t="n">
        <v>0</v>
      </c>
      <c r="AK410" t="n">
        <v>2</v>
      </c>
      <c r="AL410" t="n">
        <v>0</v>
      </c>
      <c r="AM410" t="n">
        <v>0</v>
      </c>
      <c r="AN410" t="n">
        <v>0</v>
      </c>
      <c r="AO410" t="n">
        <v>1</v>
      </c>
      <c r="AP410" t="n">
        <v>0</v>
      </c>
      <c r="AQ410" t="n">
        <v>4</v>
      </c>
      <c r="AR410" t="inlineStr">
        <is>
          <t>Yes</t>
        </is>
      </c>
      <c r="AS410" t="inlineStr">
        <is>
          <t>No</t>
        </is>
      </c>
      <c r="AT410">
        <f>HYPERLINK("http://catalog.hathitrust.org/Record/006149587","HathiTrust Record")</f>
        <v/>
      </c>
      <c r="AU410">
        <f>HYPERLINK("https://creighton-primo.hosted.exlibrisgroup.com/primo-explore/search?tab=default_tab&amp;search_scope=EVERYTHING&amp;vid=01CRU&amp;lang=en_US&amp;offset=0&amp;query=any,contains,991003070729702656","Catalog Record")</f>
        <v/>
      </c>
      <c r="AV410">
        <f>HYPERLINK("http://www.worldcat.org/oclc/625109","WorldCat Record")</f>
        <v/>
      </c>
      <c r="AW410" t="inlineStr">
        <is>
          <t>9381483969:eng</t>
        </is>
      </c>
      <c r="AX410" t="inlineStr">
        <is>
          <t>625109</t>
        </is>
      </c>
      <c r="AY410" t="inlineStr">
        <is>
          <t>991003070729702656</t>
        </is>
      </c>
      <c r="AZ410" t="inlineStr">
        <is>
          <t>991003070729702656</t>
        </is>
      </c>
      <c r="BA410" t="inlineStr">
        <is>
          <t>2259240140002656</t>
        </is>
      </c>
      <c r="BB410" t="inlineStr">
        <is>
          <t>BOOK</t>
        </is>
      </c>
      <c r="BE410" t="inlineStr">
        <is>
          <t>32285002286374</t>
        </is>
      </c>
      <c r="BF410" t="inlineStr">
        <is>
          <t>893348308</t>
        </is>
      </c>
    </row>
    <row r="411">
      <c r="B411" t="inlineStr">
        <is>
          <t>CURAL</t>
        </is>
      </c>
      <c r="C411" t="inlineStr">
        <is>
          <t>SHELVES</t>
        </is>
      </c>
      <c r="D411" t="inlineStr">
        <is>
          <t>CT3232 .H45</t>
        </is>
      </c>
      <c r="E411" t="inlineStr">
        <is>
          <t>0                      CT 3232000H  45</t>
        </is>
      </c>
      <c r="F411" t="inlineStr">
        <is>
          <t>Women of Europe in the fifteenth and sixteenth centuries. By Mrs. Napier Higgins.</t>
        </is>
      </c>
      <c r="G411" t="inlineStr">
        <is>
          <t>V. 2</t>
        </is>
      </c>
      <c r="H411" t="inlineStr">
        <is>
          <t>Yes</t>
        </is>
      </c>
      <c r="I411" t="inlineStr">
        <is>
          <t>1</t>
        </is>
      </c>
      <c r="J411" t="inlineStr">
        <is>
          <t>No</t>
        </is>
      </c>
      <c r="K411" t="inlineStr">
        <is>
          <t>No</t>
        </is>
      </c>
      <c r="L411" t="inlineStr">
        <is>
          <t>0</t>
        </is>
      </c>
      <c r="M411" t="inlineStr">
        <is>
          <t>Higgins, Sophia Elizabeth.</t>
        </is>
      </c>
      <c r="N411" t="inlineStr">
        <is>
          <t>London, Hurst and Blackett, 1885.</t>
        </is>
      </c>
      <c r="O411" t="inlineStr">
        <is>
          <t>1885</t>
        </is>
      </c>
      <c r="Q411" t="inlineStr">
        <is>
          <t>eng</t>
        </is>
      </c>
      <c r="R411" t="inlineStr">
        <is>
          <t xml:space="preserve">xx </t>
        </is>
      </c>
      <c r="T411" t="inlineStr">
        <is>
          <t xml:space="preserve">CT </t>
        </is>
      </c>
      <c r="U411" t="n">
        <v>0</v>
      </c>
      <c r="V411" t="n">
        <v>0</v>
      </c>
      <c r="W411" t="inlineStr">
        <is>
          <t>2009-02-23</t>
        </is>
      </c>
      <c r="X411" t="inlineStr">
        <is>
          <t>2009-02-23</t>
        </is>
      </c>
      <c r="Y411" t="inlineStr">
        <is>
          <t>1996-08-22</t>
        </is>
      </c>
      <c r="Z411" t="inlineStr">
        <is>
          <t>1996-08-22</t>
        </is>
      </c>
      <c r="AA411" t="n">
        <v>53</v>
      </c>
      <c r="AB411" t="n">
        <v>40</v>
      </c>
      <c r="AC411" t="n">
        <v>185</v>
      </c>
      <c r="AD411" t="n">
        <v>1</v>
      </c>
      <c r="AE411" t="n">
        <v>2</v>
      </c>
      <c r="AF411" t="n">
        <v>0</v>
      </c>
      <c r="AG411" t="n">
        <v>10</v>
      </c>
      <c r="AH411" t="n">
        <v>0</v>
      </c>
      <c r="AI411" t="n">
        <v>4</v>
      </c>
      <c r="AJ411" t="n">
        <v>0</v>
      </c>
      <c r="AK411" t="n">
        <v>2</v>
      </c>
      <c r="AL411" t="n">
        <v>0</v>
      </c>
      <c r="AM411" t="n">
        <v>0</v>
      </c>
      <c r="AN411" t="n">
        <v>0</v>
      </c>
      <c r="AO411" t="n">
        <v>1</v>
      </c>
      <c r="AP411" t="n">
        <v>0</v>
      </c>
      <c r="AQ411" t="n">
        <v>4</v>
      </c>
      <c r="AR411" t="inlineStr">
        <is>
          <t>Yes</t>
        </is>
      </c>
      <c r="AS411" t="inlineStr">
        <is>
          <t>No</t>
        </is>
      </c>
      <c r="AT411">
        <f>HYPERLINK("http://catalog.hathitrust.org/Record/006149587","HathiTrust Record")</f>
        <v/>
      </c>
      <c r="AU411">
        <f>HYPERLINK("https://creighton-primo.hosted.exlibrisgroup.com/primo-explore/search?tab=default_tab&amp;search_scope=EVERYTHING&amp;vid=01CRU&amp;lang=en_US&amp;offset=0&amp;query=any,contains,991003070729702656","Catalog Record")</f>
        <v/>
      </c>
      <c r="AV411">
        <f>HYPERLINK("http://www.worldcat.org/oclc/625109","WorldCat Record")</f>
        <v/>
      </c>
      <c r="AW411" t="inlineStr">
        <is>
          <t>9381483969:eng</t>
        </is>
      </c>
      <c r="AX411" t="inlineStr">
        <is>
          <t>625109</t>
        </is>
      </c>
      <c r="AY411" t="inlineStr">
        <is>
          <t>991003070729702656</t>
        </is>
      </c>
      <c r="AZ411" t="inlineStr">
        <is>
          <t>991003070729702656</t>
        </is>
      </c>
      <c r="BA411" t="inlineStr">
        <is>
          <t>2259240140002656</t>
        </is>
      </c>
      <c r="BB411" t="inlineStr">
        <is>
          <t>BOOK</t>
        </is>
      </c>
      <c r="BE411" t="inlineStr">
        <is>
          <t>32285002286382</t>
        </is>
      </c>
      <c r="BF411" t="inlineStr">
        <is>
          <t>893342217</t>
        </is>
      </c>
    </row>
    <row r="412">
      <c r="B412" t="inlineStr">
        <is>
          <t>CURAL</t>
        </is>
      </c>
      <c r="C412" t="inlineStr">
        <is>
          <t>SHELVES</t>
        </is>
      </c>
      <c r="D412" t="inlineStr">
        <is>
          <t>CT3235 .R67 1993</t>
        </is>
      </c>
      <c r="E412" t="inlineStr">
        <is>
          <t>0                      CT 3235000R  67          1993</t>
        </is>
      </c>
      <c r="F412" t="inlineStr">
        <is>
          <t>The Norton book of women's lives / edited by Phyllis Rose.</t>
        </is>
      </c>
      <c r="H412" t="inlineStr">
        <is>
          <t>No</t>
        </is>
      </c>
      <c r="I412" t="inlineStr">
        <is>
          <t>1</t>
        </is>
      </c>
      <c r="J412" t="inlineStr">
        <is>
          <t>No</t>
        </is>
      </c>
      <c r="K412" t="inlineStr">
        <is>
          <t>No</t>
        </is>
      </c>
      <c r="L412" t="inlineStr">
        <is>
          <t>0</t>
        </is>
      </c>
      <c r="M412" t="inlineStr">
        <is>
          <t>Rose, Phyllis, 1942-</t>
        </is>
      </c>
      <c r="N412" t="inlineStr">
        <is>
          <t>New York : W.W. Norton, 1993.</t>
        </is>
      </c>
      <c r="O412" t="inlineStr">
        <is>
          <t>1993</t>
        </is>
      </c>
      <c r="P412" t="inlineStr">
        <is>
          <t>1st ed.</t>
        </is>
      </c>
      <c r="Q412" t="inlineStr">
        <is>
          <t>eng</t>
        </is>
      </c>
      <c r="R412" t="inlineStr">
        <is>
          <t>nyu</t>
        </is>
      </c>
      <c r="T412" t="inlineStr">
        <is>
          <t xml:space="preserve">CT </t>
        </is>
      </c>
      <c r="U412" t="n">
        <v>3</v>
      </c>
      <c r="V412" t="n">
        <v>3</v>
      </c>
      <c r="W412" t="inlineStr">
        <is>
          <t>1995-08-24</t>
        </is>
      </c>
      <c r="X412" t="inlineStr">
        <is>
          <t>1995-08-24</t>
        </is>
      </c>
      <c r="Y412" t="inlineStr">
        <is>
          <t>1993-11-11</t>
        </is>
      </c>
      <c r="Z412" t="inlineStr">
        <is>
          <t>1993-11-11</t>
        </is>
      </c>
      <c r="AA412" t="n">
        <v>1343</v>
      </c>
      <c r="AB412" t="n">
        <v>1257</v>
      </c>
      <c r="AC412" t="n">
        <v>1371</v>
      </c>
      <c r="AD412" t="n">
        <v>7</v>
      </c>
      <c r="AE412" t="n">
        <v>8</v>
      </c>
      <c r="AF412" t="n">
        <v>32</v>
      </c>
      <c r="AG412" t="n">
        <v>33</v>
      </c>
      <c r="AH412" t="n">
        <v>12</v>
      </c>
      <c r="AI412" t="n">
        <v>12</v>
      </c>
      <c r="AJ412" t="n">
        <v>5</v>
      </c>
      <c r="AK412" t="n">
        <v>5</v>
      </c>
      <c r="AL412" t="n">
        <v>18</v>
      </c>
      <c r="AM412" t="n">
        <v>18</v>
      </c>
      <c r="AN412" t="n">
        <v>5</v>
      </c>
      <c r="AO412" t="n">
        <v>6</v>
      </c>
      <c r="AP412" t="n">
        <v>0</v>
      </c>
      <c r="AQ412" t="n">
        <v>0</v>
      </c>
      <c r="AR412" t="inlineStr">
        <is>
          <t>No</t>
        </is>
      </c>
      <c r="AS412" t="inlineStr">
        <is>
          <t>No</t>
        </is>
      </c>
      <c r="AU412">
        <f>HYPERLINK("https://creighton-primo.hosted.exlibrisgroup.com/primo-explore/search?tab=default_tab&amp;search_scope=EVERYTHING&amp;vid=01CRU&amp;lang=en_US&amp;offset=0&amp;query=any,contains,991002110049702656","Catalog Record")</f>
        <v/>
      </c>
      <c r="AV412">
        <f>HYPERLINK("http://www.worldcat.org/oclc/27035746","WorldCat Record")</f>
        <v/>
      </c>
      <c r="AW412" t="inlineStr">
        <is>
          <t>355918944:eng</t>
        </is>
      </c>
      <c r="AX412" t="inlineStr">
        <is>
          <t>27035746</t>
        </is>
      </c>
      <c r="AY412" t="inlineStr">
        <is>
          <t>991002110049702656</t>
        </is>
      </c>
      <c r="AZ412" t="inlineStr">
        <is>
          <t>991002110049702656</t>
        </is>
      </c>
      <c r="BA412" t="inlineStr">
        <is>
          <t>2270324360002656</t>
        </is>
      </c>
      <c r="BB412" t="inlineStr">
        <is>
          <t>BOOK</t>
        </is>
      </c>
      <c r="BD412" t="inlineStr">
        <is>
          <t>9780393035322</t>
        </is>
      </c>
      <c r="BE412" t="inlineStr">
        <is>
          <t>32285001810737</t>
        </is>
      </c>
      <c r="BF412" t="inlineStr">
        <is>
          <t>893523207</t>
        </is>
      </c>
    </row>
    <row r="413">
      <c r="B413" t="inlineStr">
        <is>
          <t>CURAL</t>
        </is>
      </c>
      <c r="C413" t="inlineStr">
        <is>
          <t>SHELVES</t>
        </is>
      </c>
      <c r="D413" t="inlineStr">
        <is>
          <t>CT3260 .D395 1985</t>
        </is>
      </c>
      <c r="E413" t="inlineStr">
        <is>
          <t>0                      CT 3260000D  395         1985</t>
        </is>
      </c>
      <c r="F413" t="inlineStr">
        <is>
          <t>A Day at a time : the diary literature of American women from 1764 to the present / edited by Margo Culley.</t>
        </is>
      </c>
      <c r="H413" t="inlineStr">
        <is>
          <t>No</t>
        </is>
      </c>
      <c r="I413" t="inlineStr">
        <is>
          <t>1</t>
        </is>
      </c>
      <c r="J413" t="inlineStr">
        <is>
          <t>No</t>
        </is>
      </c>
      <c r="K413" t="inlineStr">
        <is>
          <t>No</t>
        </is>
      </c>
      <c r="L413" t="inlineStr">
        <is>
          <t>0</t>
        </is>
      </c>
      <c r="N413" t="inlineStr">
        <is>
          <t>New York : Feminist Press at the City University of New York, 1985.</t>
        </is>
      </c>
      <c r="O413" t="inlineStr">
        <is>
          <t>1985</t>
        </is>
      </c>
      <c r="Q413" t="inlineStr">
        <is>
          <t>eng</t>
        </is>
      </c>
      <c r="R413" t="inlineStr">
        <is>
          <t>nyu</t>
        </is>
      </c>
      <c r="T413" t="inlineStr">
        <is>
          <t xml:space="preserve">CT </t>
        </is>
      </c>
      <c r="U413" t="n">
        <v>2</v>
      </c>
      <c r="V413" t="n">
        <v>2</v>
      </c>
      <c r="W413" t="inlineStr">
        <is>
          <t>1995-10-03</t>
        </is>
      </c>
      <c r="X413" t="inlineStr">
        <is>
          <t>1995-10-03</t>
        </is>
      </c>
      <c r="Y413" t="inlineStr">
        <is>
          <t>1990-09-04</t>
        </is>
      </c>
      <c r="Z413" t="inlineStr">
        <is>
          <t>1990-09-04</t>
        </is>
      </c>
      <c r="AA413" t="n">
        <v>1027</v>
      </c>
      <c r="AB413" t="n">
        <v>959</v>
      </c>
      <c r="AC413" t="n">
        <v>964</v>
      </c>
      <c r="AD413" t="n">
        <v>4</v>
      </c>
      <c r="AE413" t="n">
        <v>4</v>
      </c>
      <c r="AF413" t="n">
        <v>33</v>
      </c>
      <c r="AG413" t="n">
        <v>33</v>
      </c>
      <c r="AH413" t="n">
        <v>13</v>
      </c>
      <c r="AI413" t="n">
        <v>13</v>
      </c>
      <c r="AJ413" t="n">
        <v>9</v>
      </c>
      <c r="AK413" t="n">
        <v>9</v>
      </c>
      <c r="AL413" t="n">
        <v>18</v>
      </c>
      <c r="AM413" t="n">
        <v>18</v>
      </c>
      <c r="AN413" t="n">
        <v>3</v>
      </c>
      <c r="AO413" t="n">
        <v>3</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HYPERLINK("https://creighton-primo.hosted.exlibrisgroup.com/primo-explore/search?tab=default_tab&amp;search_scope=EVERYTHING&amp;vid=01CRU&amp;lang=en_US&amp;offset=0&amp;query=any,contains,991000660249702656","Catalog Record")</f>
        <v/>
      </c>
      <c r="AV413">
        <f>HYPERLINK("http://www.worldcat.org/oclc/12237594","WorldCat Record")</f>
        <v/>
      </c>
      <c r="AW413" t="inlineStr">
        <is>
          <t>796288412:eng</t>
        </is>
      </c>
      <c r="AX413" t="inlineStr">
        <is>
          <t>12237594</t>
        </is>
      </c>
      <c r="AY413" t="inlineStr">
        <is>
          <t>991000660249702656</t>
        </is>
      </c>
      <c r="AZ413" t="inlineStr">
        <is>
          <t>991000660249702656</t>
        </is>
      </c>
      <c r="BA413" t="inlineStr">
        <is>
          <t>2268533240002656</t>
        </is>
      </c>
      <c r="BB413" t="inlineStr">
        <is>
          <t>BOOK</t>
        </is>
      </c>
      <c r="BD413" t="inlineStr">
        <is>
          <t>9780935312515</t>
        </is>
      </c>
      <c r="BE413" t="inlineStr">
        <is>
          <t>32285000024645</t>
        </is>
      </c>
      <c r="BF413" t="inlineStr">
        <is>
          <t>893626388</t>
        </is>
      </c>
    </row>
    <row r="414">
      <c r="B414" t="inlineStr">
        <is>
          <t>CURAL</t>
        </is>
      </c>
      <c r="C414" t="inlineStr">
        <is>
          <t>SHELVES</t>
        </is>
      </c>
      <c r="D414" t="inlineStr">
        <is>
          <t>CT3260 .O7 1975</t>
        </is>
      </c>
      <c r="E414" t="inlineStr">
        <is>
          <t>0                      CT 3260000O  7           1975</t>
        </is>
      </c>
      <c r="F414" t="inlineStr">
        <is>
          <t>Our famous women: an authorized record of the lives and deeds of distinguished American women of our times ... by the following twenty eminent authors: Elizabeth Stuart Phelps [and others]</t>
        </is>
      </c>
      <c r="H414" t="inlineStr">
        <is>
          <t>No</t>
        </is>
      </c>
      <c r="I414" t="inlineStr">
        <is>
          <t>1</t>
        </is>
      </c>
      <c r="J414" t="inlineStr">
        <is>
          <t>No</t>
        </is>
      </c>
      <c r="K414" t="inlineStr">
        <is>
          <t>No</t>
        </is>
      </c>
      <c r="L414" t="inlineStr">
        <is>
          <t>0</t>
        </is>
      </c>
      <c r="N414" t="inlineStr">
        <is>
          <t>Freeport, N.Y., Books for Libraries Press [1975]</t>
        </is>
      </c>
      <c r="O414" t="inlineStr">
        <is>
          <t>1975</t>
        </is>
      </c>
      <c r="Q414" t="inlineStr">
        <is>
          <t>eng</t>
        </is>
      </c>
      <c r="R414" t="inlineStr">
        <is>
          <t>nyu</t>
        </is>
      </c>
      <c r="S414" t="inlineStr">
        <is>
          <t>Essay index reprint series</t>
        </is>
      </c>
      <c r="T414" t="inlineStr">
        <is>
          <t xml:space="preserve">CT </t>
        </is>
      </c>
      <c r="U414" t="n">
        <v>5</v>
      </c>
      <c r="V414" t="n">
        <v>5</v>
      </c>
      <c r="W414" t="inlineStr">
        <is>
          <t>1998-12-21</t>
        </is>
      </c>
      <c r="X414" t="inlineStr">
        <is>
          <t>1998-12-21</t>
        </is>
      </c>
      <c r="Y414" t="inlineStr">
        <is>
          <t>1996-08-22</t>
        </is>
      </c>
      <c r="Z414" t="inlineStr">
        <is>
          <t>1996-08-22</t>
        </is>
      </c>
      <c r="AA414" t="n">
        <v>79</v>
      </c>
      <c r="AB414" t="n">
        <v>72</v>
      </c>
      <c r="AC414" t="n">
        <v>96</v>
      </c>
      <c r="AD414" t="n">
        <v>2</v>
      </c>
      <c r="AE414" t="n">
        <v>2</v>
      </c>
      <c r="AF414" t="n">
        <v>3</v>
      </c>
      <c r="AG414" t="n">
        <v>5</v>
      </c>
      <c r="AH414" t="n">
        <v>2</v>
      </c>
      <c r="AI414" t="n">
        <v>3</v>
      </c>
      <c r="AJ414" t="n">
        <v>0</v>
      </c>
      <c r="AK414" t="n">
        <v>2</v>
      </c>
      <c r="AL414" t="n">
        <v>1</v>
      </c>
      <c r="AM414" t="n">
        <v>1</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HYPERLINK("https://creighton-primo.hosted.exlibrisgroup.com/primo-explore/search?tab=default_tab&amp;search_scope=EVERYTHING&amp;vid=01CRU&amp;lang=en_US&amp;offset=0&amp;query=any,contains,991003005689702656","Catalog Record")</f>
        <v/>
      </c>
      <c r="AV414">
        <f>HYPERLINK("http://www.worldcat.org/oclc/572837","WorldCat Record")</f>
        <v/>
      </c>
      <c r="AW414" t="inlineStr">
        <is>
          <t>8910435242:eng</t>
        </is>
      </c>
      <c r="AX414" t="inlineStr">
        <is>
          <t>572837</t>
        </is>
      </c>
      <c r="AY414" t="inlineStr">
        <is>
          <t>991003005689702656</t>
        </is>
      </c>
      <c r="AZ414" t="inlineStr">
        <is>
          <t>991003005689702656</t>
        </is>
      </c>
      <c r="BA414" t="inlineStr">
        <is>
          <t>2272562720002656</t>
        </is>
      </c>
      <c r="BB414" t="inlineStr">
        <is>
          <t>BOOK</t>
        </is>
      </c>
      <c r="BD414" t="inlineStr">
        <is>
          <t>9780518100607</t>
        </is>
      </c>
      <c r="BE414" t="inlineStr">
        <is>
          <t>32285002286408</t>
        </is>
      </c>
      <c r="BF414" t="inlineStr">
        <is>
          <t>893692285</t>
        </is>
      </c>
    </row>
    <row r="415">
      <c r="B415" t="inlineStr">
        <is>
          <t>CURAL</t>
        </is>
      </c>
      <c r="C415" t="inlineStr">
        <is>
          <t>SHELVES</t>
        </is>
      </c>
      <c r="D415" t="inlineStr">
        <is>
          <t>CT3260 .P73 1991</t>
        </is>
      </c>
      <c r="E415" t="inlineStr">
        <is>
          <t>0                      CT 3260000P  73          1991</t>
        </is>
      </c>
      <c r="F415" t="inlineStr">
        <is>
          <t>Portraits of American women : from settlement to the present / [edited by] G.J. Barker-Benfield, Catherine Clinton.</t>
        </is>
      </c>
      <c r="H415" t="inlineStr">
        <is>
          <t>No</t>
        </is>
      </c>
      <c r="I415" t="inlineStr">
        <is>
          <t>1</t>
        </is>
      </c>
      <c r="J415" t="inlineStr">
        <is>
          <t>No</t>
        </is>
      </c>
      <c r="K415" t="inlineStr">
        <is>
          <t>No</t>
        </is>
      </c>
      <c r="L415" t="inlineStr">
        <is>
          <t>0</t>
        </is>
      </c>
      <c r="N415" t="inlineStr">
        <is>
          <t>New York, N.Y. : St. Martin's Press, c1991.</t>
        </is>
      </c>
      <c r="O415" t="inlineStr">
        <is>
          <t>1991</t>
        </is>
      </c>
      <c r="Q415" t="inlineStr">
        <is>
          <t>eng</t>
        </is>
      </c>
      <c r="R415" t="inlineStr">
        <is>
          <t>nyu</t>
        </is>
      </c>
      <c r="T415" t="inlineStr">
        <is>
          <t xml:space="preserve">CT </t>
        </is>
      </c>
      <c r="U415" t="n">
        <v>8</v>
      </c>
      <c r="V415" t="n">
        <v>8</v>
      </c>
      <c r="W415" t="inlineStr">
        <is>
          <t>1997-02-28</t>
        </is>
      </c>
      <c r="X415" t="inlineStr">
        <is>
          <t>1997-02-28</t>
        </is>
      </c>
      <c r="Y415" t="inlineStr">
        <is>
          <t>1991-10-16</t>
        </is>
      </c>
      <c r="Z415" t="inlineStr">
        <is>
          <t>1991-10-16</t>
        </is>
      </c>
      <c r="AA415" t="n">
        <v>531</v>
      </c>
      <c r="AB415" t="n">
        <v>500</v>
      </c>
      <c r="AC415" t="n">
        <v>766</v>
      </c>
      <c r="AD415" t="n">
        <v>6</v>
      </c>
      <c r="AE415" t="n">
        <v>8</v>
      </c>
      <c r="AF415" t="n">
        <v>13</v>
      </c>
      <c r="AG415" t="n">
        <v>19</v>
      </c>
      <c r="AH415" t="n">
        <v>3</v>
      </c>
      <c r="AI415" t="n">
        <v>6</v>
      </c>
      <c r="AJ415" t="n">
        <v>3</v>
      </c>
      <c r="AK415" t="n">
        <v>3</v>
      </c>
      <c r="AL415" t="n">
        <v>7</v>
      </c>
      <c r="AM415" t="n">
        <v>10</v>
      </c>
      <c r="AN415" t="n">
        <v>4</v>
      </c>
      <c r="AO415" t="n">
        <v>5</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HYPERLINK("https://creighton-primo.hosted.exlibrisgroup.com/primo-explore/search?tab=default_tab&amp;search_scope=EVERYTHING&amp;vid=01CRU&amp;lang=en_US&amp;offset=0&amp;query=any,contains,991001833269702656","Catalog Record")</f>
        <v/>
      </c>
      <c r="AV415">
        <f>HYPERLINK("http://www.worldcat.org/oclc/22908970","WorldCat Record")</f>
        <v/>
      </c>
      <c r="AW415" t="inlineStr">
        <is>
          <t>5164281448:eng</t>
        </is>
      </c>
      <c r="AX415" t="inlineStr">
        <is>
          <t>22908970</t>
        </is>
      </c>
      <c r="AY415" t="inlineStr">
        <is>
          <t>991001833269702656</t>
        </is>
      </c>
      <c r="AZ415" t="inlineStr">
        <is>
          <t>991001833269702656</t>
        </is>
      </c>
      <c r="BA415" t="inlineStr">
        <is>
          <t>2264348860002656</t>
        </is>
      </c>
      <c r="BB415" t="inlineStr">
        <is>
          <t>BOOK</t>
        </is>
      </c>
      <c r="BD415" t="inlineStr">
        <is>
          <t>9780312036874</t>
        </is>
      </c>
      <c r="BE415" t="inlineStr">
        <is>
          <t>32285000726199</t>
        </is>
      </c>
      <c r="BF415" t="inlineStr">
        <is>
          <t>893509996</t>
        </is>
      </c>
    </row>
    <row r="416">
      <c r="B416" t="inlineStr">
        <is>
          <t>CURAL</t>
        </is>
      </c>
      <c r="C416" t="inlineStr">
        <is>
          <t>SHELVES</t>
        </is>
      </c>
      <c r="D416" t="inlineStr">
        <is>
          <t>CT3260 .S35 2005</t>
        </is>
      </c>
      <c r="E416" t="inlineStr">
        <is>
          <t>0                      CT 3260000S  35          2005</t>
        </is>
      </c>
      <c r="F416" t="inlineStr">
        <is>
          <t>Lighting the way : nine women who changed modern America / Karenna Gore Schiff.</t>
        </is>
      </c>
      <c r="H416" t="inlineStr">
        <is>
          <t>No</t>
        </is>
      </c>
      <c r="I416" t="inlineStr">
        <is>
          <t>1</t>
        </is>
      </c>
      <c r="J416" t="inlineStr">
        <is>
          <t>No</t>
        </is>
      </c>
      <c r="K416" t="inlineStr">
        <is>
          <t>No</t>
        </is>
      </c>
      <c r="L416" t="inlineStr">
        <is>
          <t>0</t>
        </is>
      </c>
      <c r="M416" t="inlineStr">
        <is>
          <t>Schiff, Karenna Gore.</t>
        </is>
      </c>
      <c r="N416" t="inlineStr">
        <is>
          <t>New York : Miramax Books/Hyperion, c2005.</t>
        </is>
      </c>
      <c r="O416" t="inlineStr">
        <is>
          <t>2005</t>
        </is>
      </c>
      <c r="P416" t="inlineStr">
        <is>
          <t>1st ed.</t>
        </is>
      </c>
      <c r="Q416" t="inlineStr">
        <is>
          <t>eng</t>
        </is>
      </c>
      <c r="R416" t="inlineStr">
        <is>
          <t>nyu</t>
        </is>
      </c>
      <c r="T416" t="inlineStr">
        <is>
          <t xml:space="preserve">CT </t>
        </is>
      </c>
      <c r="U416" t="n">
        <v>2</v>
      </c>
      <c r="V416" t="n">
        <v>2</v>
      </c>
      <c r="W416" t="inlineStr">
        <is>
          <t>2006-03-24</t>
        </is>
      </c>
      <c r="X416" t="inlineStr">
        <is>
          <t>2006-03-24</t>
        </is>
      </c>
      <c r="Y416" t="inlineStr">
        <is>
          <t>2006-02-07</t>
        </is>
      </c>
      <c r="Z416" t="inlineStr">
        <is>
          <t>2006-02-07</t>
        </is>
      </c>
      <c r="AA416" t="n">
        <v>1284</v>
      </c>
      <c r="AB416" t="n">
        <v>1257</v>
      </c>
      <c r="AC416" t="n">
        <v>1384</v>
      </c>
      <c r="AD416" t="n">
        <v>11</v>
      </c>
      <c r="AE416" t="n">
        <v>12</v>
      </c>
      <c r="AF416" t="n">
        <v>26</v>
      </c>
      <c r="AG416" t="n">
        <v>26</v>
      </c>
      <c r="AH416" t="n">
        <v>10</v>
      </c>
      <c r="AI416" t="n">
        <v>10</v>
      </c>
      <c r="AJ416" t="n">
        <v>6</v>
      </c>
      <c r="AK416" t="n">
        <v>6</v>
      </c>
      <c r="AL416" t="n">
        <v>13</v>
      </c>
      <c r="AM416" t="n">
        <v>13</v>
      </c>
      <c r="AN416" t="n">
        <v>4</v>
      </c>
      <c r="AO416" t="n">
        <v>4</v>
      </c>
      <c r="AP416" t="n">
        <v>0</v>
      </c>
      <c r="AQ416" t="n">
        <v>0</v>
      </c>
      <c r="AR416" t="inlineStr">
        <is>
          <t>No</t>
        </is>
      </c>
      <c r="AS416" t="inlineStr">
        <is>
          <t>Yes</t>
        </is>
      </c>
      <c r="AT416">
        <f>HYPERLINK("http://catalog.hathitrust.org/Record/005120040","HathiTrust Record")</f>
        <v/>
      </c>
      <c r="AU416">
        <f>HYPERLINK("https://creighton-primo.hosted.exlibrisgroup.com/primo-explore/search?tab=default_tab&amp;search_scope=EVERYTHING&amp;vid=01CRU&amp;lang=en_US&amp;offset=0&amp;query=any,contains,991004721969702656","Catalog Record")</f>
        <v/>
      </c>
      <c r="AV416">
        <f>HYPERLINK("http://www.worldcat.org/oclc/62302578","WorldCat Record")</f>
        <v/>
      </c>
      <c r="AW416" t="inlineStr">
        <is>
          <t>196140296:eng</t>
        </is>
      </c>
      <c r="AX416" t="inlineStr">
        <is>
          <t>62302578</t>
        </is>
      </c>
      <c r="AY416" t="inlineStr">
        <is>
          <t>991004721969702656</t>
        </is>
      </c>
      <c r="AZ416" t="inlineStr">
        <is>
          <t>991004721969702656</t>
        </is>
      </c>
      <c r="BA416" t="inlineStr">
        <is>
          <t>2259630310002656</t>
        </is>
      </c>
      <c r="BB416" t="inlineStr">
        <is>
          <t>BOOK</t>
        </is>
      </c>
      <c r="BD416" t="inlineStr">
        <is>
          <t>9781401352189</t>
        </is>
      </c>
      <c r="BE416" t="inlineStr">
        <is>
          <t>32285005157549</t>
        </is>
      </c>
      <c r="BF416" t="inlineStr">
        <is>
          <t>893606387</t>
        </is>
      </c>
    </row>
    <row r="417">
      <c r="B417" t="inlineStr">
        <is>
          <t>CURAL</t>
        </is>
      </c>
      <c r="C417" t="inlineStr">
        <is>
          <t>SHELVES</t>
        </is>
      </c>
      <c r="D417" t="inlineStr">
        <is>
          <t>CT3260 .W664 1988</t>
        </is>
      </c>
      <c r="E417" t="inlineStr">
        <is>
          <t>0                      CT 3260000W  664         1988</t>
        </is>
      </c>
      <c r="F417" t="inlineStr">
        <is>
          <t>Women in North America ; summaries of biographical articles in history journals / Pamela R. Byrne and Susan K. Kinnell, editors.</t>
        </is>
      </c>
      <c r="H417" t="inlineStr">
        <is>
          <t>No</t>
        </is>
      </c>
      <c r="I417" t="inlineStr">
        <is>
          <t>1</t>
        </is>
      </c>
      <c r="J417" t="inlineStr">
        <is>
          <t>No</t>
        </is>
      </c>
      <c r="K417" t="inlineStr">
        <is>
          <t>No</t>
        </is>
      </c>
      <c r="L417" t="inlineStr">
        <is>
          <t>0</t>
        </is>
      </c>
      <c r="N417" t="inlineStr">
        <is>
          <t>Santa Barbara, Calif. : ABC-CLIO, c1988.</t>
        </is>
      </c>
      <c r="O417" t="inlineStr">
        <is>
          <t>1988</t>
        </is>
      </c>
      <c r="Q417" t="inlineStr">
        <is>
          <t>eng</t>
        </is>
      </c>
      <c r="R417" t="inlineStr">
        <is>
          <t>cau</t>
        </is>
      </c>
      <c r="S417" t="inlineStr">
        <is>
          <t>People in history series</t>
        </is>
      </c>
      <c r="T417" t="inlineStr">
        <is>
          <t xml:space="preserve">CT </t>
        </is>
      </c>
      <c r="U417" t="n">
        <v>2</v>
      </c>
      <c r="V417" t="n">
        <v>2</v>
      </c>
      <c r="W417" t="inlineStr">
        <is>
          <t>1996-11-11</t>
        </is>
      </c>
      <c r="X417" t="inlineStr">
        <is>
          <t>1996-11-11</t>
        </is>
      </c>
      <c r="Y417" t="inlineStr">
        <is>
          <t>1990-11-09</t>
        </is>
      </c>
      <c r="Z417" t="inlineStr">
        <is>
          <t>1990-11-09</t>
        </is>
      </c>
      <c r="AA417" t="n">
        <v>239</v>
      </c>
      <c r="AB417" t="n">
        <v>217</v>
      </c>
      <c r="AC417" t="n">
        <v>218</v>
      </c>
      <c r="AD417" t="n">
        <v>4</v>
      </c>
      <c r="AE417" t="n">
        <v>4</v>
      </c>
      <c r="AF417" t="n">
        <v>11</v>
      </c>
      <c r="AG417" t="n">
        <v>11</v>
      </c>
      <c r="AH417" t="n">
        <v>3</v>
      </c>
      <c r="AI417" t="n">
        <v>3</v>
      </c>
      <c r="AJ417" t="n">
        <v>1</v>
      </c>
      <c r="AK417" t="n">
        <v>1</v>
      </c>
      <c r="AL417" t="n">
        <v>6</v>
      </c>
      <c r="AM417" t="n">
        <v>6</v>
      </c>
      <c r="AN417" t="n">
        <v>3</v>
      </c>
      <c r="AO417" t="n">
        <v>3</v>
      </c>
      <c r="AP417" t="n">
        <v>0</v>
      </c>
      <c r="AQ417" t="n">
        <v>0</v>
      </c>
      <c r="AR417" t="inlineStr">
        <is>
          <t>No</t>
        </is>
      </c>
      <c r="AS417" t="inlineStr">
        <is>
          <t>Yes</t>
        </is>
      </c>
      <c r="AT417">
        <f>HYPERLINK("http://catalog.hathitrust.org/Record/006676832","HathiTrust Record")</f>
        <v/>
      </c>
      <c r="AU417">
        <f>HYPERLINK("https://creighton-primo.hosted.exlibrisgroup.com/primo-explore/search?tab=default_tab&amp;search_scope=EVERYTHING&amp;vid=01CRU&amp;lang=en_US&amp;offset=0&amp;query=any,contains,991001241009702656","Catalog Record")</f>
        <v/>
      </c>
      <c r="AV417">
        <f>HYPERLINK("http://www.worldcat.org/oclc/17619650","WorldCat Record")</f>
        <v/>
      </c>
      <c r="AW417" t="inlineStr">
        <is>
          <t>365844378:eng</t>
        </is>
      </c>
      <c r="AX417" t="inlineStr">
        <is>
          <t>17619650</t>
        </is>
      </c>
      <c r="AY417" t="inlineStr">
        <is>
          <t>991001241009702656</t>
        </is>
      </c>
      <c r="AZ417" t="inlineStr">
        <is>
          <t>991001241009702656</t>
        </is>
      </c>
      <c r="BA417" t="inlineStr">
        <is>
          <t>2257657240002656</t>
        </is>
      </c>
      <c r="BB417" t="inlineStr">
        <is>
          <t>BOOK</t>
        </is>
      </c>
      <c r="BD417" t="inlineStr">
        <is>
          <t>9780874365375</t>
        </is>
      </c>
      <c r="BE417" t="inlineStr">
        <is>
          <t>32285000314558</t>
        </is>
      </c>
      <c r="BF417" t="inlineStr">
        <is>
          <t>893503236</t>
        </is>
      </c>
    </row>
    <row r="418">
      <c r="B418" t="inlineStr">
        <is>
          <t>CURAL</t>
        </is>
      </c>
      <c r="C418" t="inlineStr">
        <is>
          <t>SHELVES</t>
        </is>
      </c>
      <c r="D418" t="inlineStr">
        <is>
          <t>CT3262.W37 P67 2005</t>
        </is>
      </c>
      <c r="E418" t="inlineStr">
        <is>
          <t>0                      CT 3262000W  37                 P  67          2005</t>
        </is>
      </c>
      <c r="F418" t="inlineStr">
        <is>
          <t>Portraits of women in the American West / edited by Dee Garceau-Hagen.</t>
        </is>
      </c>
      <c r="H418" t="inlineStr">
        <is>
          <t>No</t>
        </is>
      </c>
      <c r="I418" t="inlineStr">
        <is>
          <t>1</t>
        </is>
      </c>
      <c r="J418" t="inlineStr">
        <is>
          <t>No</t>
        </is>
      </c>
      <c r="K418" t="inlineStr">
        <is>
          <t>No</t>
        </is>
      </c>
      <c r="L418" t="inlineStr">
        <is>
          <t>0</t>
        </is>
      </c>
      <c r="N418" t="inlineStr">
        <is>
          <t>New York : Routledge, 2005.</t>
        </is>
      </c>
      <c r="O418" t="inlineStr">
        <is>
          <t>2005</t>
        </is>
      </c>
      <c r="Q418" t="inlineStr">
        <is>
          <t>eng</t>
        </is>
      </c>
      <c r="R418" t="inlineStr">
        <is>
          <t>nyu</t>
        </is>
      </c>
      <c r="T418" t="inlineStr">
        <is>
          <t xml:space="preserve">CT </t>
        </is>
      </c>
      <c r="U418" t="n">
        <v>1</v>
      </c>
      <c r="V418" t="n">
        <v>1</v>
      </c>
      <c r="W418" t="inlineStr">
        <is>
          <t>2006-02-21</t>
        </is>
      </c>
      <c r="X418" t="inlineStr">
        <is>
          <t>2006-02-21</t>
        </is>
      </c>
      <c r="Y418" t="inlineStr">
        <is>
          <t>2006-02-21</t>
        </is>
      </c>
      <c r="Z418" t="inlineStr">
        <is>
          <t>2006-02-21</t>
        </is>
      </c>
      <c r="AA418" t="n">
        <v>285</v>
      </c>
      <c r="AB418" t="n">
        <v>252</v>
      </c>
      <c r="AC418" t="n">
        <v>280</v>
      </c>
      <c r="AD418" t="n">
        <v>3</v>
      </c>
      <c r="AE418" t="n">
        <v>3</v>
      </c>
      <c r="AF418" t="n">
        <v>13</v>
      </c>
      <c r="AG418" t="n">
        <v>13</v>
      </c>
      <c r="AH418" t="n">
        <v>5</v>
      </c>
      <c r="AI418" t="n">
        <v>5</v>
      </c>
      <c r="AJ418" t="n">
        <v>5</v>
      </c>
      <c r="AK418" t="n">
        <v>5</v>
      </c>
      <c r="AL418" t="n">
        <v>6</v>
      </c>
      <c r="AM418" t="n">
        <v>6</v>
      </c>
      <c r="AN418" t="n">
        <v>1</v>
      </c>
      <c r="AO418" t="n">
        <v>1</v>
      </c>
      <c r="AP418" t="n">
        <v>0</v>
      </c>
      <c r="AQ418" t="n">
        <v>0</v>
      </c>
      <c r="AR418" t="inlineStr">
        <is>
          <t>No</t>
        </is>
      </c>
      <c r="AS418" t="inlineStr">
        <is>
          <t>No</t>
        </is>
      </c>
      <c r="AU418">
        <f>HYPERLINK("https://creighton-primo.hosted.exlibrisgroup.com/primo-explore/search?tab=default_tab&amp;search_scope=EVERYTHING&amp;vid=01CRU&amp;lang=en_US&amp;offset=0&amp;query=any,contains,991004715029702656","Catalog Record")</f>
        <v/>
      </c>
      <c r="AV418">
        <f>HYPERLINK("http://www.worldcat.org/oclc/57626180","WorldCat Record")</f>
        <v/>
      </c>
      <c r="AW418" t="inlineStr">
        <is>
          <t>57134763:eng</t>
        </is>
      </c>
      <c r="AX418" t="inlineStr">
        <is>
          <t>57626180</t>
        </is>
      </c>
      <c r="AY418" t="inlineStr">
        <is>
          <t>991004715029702656</t>
        </is>
      </c>
      <c r="AZ418" t="inlineStr">
        <is>
          <t>991004715029702656</t>
        </is>
      </c>
      <c r="BA418" t="inlineStr">
        <is>
          <t>2266777450002656</t>
        </is>
      </c>
      <c r="BB418" t="inlineStr">
        <is>
          <t>BOOK</t>
        </is>
      </c>
      <c r="BD418" t="inlineStr">
        <is>
          <t>9780415948029</t>
        </is>
      </c>
      <c r="BE418" t="inlineStr">
        <is>
          <t>32285005159347</t>
        </is>
      </c>
      <c r="BF418" t="inlineStr">
        <is>
          <t>893776356</t>
        </is>
      </c>
    </row>
    <row r="419">
      <c r="B419" t="inlineStr">
        <is>
          <t>CURAL</t>
        </is>
      </c>
      <c r="C419" t="inlineStr">
        <is>
          <t>SHELVES</t>
        </is>
      </c>
      <c r="D419" t="inlineStr">
        <is>
          <t>CT3290 .B67 1980</t>
        </is>
      </c>
      <c r="E419" t="inlineStr">
        <is>
          <t>0                      CT 3290000B  67          1980</t>
        </is>
      </c>
      <c r="F419" t="inlineStr">
        <is>
          <t>Mujeres de sol y fuego / Julio Borges Rosales.</t>
        </is>
      </c>
      <c r="H419" t="inlineStr">
        <is>
          <t>No</t>
        </is>
      </c>
      <c r="I419" t="inlineStr">
        <is>
          <t>1</t>
        </is>
      </c>
      <c r="J419" t="inlineStr">
        <is>
          <t>No</t>
        </is>
      </c>
      <c r="K419" t="inlineStr">
        <is>
          <t>No</t>
        </is>
      </c>
      <c r="L419" t="inlineStr">
        <is>
          <t>0</t>
        </is>
      </c>
      <c r="M419" t="inlineStr">
        <is>
          <t>Borges Rosales, Julio, 1938-</t>
        </is>
      </c>
      <c r="N419" t="inlineStr">
        <is>
          <t>[Venezuela] : Imprenta del Estado, [1980?]</t>
        </is>
      </c>
      <c r="O419" t="inlineStr">
        <is>
          <t>1980</t>
        </is>
      </c>
      <c r="Q419" t="inlineStr">
        <is>
          <t>spa</t>
        </is>
      </c>
      <c r="R419" t="inlineStr">
        <is>
          <t xml:space="preserve">ve </t>
        </is>
      </c>
      <c r="T419" t="inlineStr">
        <is>
          <t xml:space="preserve">CT </t>
        </is>
      </c>
      <c r="U419" t="n">
        <v>1</v>
      </c>
      <c r="V419" t="n">
        <v>1</v>
      </c>
      <c r="W419" t="inlineStr">
        <is>
          <t>2002-08-20</t>
        </is>
      </c>
      <c r="X419" t="inlineStr">
        <is>
          <t>2002-08-20</t>
        </is>
      </c>
      <c r="Y419" t="inlineStr">
        <is>
          <t>2002-08-13</t>
        </is>
      </c>
      <c r="Z419" t="inlineStr">
        <is>
          <t>2002-08-13</t>
        </is>
      </c>
      <c r="AA419" t="n">
        <v>1</v>
      </c>
      <c r="AB419" t="n">
        <v>1</v>
      </c>
      <c r="AC419" t="n">
        <v>1</v>
      </c>
      <c r="AD419" t="n">
        <v>1</v>
      </c>
      <c r="AE419" t="n">
        <v>1</v>
      </c>
      <c r="AF419" t="n">
        <v>0</v>
      </c>
      <c r="AG419" t="n">
        <v>0</v>
      </c>
      <c r="AH419" t="n">
        <v>0</v>
      </c>
      <c r="AI419" t="n">
        <v>0</v>
      </c>
      <c r="AJ419" t="n">
        <v>0</v>
      </c>
      <c r="AK419" t="n">
        <v>0</v>
      </c>
      <c r="AL419" t="n">
        <v>0</v>
      </c>
      <c r="AM419" t="n">
        <v>0</v>
      </c>
      <c r="AN419" t="n">
        <v>0</v>
      </c>
      <c r="AO419" t="n">
        <v>0</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HYPERLINK("https://creighton-primo.hosted.exlibrisgroup.com/primo-explore/search?tab=default_tab&amp;search_scope=EVERYTHING&amp;vid=01CRU&amp;lang=en_US&amp;offset=0&amp;query=any,contains,991003858359702656","Catalog Record")</f>
        <v/>
      </c>
      <c r="AV419">
        <f>HYPERLINK("http://www.worldcat.org/oclc/50335032","WorldCat Record")</f>
        <v/>
      </c>
      <c r="AW419" t="inlineStr">
        <is>
          <t>6460331:spa</t>
        </is>
      </c>
      <c r="AX419" t="inlineStr">
        <is>
          <t>50335032</t>
        </is>
      </c>
      <c r="AY419" t="inlineStr">
        <is>
          <t>991003858359702656</t>
        </is>
      </c>
      <c r="AZ419" t="inlineStr">
        <is>
          <t>991003858359702656</t>
        </is>
      </c>
      <c r="BA419" t="inlineStr">
        <is>
          <t>2257766840002656</t>
        </is>
      </c>
      <c r="BB419" t="inlineStr">
        <is>
          <t>BOOK</t>
        </is>
      </c>
      <c r="BE419" t="inlineStr">
        <is>
          <t>32285004630496</t>
        </is>
      </c>
      <c r="BF419" t="inlineStr">
        <is>
          <t>893343113</t>
        </is>
      </c>
    </row>
    <row r="420">
      <c r="B420" t="inlineStr">
        <is>
          <t>CURAL</t>
        </is>
      </c>
      <c r="C420" t="inlineStr">
        <is>
          <t>SHELVES</t>
        </is>
      </c>
      <c r="D420" t="inlineStr">
        <is>
          <t>CT3290 .H46</t>
        </is>
      </c>
      <c r="E420" t="inlineStr">
        <is>
          <t>0                      CT 3290000H  46</t>
        </is>
      </c>
      <c r="F420" t="inlineStr">
        <is>
          <t>Ten notable women of Latin America / James D. Henderson, Linda Roddy Henderson ; ill. and maps by Edwin Pinkston.</t>
        </is>
      </c>
      <c r="H420" t="inlineStr">
        <is>
          <t>No</t>
        </is>
      </c>
      <c r="I420" t="inlineStr">
        <is>
          <t>1</t>
        </is>
      </c>
      <c r="J420" t="inlineStr">
        <is>
          <t>No</t>
        </is>
      </c>
      <c r="K420" t="inlineStr">
        <is>
          <t>No</t>
        </is>
      </c>
      <c r="L420" t="inlineStr">
        <is>
          <t>0</t>
        </is>
      </c>
      <c r="M420" t="inlineStr">
        <is>
          <t>Henderson, James D., 1942-</t>
        </is>
      </c>
      <c r="N420" t="inlineStr">
        <is>
          <t>Chicago : Nelson-Hall, 1978.</t>
        </is>
      </c>
      <c r="O420" t="inlineStr">
        <is>
          <t>1978</t>
        </is>
      </c>
      <c r="Q420" t="inlineStr">
        <is>
          <t>eng</t>
        </is>
      </c>
      <c r="R420" t="inlineStr">
        <is>
          <t>ilu</t>
        </is>
      </c>
      <c r="T420" t="inlineStr">
        <is>
          <t xml:space="preserve">CT </t>
        </is>
      </c>
      <c r="U420" t="n">
        <v>1</v>
      </c>
      <c r="V420" t="n">
        <v>1</v>
      </c>
      <c r="W420" t="inlineStr">
        <is>
          <t>1995-03-07</t>
        </is>
      </c>
      <c r="X420" t="inlineStr">
        <is>
          <t>1995-03-07</t>
        </is>
      </c>
      <c r="Y420" t="inlineStr">
        <is>
          <t>1992-06-10</t>
        </is>
      </c>
      <c r="Z420" t="inlineStr">
        <is>
          <t>1992-06-10</t>
        </is>
      </c>
      <c r="AA420" t="n">
        <v>562</v>
      </c>
      <c r="AB420" t="n">
        <v>537</v>
      </c>
      <c r="AC420" t="n">
        <v>544</v>
      </c>
      <c r="AD420" t="n">
        <v>3</v>
      </c>
      <c r="AE420" t="n">
        <v>3</v>
      </c>
      <c r="AF420" t="n">
        <v>18</v>
      </c>
      <c r="AG420" t="n">
        <v>18</v>
      </c>
      <c r="AH420" t="n">
        <v>4</v>
      </c>
      <c r="AI420" t="n">
        <v>4</v>
      </c>
      <c r="AJ420" t="n">
        <v>4</v>
      </c>
      <c r="AK420" t="n">
        <v>4</v>
      </c>
      <c r="AL420" t="n">
        <v>10</v>
      </c>
      <c r="AM420" t="n">
        <v>10</v>
      </c>
      <c r="AN420" t="n">
        <v>2</v>
      </c>
      <c r="AO420" t="n">
        <v>2</v>
      </c>
      <c r="AP420" t="n">
        <v>1</v>
      </c>
      <c r="AQ420" t="n">
        <v>1</v>
      </c>
      <c r="AR420" t="inlineStr">
        <is>
          <t>No</t>
        </is>
      </c>
      <c r="AS420" t="inlineStr">
        <is>
          <t>Yes</t>
        </is>
      </c>
      <c r="AT420">
        <f>HYPERLINK("http://catalog.hathitrust.org/Record/000178941","HathiTrust Record")</f>
        <v/>
      </c>
      <c r="AU420">
        <f>HYPERLINK("https://creighton-primo.hosted.exlibrisgroup.com/primo-explore/search?tab=default_tab&amp;search_scope=EVERYTHING&amp;vid=01CRU&amp;lang=en_US&amp;offset=0&amp;query=any,contains,991004584269702656","Catalog Record")</f>
        <v/>
      </c>
      <c r="AV420">
        <f>HYPERLINK("http://www.worldcat.org/oclc/4076693","WorldCat Record")</f>
        <v/>
      </c>
      <c r="AW420" t="inlineStr">
        <is>
          <t>541547:eng</t>
        </is>
      </c>
      <c r="AX420" t="inlineStr">
        <is>
          <t>4076693</t>
        </is>
      </c>
      <c r="AY420" t="inlineStr">
        <is>
          <t>991004584269702656</t>
        </is>
      </c>
      <c r="AZ420" t="inlineStr">
        <is>
          <t>991004584269702656</t>
        </is>
      </c>
      <c r="BA420" t="inlineStr">
        <is>
          <t>2262977050002656</t>
        </is>
      </c>
      <c r="BB420" t="inlineStr">
        <is>
          <t>BOOK</t>
        </is>
      </c>
      <c r="BD420" t="inlineStr">
        <is>
          <t>9780882294261</t>
        </is>
      </c>
      <c r="BE420" t="inlineStr">
        <is>
          <t>32285001166304</t>
        </is>
      </c>
      <c r="BF420" t="inlineStr">
        <is>
          <t>893628246</t>
        </is>
      </c>
    </row>
    <row r="421">
      <c r="B421" t="inlineStr">
        <is>
          <t>CURAL</t>
        </is>
      </c>
      <c r="C421" t="inlineStr">
        <is>
          <t>SHELVES</t>
        </is>
      </c>
      <c r="D421" t="inlineStr">
        <is>
          <t>CT3320 .F57 2005</t>
        </is>
      </c>
      <c r="E421" t="inlineStr">
        <is>
          <t>0                      CT 3320000F  57          2005</t>
        </is>
      </c>
      <c r="F421" t="inlineStr">
        <is>
          <t>A circle of sisters : Alice Kipling, Georgiana Burne-Jones, Agnes Poynter and Louisa Baldwin / Judith Flanders.</t>
        </is>
      </c>
      <c r="H421" t="inlineStr">
        <is>
          <t>No</t>
        </is>
      </c>
      <c r="I421" t="inlineStr">
        <is>
          <t>1</t>
        </is>
      </c>
      <c r="J421" t="inlineStr">
        <is>
          <t>No</t>
        </is>
      </c>
      <c r="K421" t="inlineStr">
        <is>
          <t>No</t>
        </is>
      </c>
      <c r="L421" t="inlineStr">
        <is>
          <t>0</t>
        </is>
      </c>
      <c r="M421" t="inlineStr">
        <is>
          <t>Flanders, Judith.</t>
        </is>
      </c>
      <c r="N421" t="inlineStr">
        <is>
          <t>New York : W.W. Norton &amp; Co., 2005.</t>
        </is>
      </c>
      <c r="O421" t="inlineStr">
        <is>
          <t>2005</t>
        </is>
      </c>
      <c r="P421" t="inlineStr">
        <is>
          <t>1st American ed.</t>
        </is>
      </c>
      <c r="Q421" t="inlineStr">
        <is>
          <t>eng</t>
        </is>
      </c>
      <c r="R421" t="inlineStr">
        <is>
          <t>nyu</t>
        </is>
      </c>
      <c r="T421" t="inlineStr">
        <is>
          <t xml:space="preserve">CT </t>
        </is>
      </c>
      <c r="U421" t="n">
        <v>2</v>
      </c>
      <c r="V421" t="n">
        <v>2</v>
      </c>
      <c r="W421" t="inlineStr">
        <is>
          <t>2005-04-04</t>
        </is>
      </c>
      <c r="X421" t="inlineStr">
        <is>
          <t>2005-04-04</t>
        </is>
      </c>
      <c r="Y421" t="inlineStr">
        <is>
          <t>2005-04-04</t>
        </is>
      </c>
      <c r="Z421" t="inlineStr">
        <is>
          <t>2005-04-04</t>
        </is>
      </c>
      <c r="AA421" t="n">
        <v>539</v>
      </c>
      <c r="AB421" t="n">
        <v>521</v>
      </c>
      <c r="AC421" t="n">
        <v>587</v>
      </c>
      <c r="AD421" t="n">
        <v>1</v>
      </c>
      <c r="AE421" t="n">
        <v>1</v>
      </c>
      <c r="AF421" t="n">
        <v>5</v>
      </c>
      <c r="AG421" t="n">
        <v>6</v>
      </c>
      <c r="AH421" t="n">
        <v>2</v>
      </c>
      <c r="AI421" t="n">
        <v>2</v>
      </c>
      <c r="AJ421" t="n">
        <v>0</v>
      </c>
      <c r="AK421" t="n">
        <v>1</v>
      </c>
      <c r="AL421" t="n">
        <v>4</v>
      </c>
      <c r="AM421" t="n">
        <v>5</v>
      </c>
      <c r="AN421" t="n">
        <v>0</v>
      </c>
      <c r="AO421" t="n">
        <v>0</v>
      </c>
      <c r="AP421" t="n">
        <v>0</v>
      </c>
      <c r="AQ421" t="n">
        <v>0</v>
      </c>
      <c r="AR421" t="inlineStr">
        <is>
          <t>No</t>
        </is>
      </c>
      <c r="AS421" t="inlineStr">
        <is>
          <t>No</t>
        </is>
      </c>
      <c r="AU421">
        <f>HYPERLINK("https://creighton-primo.hosted.exlibrisgroup.com/primo-explore/search?tab=default_tab&amp;search_scope=EVERYTHING&amp;vid=01CRU&amp;lang=en_US&amp;offset=0&amp;query=any,contains,991004486199702656","Catalog Record")</f>
        <v/>
      </c>
      <c r="AV421">
        <f>HYPERLINK("http://www.worldcat.org/oclc/57366078","WorldCat Record")</f>
        <v/>
      </c>
      <c r="AW421" t="inlineStr">
        <is>
          <t>8279:eng</t>
        </is>
      </c>
      <c r="AX421" t="inlineStr">
        <is>
          <t>57366078</t>
        </is>
      </c>
      <c r="AY421" t="inlineStr">
        <is>
          <t>991004486199702656</t>
        </is>
      </c>
      <c r="AZ421" t="inlineStr">
        <is>
          <t>991004486199702656</t>
        </is>
      </c>
      <c r="BA421" t="inlineStr">
        <is>
          <t>2265303570002656</t>
        </is>
      </c>
      <c r="BB421" t="inlineStr">
        <is>
          <t>BOOK</t>
        </is>
      </c>
      <c r="BD421" t="inlineStr">
        <is>
          <t>9780393052107</t>
        </is>
      </c>
      <c r="BE421" t="inlineStr">
        <is>
          <t>32285005047047</t>
        </is>
      </c>
      <c r="BF421" t="inlineStr">
        <is>
          <t>893241495</t>
        </is>
      </c>
    </row>
    <row r="422">
      <c r="B422" t="inlineStr">
        <is>
          <t>CURAL</t>
        </is>
      </c>
      <c r="C422" t="inlineStr">
        <is>
          <t>SHELVES</t>
        </is>
      </c>
      <c r="D422" t="inlineStr">
        <is>
          <t>CT3710 .C485 2002</t>
        </is>
      </c>
      <c r="E422" t="inlineStr">
        <is>
          <t>0                      CT 3710000C  485         2002</t>
        </is>
      </c>
      <c r="F422" t="inlineStr">
        <is>
          <t>Four sisters of Hofei : a history / Annping Chin.</t>
        </is>
      </c>
      <c r="H422" t="inlineStr">
        <is>
          <t>No</t>
        </is>
      </c>
      <c r="I422" t="inlineStr">
        <is>
          <t>1</t>
        </is>
      </c>
      <c r="J422" t="inlineStr">
        <is>
          <t>No</t>
        </is>
      </c>
      <c r="K422" t="inlineStr">
        <is>
          <t>No</t>
        </is>
      </c>
      <c r="L422" t="inlineStr">
        <is>
          <t>0</t>
        </is>
      </c>
      <c r="M422" t="inlineStr">
        <is>
          <t>Chin, Ann-ping, 1950-</t>
        </is>
      </c>
      <c r="N422" t="inlineStr">
        <is>
          <t>New York : Scribner, 2002.</t>
        </is>
      </c>
      <c r="O422" t="inlineStr">
        <is>
          <t>2002</t>
        </is>
      </c>
      <c r="Q422" t="inlineStr">
        <is>
          <t>eng</t>
        </is>
      </c>
      <c r="R422" t="inlineStr">
        <is>
          <t>nyu</t>
        </is>
      </c>
      <c r="T422" t="inlineStr">
        <is>
          <t xml:space="preserve">CT </t>
        </is>
      </c>
      <c r="U422" t="n">
        <v>1</v>
      </c>
      <c r="V422" t="n">
        <v>1</v>
      </c>
      <c r="W422" t="inlineStr">
        <is>
          <t>2002-10-21</t>
        </is>
      </c>
      <c r="X422" t="inlineStr">
        <is>
          <t>2002-10-21</t>
        </is>
      </c>
      <c r="Y422" t="inlineStr">
        <is>
          <t>2002-10-21</t>
        </is>
      </c>
      <c r="Z422" t="inlineStr">
        <is>
          <t>2002-10-21</t>
        </is>
      </c>
      <c r="AA422" t="n">
        <v>405</v>
      </c>
      <c r="AB422" t="n">
        <v>388</v>
      </c>
      <c r="AC422" t="n">
        <v>512</v>
      </c>
      <c r="AD422" t="n">
        <v>3</v>
      </c>
      <c r="AE422" t="n">
        <v>4</v>
      </c>
      <c r="AF422" t="n">
        <v>9</v>
      </c>
      <c r="AG422" t="n">
        <v>12</v>
      </c>
      <c r="AH422" t="n">
        <v>3</v>
      </c>
      <c r="AI422" t="n">
        <v>3</v>
      </c>
      <c r="AJ422" t="n">
        <v>4</v>
      </c>
      <c r="AK422" t="n">
        <v>5</v>
      </c>
      <c r="AL422" t="n">
        <v>4</v>
      </c>
      <c r="AM422" t="n">
        <v>6</v>
      </c>
      <c r="AN422" t="n">
        <v>1</v>
      </c>
      <c r="AO422" t="n">
        <v>2</v>
      </c>
      <c r="AP422" t="n">
        <v>0</v>
      </c>
      <c r="AQ422" t="n">
        <v>0</v>
      </c>
      <c r="AR422" t="inlineStr">
        <is>
          <t>No</t>
        </is>
      </c>
      <c r="AS422" t="inlineStr">
        <is>
          <t>Yes</t>
        </is>
      </c>
      <c r="AT422">
        <f>HYPERLINK("http://catalog.hathitrust.org/Record/004286284","HathiTrust Record")</f>
        <v/>
      </c>
      <c r="AU422">
        <f>HYPERLINK("https://creighton-primo.hosted.exlibrisgroup.com/primo-explore/search?tab=default_tab&amp;search_scope=EVERYTHING&amp;vid=01CRU&amp;lang=en_US&amp;offset=0&amp;query=any,contains,991003898979702656","Catalog Record")</f>
        <v/>
      </c>
      <c r="AV422">
        <f>HYPERLINK("http://www.worldcat.org/oclc/49901849","WorldCat Record")</f>
        <v/>
      </c>
      <c r="AW422" t="inlineStr">
        <is>
          <t>2287233535:eng</t>
        </is>
      </c>
      <c r="AX422" t="inlineStr">
        <is>
          <t>49901849</t>
        </is>
      </c>
      <c r="AY422" t="inlineStr">
        <is>
          <t>991003898979702656</t>
        </is>
      </c>
      <c r="AZ422" t="inlineStr">
        <is>
          <t>991003898979702656</t>
        </is>
      </c>
      <c r="BA422" t="inlineStr">
        <is>
          <t>2257979070002656</t>
        </is>
      </c>
      <c r="BB422" t="inlineStr">
        <is>
          <t>BOOK</t>
        </is>
      </c>
      <c r="BD422" t="inlineStr">
        <is>
          <t>9780684873770</t>
        </is>
      </c>
      <c r="BE422" t="inlineStr">
        <is>
          <t>32285004656467</t>
        </is>
      </c>
      <c r="BF422" t="inlineStr">
        <is>
          <t>893900538</t>
        </is>
      </c>
    </row>
    <row r="423">
      <c r="B423" t="inlineStr">
        <is>
          <t>CURAL</t>
        </is>
      </c>
      <c r="C423" t="inlineStr">
        <is>
          <t>SHELVES</t>
        </is>
      </c>
      <c r="D423" t="inlineStr">
        <is>
          <t>CT3990.A2 L544 2004</t>
        </is>
      </c>
      <c r="E423" t="inlineStr">
        <is>
          <t>0                      CT 3990000A  2                  L  544         2004</t>
        </is>
      </c>
      <c r="F423" t="inlineStr">
        <is>
          <t>A life of learning : Charles Homer Haskins lecture for 2004 / Peter Gay.</t>
        </is>
      </c>
      <c r="H423" t="inlineStr">
        <is>
          <t>No</t>
        </is>
      </c>
      <c r="I423" t="inlineStr">
        <is>
          <t>1</t>
        </is>
      </c>
      <c r="J423" t="inlineStr">
        <is>
          <t>No</t>
        </is>
      </c>
      <c r="K423" t="inlineStr">
        <is>
          <t>No</t>
        </is>
      </c>
      <c r="L423" t="inlineStr">
        <is>
          <t>0</t>
        </is>
      </c>
      <c r="M423" t="inlineStr">
        <is>
          <t>Gay, Peter, 1923-2015.</t>
        </is>
      </c>
      <c r="N423" t="inlineStr">
        <is>
          <t>New York, NY : American Council of Learned Societies, c2004.</t>
        </is>
      </c>
      <c r="O423" t="inlineStr">
        <is>
          <t>2004</t>
        </is>
      </c>
      <c r="Q423" t="inlineStr">
        <is>
          <t>eng</t>
        </is>
      </c>
      <c r="R423" t="inlineStr">
        <is>
          <t>nyu</t>
        </is>
      </c>
      <c r="S423" t="inlineStr">
        <is>
          <t>ACLS occasional paper, 1041-536X ; no. 58</t>
        </is>
      </c>
      <c r="T423" t="inlineStr">
        <is>
          <t xml:space="preserve">CT </t>
        </is>
      </c>
      <c r="U423" t="n">
        <v>1</v>
      </c>
      <c r="V423" t="n">
        <v>1</v>
      </c>
      <c r="W423" t="inlineStr">
        <is>
          <t>2005-08-09</t>
        </is>
      </c>
      <c r="X423" t="inlineStr">
        <is>
          <t>2005-08-09</t>
        </is>
      </c>
      <c r="Y423" t="inlineStr">
        <is>
          <t>2005-08-09</t>
        </is>
      </c>
      <c r="Z423" t="inlineStr">
        <is>
          <t>2005-08-09</t>
        </is>
      </c>
      <c r="AA423" t="n">
        <v>239</v>
      </c>
      <c r="AB423" t="n">
        <v>231</v>
      </c>
      <c r="AC423" t="n">
        <v>233</v>
      </c>
      <c r="AD423" t="n">
        <v>3</v>
      </c>
      <c r="AE423" t="n">
        <v>3</v>
      </c>
      <c r="AF423" t="n">
        <v>12</v>
      </c>
      <c r="AG423" t="n">
        <v>12</v>
      </c>
      <c r="AH423" t="n">
        <v>3</v>
      </c>
      <c r="AI423" t="n">
        <v>3</v>
      </c>
      <c r="AJ423" t="n">
        <v>3</v>
      </c>
      <c r="AK423" t="n">
        <v>3</v>
      </c>
      <c r="AL423" t="n">
        <v>7</v>
      </c>
      <c r="AM423" t="n">
        <v>7</v>
      </c>
      <c r="AN423" t="n">
        <v>2</v>
      </c>
      <c r="AO423" t="n">
        <v>2</v>
      </c>
      <c r="AP423" t="n">
        <v>0</v>
      </c>
      <c r="AQ423" t="n">
        <v>0</v>
      </c>
      <c r="AR423" t="inlineStr">
        <is>
          <t>No</t>
        </is>
      </c>
      <c r="AS423" t="inlineStr">
        <is>
          <t>Yes</t>
        </is>
      </c>
      <c r="AT423">
        <f>HYPERLINK("http://catalog.hathitrust.org/Record/005081510","HathiTrust Record")</f>
        <v/>
      </c>
      <c r="AU423">
        <f>HYPERLINK("https://creighton-primo.hosted.exlibrisgroup.com/primo-explore/search?tab=default_tab&amp;search_scope=EVERYTHING&amp;vid=01CRU&amp;lang=en_US&amp;offset=0&amp;query=any,contains,991004630149702656","Catalog Record")</f>
        <v/>
      </c>
      <c r="AV423">
        <f>HYPERLINK("http://www.worldcat.org/oclc/61155739","WorldCat Record")</f>
        <v/>
      </c>
      <c r="AW423" t="inlineStr">
        <is>
          <t>865973:eng</t>
        </is>
      </c>
      <c r="AX423" t="inlineStr">
        <is>
          <t>61155739</t>
        </is>
      </c>
      <c r="AY423" t="inlineStr">
        <is>
          <t>991004630149702656</t>
        </is>
      </c>
      <c r="AZ423" t="inlineStr">
        <is>
          <t>991004630149702656</t>
        </is>
      </c>
      <c r="BA423" t="inlineStr">
        <is>
          <t>2265487070002656</t>
        </is>
      </c>
      <c r="BB423" t="inlineStr">
        <is>
          <t>BOOK</t>
        </is>
      </c>
      <c r="BE423" t="inlineStr">
        <is>
          <t>32285005099428</t>
        </is>
      </c>
      <c r="BF423" t="inlineStr">
        <is>
          <t>893513483</t>
        </is>
      </c>
    </row>
    <row r="424">
      <c r="B424" t="inlineStr">
        <is>
          <t>CURAL</t>
        </is>
      </c>
      <c r="C424" t="inlineStr">
        <is>
          <t>SHELVES</t>
        </is>
      </c>
      <c r="D424" t="inlineStr">
        <is>
          <t>CT3990.A2 S55 1997</t>
        </is>
      </c>
      <c r="E424" t="inlineStr">
        <is>
          <t>0                      CT 3990000A  2                  S  55          1997</t>
        </is>
      </c>
      <c r="F424" t="inlineStr">
        <is>
          <t>Portraits : a gallery of intellectuals / Edward Shils ; edited, and with an introduction by Joseph Epstein.</t>
        </is>
      </c>
      <c r="H424" t="inlineStr">
        <is>
          <t>No</t>
        </is>
      </c>
      <c r="I424" t="inlineStr">
        <is>
          <t>1</t>
        </is>
      </c>
      <c r="J424" t="inlineStr">
        <is>
          <t>No</t>
        </is>
      </c>
      <c r="K424" t="inlineStr">
        <is>
          <t>No</t>
        </is>
      </c>
      <c r="L424" t="inlineStr">
        <is>
          <t>0</t>
        </is>
      </c>
      <c r="M424" t="inlineStr">
        <is>
          <t>Shils, Edward, 1910-1995.</t>
        </is>
      </c>
      <c r="N424" t="inlineStr">
        <is>
          <t>Chicago : University of Chicago Press, 1997.</t>
        </is>
      </c>
      <c r="O424" t="inlineStr">
        <is>
          <t>1997</t>
        </is>
      </c>
      <c r="Q424" t="inlineStr">
        <is>
          <t>eng</t>
        </is>
      </c>
      <c r="R424" t="inlineStr">
        <is>
          <t>ilu</t>
        </is>
      </c>
      <c r="T424" t="inlineStr">
        <is>
          <t xml:space="preserve">CT </t>
        </is>
      </c>
      <c r="U424" t="n">
        <v>2</v>
      </c>
      <c r="V424" t="n">
        <v>2</v>
      </c>
      <c r="W424" t="inlineStr">
        <is>
          <t>2008-10-16</t>
        </is>
      </c>
      <c r="X424" t="inlineStr">
        <is>
          <t>2008-10-16</t>
        </is>
      </c>
      <c r="Y424" t="inlineStr">
        <is>
          <t>1998-05-06</t>
        </is>
      </c>
      <c r="Z424" t="inlineStr">
        <is>
          <t>1998-05-06</t>
        </is>
      </c>
      <c r="AA424" t="n">
        <v>301</v>
      </c>
      <c r="AB424" t="n">
        <v>259</v>
      </c>
      <c r="AC424" t="n">
        <v>259</v>
      </c>
      <c r="AD424" t="n">
        <v>2</v>
      </c>
      <c r="AE424" t="n">
        <v>2</v>
      </c>
      <c r="AF424" t="n">
        <v>8</v>
      </c>
      <c r="AG424" t="n">
        <v>8</v>
      </c>
      <c r="AH424" t="n">
        <v>1</v>
      </c>
      <c r="AI424" t="n">
        <v>1</v>
      </c>
      <c r="AJ424" t="n">
        <v>3</v>
      </c>
      <c r="AK424" t="n">
        <v>3</v>
      </c>
      <c r="AL424" t="n">
        <v>6</v>
      </c>
      <c r="AM424" t="n">
        <v>6</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HYPERLINK("https://creighton-primo.hosted.exlibrisgroup.com/primo-explore/search?tab=default_tab&amp;search_scope=EVERYTHING&amp;vid=01CRU&amp;lang=en_US&amp;offset=0&amp;query=any,contains,991002689969702656","Catalog Record")</f>
        <v/>
      </c>
      <c r="AV424">
        <f>HYPERLINK("http://www.worldcat.org/oclc/35138634","WorldCat Record")</f>
        <v/>
      </c>
      <c r="AW424" t="inlineStr">
        <is>
          <t>836997391:eng</t>
        </is>
      </c>
      <c r="AX424" t="inlineStr">
        <is>
          <t>35138634</t>
        </is>
      </c>
      <c r="AY424" t="inlineStr">
        <is>
          <t>991002689969702656</t>
        </is>
      </c>
      <c r="AZ424" t="inlineStr">
        <is>
          <t>991002689969702656</t>
        </is>
      </c>
      <c r="BA424" t="inlineStr">
        <is>
          <t>2267256940002656</t>
        </is>
      </c>
      <c r="BB424" t="inlineStr">
        <is>
          <t>BOOK</t>
        </is>
      </c>
      <c r="BD424" t="inlineStr">
        <is>
          <t>9780226753362</t>
        </is>
      </c>
      <c r="BE424" t="inlineStr">
        <is>
          <t>32285003406385</t>
        </is>
      </c>
      <c r="BF424" t="inlineStr">
        <is>
          <t>893257587</t>
        </is>
      </c>
    </row>
    <row r="425">
      <c r="B425" t="inlineStr">
        <is>
          <t>CURAL</t>
        </is>
      </c>
      <c r="C425" t="inlineStr">
        <is>
          <t>SHELVES</t>
        </is>
      </c>
      <c r="D425" t="inlineStr">
        <is>
          <t>CT546 .D57 2003</t>
        </is>
      </c>
      <c r="E425" t="inlineStr">
        <is>
          <t>0                      CT 0546000D  57          2003</t>
        </is>
      </c>
      <c r="F425" t="inlineStr">
        <is>
          <t>Directorio electrónico interactivo de periodistas, artistas y escritores dominicanos / Adrián Javier, editor.</t>
        </is>
      </c>
      <c r="H425" t="inlineStr">
        <is>
          <t>No</t>
        </is>
      </c>
      <c r="I425" t="inlineStr">
        <is>
          <t>1</t>
        </is>
      </c>
      <c r="J425" t="inlineStr">
        <is>
          <t>No</t>
        </is>
      </c>
      <c r="K425" t="inlineStr">
        <is>
          <t>No</t>
        </is>
      </c>
      <c r="L425" t="inlineStr">
        <is>
          <t>0</t>
        </is>
      </c>
      <c r="N425" t="inlineStr">
        <is>
          <t>Santo Domingo, R.D. : Editora Gente, 2003.</t>
        </is>
      </c>
      <c r="O425" t="inlineStr">
        <is>
          <t>2003</t>
        </is>
      </c>
      <c r="P425" t="inlineStr">
        <is>
          <t>1. ed.</t>
        </is>
      </c>
      <c r="Q425" t="inlineStr">
        <is>
          <t>spa</t>
        </is>
      </c>
      <c r="R425" t="inlineStr">
        <is>
          <t xml:space="preserve">dr </t>
        </is>
      </c>
      <c r="T425" t="inlineStr">
        <is>
          <t xml:space="preserve">CT </t>
        </is>
      </c>
      <c r="U425" t="n">
        <v>1</v>
      </c>
      <c r="V425" t="n">
        <v>1</v>
      </c>
      <c r="W425" t="inlineStr">
        <is>
          <t>2004-11-04</t>
        </is>
      </c>
      <c r="X425" t="inlineStr">
        <is>
          <t>2004-11-04</t>
        </is>
      </c>
      <c r="Y425" t="inlineStr">
        <is>
          <t>2004-11-04</t>
        </is>
      </c>
      <c r="Z425" t="inlineStr">
        <is>
          <t>2004-11-04</t>
        </is>
      </c>
      <c r="AA425" t="n">
        <v>9</v>
      </c>
      <c r="AB425" t="n">
        <v>9</v>
      </c>
      <c r="AC425" t="n">
        <v>11</v>
      </c>
      <c r="AD425" t="n">
        <v>1</v>
      </c>
      <c r="AE425" t="n">
        <v>1</v>
      </c>
      <c r="AF425" t="n">
        <v>0</v>
      </c>
      <c r="AG425" t="n">
        <v>0</v>
      </c>
      <c r="AH425" t="n">
        <v>0</v>
      </c>
      <c r="AI425" t="n">
        <v>0</v>
      </c>
      <c r="AJ425" t="n">
        <v>0</v>
      </c>
      <c r="AK425" t="n">
        <v>0</v>
      </c>
      <c r="AL425" t="n">
        <v>0</v>
      </c>
      <c r="AM425" t="n">
        <v>0</v>
      </c>
      <c r="AN425" t="n">
        <v>0</v>
      </c>
      <c r="AO425" t="n">
        <v>0</v>
      </c>
      <c r="AP425" t="n">
        <v>0</v>
      </c>
      <c r="AQ425" t="n">
        <v>0</v>
      </c>
      <c r="AR425" t="inlineStr">
        <is>
          <t>No</t>
        </is>
      </c>
      <c r="AS425" t="inlineStr">
        <is>
          <t>Yes</t>
        </is>
      </c>
      <c r="AT425">
        <f>HYPERLINK("http://catalog.hathitrust.org/Record/101177840","HathiTrust Record")</f>
        <v/>
      </c>
      <c r="AU425">
        <f>HYPERLINK("https://creighton-primo.hosted.exlibrisgroup.com/primo-explore/search?tab=default_tab&amp;search_scope=EVERYTHING&amp;vid=01CRU&amp;lang=en_US&amp;offset=0&amp;query=any,contains,991004209069702656","Catalog Record")</f>
        <v/>
      </c>
      <c r="AV425">
        <f>HYPERLINK("http://www.worldcat.org/oclc/56597720","WorldCat Record")</f>
        <v/>
      </c>
      <c r="AW425" t="inlineStr">
        <is>
          <t>18298969:spa</t>
        </is>
      </c>
      <c r="AX425" t="inlineStr">
        <is>
          <t>56597720</t>
        </is>
      </c>
      <c r="AY425" t="inlineStr">
        <is>
          <t>991004209069702656</t>
        </is>
      </c>
      <c r="AZ425" t="inlineStr">
        <is>
          <t>991004209069702656</t>
        </is>
      </c>
      <c r="BA425" t="inlineStr">
        <is>
          <t>2260723680002656</t>
        </is>
      </c>
      <c r="BB425" t="inlineStr">
        <is>
          <t>BOOK</t>
        </is>
      </c>
      <c r="BD425" t="inlineStr">
        <is>
          <t>9789993449089</t>
        </is>
      </c>
      <c r="BE425" t="inlineStr">
        <is>
          <t>32285005008916</t>
        </is>
      </c>
      <c r="BF425" t="inlineStr">
        <is>
          <t>893781970</t>
        </is>
      </c>
    </row>
    <row r="426">
      <c r="B426" t="inlineStr">
        <is>
          <t>CURAL</t>
        </is>
      </c>
      <c r="C426" t="inlineStr">
        <is>
          <t>SHELVES</t>
        </is>
      </c>
      <c r="D426" t="inlineStr">
        <is>
          <t>CT546 .H47 2003</t>
        </is>
      </c>
      <c r="E426" t="inlineStr">
        <is>
          <t>0                      CT 0546000H  47          2003</t>
        </is>
      </c>
      <c r="F426" t="inlineStr">
        <is>
          <t>Semblanzas y revelaciones históricas : personajes de un pueblo del sur / Rafael Leonidas Herasme Acosta.</t>
        </is>
      </c>
      <c r="G426" t="inlineStr">
        <is>
          <t>V. 1</t>
        </is>
      </c>
      <c r="H426" t="inlineStr">
        <is>
          <t>No</t>
        </is>
      </c>
      <c r="I426" t="inlineStr">
        <is>
          <t>1</t>
        </is>
      </c>
      <c r="J426" t="inlineStr">
        <is>
          <t>No</t>
        </is>
      </c>
      <c r="K426" t="inlineStr">
        <is>
          <t>No</t>
        </is>
      </c>
      <c r="L426" t="inlineStr">
        <is>
          <t>0</t>
        </is>
      </c>
      <c r="M426" t="inlineStr">
        <is>
          <t>Herasme Acosta, Rafael Leonidas, 1960-</t>
        </is>
      </c>
      <c r="N426" t="inlineStr">
        <is>
          <t>Santo Domingo, República Dominicana : Editora Corripio, 2003-</t>
        </is>
      </c>
      <c r="O426" t="inlineStr">
        <is>
          <t>2003</t>
        </is>
      </c>
      <c r="P426" t="inlineStr">
        <is>
          <t>1. ed.</t>
        </is>
      </c>
      <c r="Q426" t="inlineStr">
        <is>
          <t>spa</t>
        </is>
      </c>
      <c r="R426" t="inlineStr">
        <is>
          <t xml:space="preserve">dr </t>
        </is>
      </c>
      <c r="T426" t="inlineStr">
        <is>
          <t xml:space="preserve">CT </t>
        </is>
      </c>
      <c r="U426" t="n">
        <v>1</v>
      </c>
      <c r="V426" t="n">
        <v>1</v>
      </c>
      <c r="W426" t="inlineStr">
        <is>
          <t>2004-12-16</t>
        </is>
      </c>
      <c r="X426" t="inlineStr">
        <is>
          <t>2004-12-16</t>
        </is>
      </c>
      <c r="Y426" t="inlineStr">
        <is>
          <t>2004-12-16</t>
        </is>
      </c>
      <c r="Z426" t="inlineStr">
        <is>
          <t>2004-12-16</t>
        </is>
      </c>
      <c r="AA426" t="n">
        <v>18</v>
      </c>
      <c r="AB426" t="n">
        <v>17</v>
      </c>
      <c r="AC426" t="n">
        <v>20</v>
      </c>
      <c r="AD426" t="n">
        <v>1</v>
      </c>
      <c r="AE426" t="n">
        <v>1</v>
      </c>
      <c r="AF426" t="n">
        <v>1</v>
      </c>
      <c r="AG426" t="n">
        <v>1</v>
      </c>
      <c r="AH426" t="n">
        <v>0</v>
      </c>
      <c r="AI426" t="n">
        <v>0</v>
      </c>
      <c r="AJ426" t="n">
        <v>1</v>
      </c>
      <c r="AK426" t="n">
        <v>1</v>
      </c>
      <c r="AL426" t="n">
        <v>0</v>
      </c>
      <c r="AM426" t="n">
        <v>0</v>
      </c>
      <c r="AN426" t="n">
        <v>0</v>
      </c>
      <c r="AO426" t="n">
        <v>0</v>
      </c>
      <c r="AP426" t="n">
        <v>0</v>
      </c>
      <c r="AQ426" t="n">
        <v>0</v>
      </c>
      <c r="AR426" t="inlineStr">
        <is>
          <t>No</t>
        </is>
      </c>
      <c r="AS426" t="inlineStr">
        <is>
          <t>Yes</t>
        </is>
      </c>
      <c r="AT426">
        <f>HYPERLINK("http://catalog.hathitrust.org/Record/004947635","HathiTrust Record")</f>
        <v/>
      </c>
      <c r="AU426">
        <f>HYPERLINK("https://creighton-primo.hosted.exlibrisgroup.com/primo-explore/search?tab=default_tab&amp;search_scope=EVERYTHING&amp;vid=01CRU&amp;lang=en_US&amp;offset=0&amp;query=any,contains,991004439569702656","Catalog Record")</f>
        <v/>
      </c>
      <c r="AV426">
        <f>HYPERLINK("http://www.worldcat.org/oclc/57072753","WorldCat Record")</f>
        <v/>
      </c>
      <c r="AW426" t="inlineStr">
        <is>
          <t>4061678816:spa</t>
        </is>
      </c>
      <c r="AX426" t="inlineStr">
        <is>
          <t>57072753</t>
        </is>
      </c>
      <c r="AY426" t="inlineStr">
        <is>
          <t>991004439569702656</t>
        </is>
      </c>
      <c r="AZ426" t="inlineStr">
        <is>
          <t>991004439569702656</t>
        </is>
      </c>
      <c r="BA426" t="inlineStr">
        <is>
          <t>2266090390002656</t>
        </is>
      </c>
      <c r="BB426" t="inlineStr">
        <is>
          <t>BOOK</t>
        </is>
      </c>
      <c r="BD426" t="inlineStr">
        <is>
          <t>9789993455639</t>
        </is>
      </c>
      <c r="BE426" t="inlineStr">
        <is>
          <t>32285005018139</t>
        </is>
      </c>
      <c r="BF426" t="inlineStr">
        <is>
          <t>893800973</t>
        </is>
      </c>
    </row>
    <row r="427">
      <c r="B427" t="inlineStr">
        <is>
          <t>CURAL</t>
        </is>
      </c>
      <c r="C427" t="inlineStr">
        <is>
          <t>SHELVES</t>
        </is>
      </c>
      <c r="D427" t="inlineStr">
        <is>
          <t>CT548.H4 L37 1975</t>
        </is>
      </c>
      <c r="E427" t="inlineStr">
        <is>
          <t>0                      CT 0548000H  4                  L  37          1975</t>
        </is>
      </c>
      <c r="F427" t="inlineStr">
        <is>
          <t>Pedro Henríquez Ureña : su vida y su obra / Juan Jacobo de Lara.</t>
        </is>
      </c>
      <c r="H427" t="inlineStr">
        <is>
          <t>No</t>
        </is>
      </c>
      <c r="I427" t="inlineStr">
        <is>
          <t>1</t>
        </is>
      </c>
      <c r="J427" t="inlineStr">
        <is>
          <t>No</t>
        </is>
      </c>
      <c r="K427" t="inlineStr">
        <is>
          <t>No</t>
        </is>
      </c>
      <c r="L427" t="inlineStr">
        <is>
          <t>0</t>
        </is>
      </c>
      <c r="M427" t="inlineStr">
        <is>
          <t>Lara, Juan Jacobo de.</t>
        </is>
      </c>
      <c r="N427" t="inlineStr">
        <is>
          <t>Santo Domingo : Universidad Nacional Pedro Henríquez Ureña, 1975.</t>
        </is>
      </c>
      <c r="O427" t="inlineStr">
        <is>
          <t>1975</t>
        </is>
      </c>
      <c r="Q427" t="inlineStr">
        <is>
          <t>spa</t>
        </is>
      </c>
      <c r="R427" t="inlineStr">
        <is>
          <t xml:space="preserve">dr </t>
        </is>
      </c>
      <c r="S427" t="inlineStr">
        <is>
          <t>Ediciones UNPHU</t>
        </is>
      </c>
      <c r="T427" t="inlineStr">
        <is>
          <t xml:space="preserve">CT </t>
        </is>
      </c>
      <c r="U427" t="n">
        <v>1</v>
      </c>
      <c r="V427" t="n">
        <v>1</v>
      </c>
      <c r="W427" t="inlineStr">
        <is>
          <t>2000-10-12</t>
        </is>
      </c>
      <c r="X427" t="inlineStr">
        <is>
          <t>2000-10-12</t>
        </is>
      </c>
      <c r="Y427" t="inlineStr">
        <is>
          <t>2000-10-12</t>
        </is>
      </c>
      <c r="Z427" t="inlineStr">
        <is>
          <t>2000-10-12</t>
        </is>
      </c>
      <c r="AA427" t="n">
        <v>37</v>
      </c>
      <c r="AB427" t="n">
        <v>27</v>
      </c>
      <c r="AC427" t="n">
        <v>52</v>
      </c>
      <c r="AD427" t="n">
        <v>1</v>
      </c>
      <c r="AE427" t="n">
        <v>1</v>
      </c>
      <c r="AF427" t="n">
        <v>0</v>
      </c>
      <c r="AG427" t="n">
        <v>1</v>
      </c>
      <c r="AH427" t="n">
        <v>0</v>
      </c>
      <c r="AI427" t="n">
        <v>0</v>
      </c>
      <c r="AJ427" t="n">
        <v>0</v>
      </c>
      <c r="AK427" t="n">
        <v>1</v>
      </c>
      <c r="AL427" t="n">
        <v>0</v>
      </c>
      <c r="AM427" t="n">
        <v>0</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HYPERLINK("https://creighton-primo.hosted.exlibrisgroup.com/primo-explore/search?tab=default_tab&amp;search_scope=EVERYTHING&amp;vid=01CRU&amp;lang=en_US&amp;offset=0&amp;query=any,contains,991003282539702656","Catalog Record")</f>
        <v/>
      </c>
      <c r="AV427">
        <f>HYPERLINK("http://www.worldcat.org/oclc/3449881","WorldCat Record")</f>
        <v/>
      </c>
      <c r="AW427" t="inlineStr">
        <is>
          <t>27383052:spa</t>
        </is>
      </c>
      <c r="AX427" t="inlineStr">
        <is>
          <t>3449881</t>
        </is>
      </c>
      <c r="AY427" t="inlineStr">
        <is>
          <t>991003282539702656</t>
        </is>
      </c>
      <c r="AZ427" t="inlineStr">
        <is>
          <t>991003282539702656</t>
        </is>
      </c>
      <c r="BA427" t="inlineStr">
        <is>
          <t>2267786840002656</t>
        </is>
      </c>
      <c r="BB427" t="inlineStr">
        <is>
          <t>BOOK</t>
        </is>
      </c>
      <c r="BE427" t="inlineStr">
        <is>
          <t>32285003768107</t>
        </is>
      </c>
      <c r="BF427" t="inlineStr">
        <is>
          <t>893499140</t>
        </is>
      </c>
    </row>
    <row r="428">
      <c r="B428" t="inlineStr">
        <is>
          <t>CURAL</t>
        </is>
      </c>
      <c r="C428" t="inlineStr">
        <is>
          <t>SHELVES</t>
        </is>
      </c>
      <c r="D428" t="inlineStr">
        <is>
          <t>CT558.C3 S78</t>
        </is>
      </c>
      <c r="E428" t="inlineStr">
        <is>
          <t>0                      CT 0558000C  3                  S  78</t>
        </is>
      </c>
      <c r="F428" t="inlineStr">
        <is>
          <t>La China Poblana / Louise A. Stinetorf.</t>
        </is>
      </c>
      <c r="H428" t="inlineStr">
        <is>
          <t>No</t>
        </is>
      </c>
      <c r="I428" t="inlineStr">
        <is>
          <t>1</t>
        </is>
      </c>
      <c r="J428" t="inlineStr">
        <is>
          <t>No</t>
        </is>
      </c>
      <c r="K428" t="inlineStr">
        <is>
          <t>No</t>
        </is>
      </c>
      <c r="L428" t="inlineStr">
        <is>
          <t>0</t>
        </is>
      </c>
      <c r="M428" t="inlineStr">
        <is>
          <t>Stinetorf, Louise A.</t>
        </is>
      </c>
      <c r="N428" t="inlineStr">
        <is>
          <t>Indianapolis : Bobbs-Merrill, 1960.</t>
        </is>
      </c>
      <c r="O428" t="inlineStr">
        <is>
          <t>1960</t>
        </is>
      </c>
      <c r="P428" t="inlineStr">
        <is>
          <t>[1st ed.]</t>
        </is>
      </c>
      <c r="Q428" t="inlineStr">
        <is>
          <t>eng</t>
        </is>
      </c>
      <c r="R428" t="inlineStr">
        <is>
          <t>___</t>
        </is>
      </c>
      <c r="T428" t="inlineStr">
        <is>
          <t xml:space="preserve">CT </t>
        </is>
      </c>
      <c r="U428" t="n">
        <v>0</v>
      </c>
      <c r="V428" t="n">
        <v>0</v>
      </c>
      <c r="W428" t="inlineStr">
        <is>
          <t>2010-04-01</t>
        </is>
      </c>
      <c r="X428" t="inlineStr">
        <is>
          <t>2010-04-01</t>
        </is>
      </c>
      <c r="Y428" t="inlineStr">
        <is>
          <t>1992-06-08</t>
        </is>
      </c>
      <c r="Z428" t="inlineStr">
        <is>
          <t>1992-06-08</t>
        </is>
      </c>
      <c r="AA428" t="n">
        <v>148</v>
      </c>
      <c r="AB428" t="n">
        <v>142</v>
      </c>
      <c r="AC428" t="n">
        <v>142</v>
      </c>
      <c r="AD428" t="n">
        <v>1</v>
      </c>
      <c r="AE428" t="n">
        <v>1</v>
      </c>
      <c r="AF428" t="n">
        <v>4</v>
      </c>
      <c r="AG428" t="n">
        <v>4</v>
      </c>
      <c r="AH428" t="n">
        <v>3</v>
      </c>
      <c r="AI428" t="n">
        <v>3</v>
      </c>
      <c r="AJ428" t="n">
        <v>0</v>
      </c>
      <c r="AK428" t="n">
        <v>0</v>
      </c>
      <c r="AL428" t="n">
        <v>3</v>
      </c>
      <c r="AM428" t="n">
        <v>3</v>
      </c>
      <c r="AN428" t="n">
        <v>0</v>
      </c>
      <c r="AO428" t="n">
        <v>0</v>
      </c>
      <c r="AP428" t="n">
        <v>0</v>
      </c>
      <c r="AQ428" t="n">
        <v>0</v>
      </c>
      <c r="AR428" t="inlineStr">
        <is>
          <t>No</t>
        </is>
      </c>
      <c r="AS428" t="inlineStr">
        <is>
          <t>No</t>
        </is>
      </c>
      <c r="AU428">
        <f>HYPERLINK("https://creighton-primo.hosted.exlibrisgroup.com/primo-explore/search?tab=default_tab&amp;search_scope=EVERYTHING&amp;vid=01CRU&amp;lang=en_US&amp;offset=0&amp;query=any,contains,991003107219702656","Catalog Record")</f>
        <v/>
      </c>
      <c r="AV428">
        <f>HYPERLINK("http://www.worldcat.org/oclc/654775","WorldCat Record")</f>
        <v/>
      </c>
      <c r="AW428" t="inlineStr">
        <is>
          <t>1614922:eng</t>
        </is>
      </c>
      <c r="AX428" t="inlineStr">
        <is>
          <t>654775</t>
        </is>
      </c>
      <c r="AY428" t="inlineStr">
        <is>
          <t>991003107219702656</t>
        </is>
      </c>
      <c r="AZ428" t="inlineStr">
        <is>
          <t>991003107219702656</t>
        </is>
      </c>
      <c r="BA428" t="inlineStr">
        <is>
          <t>2262240200002656</t>
        </is>
      </c>
      <c r="BB428" t="inlineStr">
        <is>
          <t>BOOK</t>
        </is>
      </c>
      <c r="BE428" t="inlineStr">
        <is>
          <t>32285001165926</t>
        </is>
      </c>
      <c r="BF428" t="inlineStr">
        <is>
          <t>893422181</t>
        </is>
      </c>
    </row>
    <row r="429">
      <c r="B429" t="inlineStr">
        <is>
          <t>CURAL</t>
        </is>
      </c>
      <c r="C429" t="inlineStr">
        <is>
          <t>SHELVES</t>
        </is>
      </c>
      <c r="D429" t="inlineStr">
        <is>
          <t>CT688.F73 G535 2006</t>
        </is>
      </c>
      <c r="E429" t="inlineStr">
        <is>
          <t>0                      CT 0688000F  73                 G  535         2006</t>
        </is>
      </c>
      <c r="F429" t="inlineStr">
        <is>
          <t>Gilberto Freyre e os estudos latino-americanos / Joshua Lund e Malcolm McNee, eds.</t>
        </is>
      </c>
      <c r="H429" t="inlineStr">
        <is>
          <t>No</t>
        </is>
      </c>
      <c r="I429" t="inlineStr">
        <is>
          <t>1</t>
        </is>
      </c>
      <c r="J429" t="inlineStr">
        <is>
          <t>No</t>
        </is>
      </c>
      <c r="K429" t="inlineStr">
        <is>
          <t>No</t>
        </is>
      </c>
      <c r="L429" t="inlineStr">
        <is>
          <t>0</t>
        </is>
      </c>
      <c r="N429" t="inlineStr">
        <is>
          <t>Pittsburgh, PA : Instituto Internacional de Literatura Iberoamericana, Universidad de Pittsburgh, c2006.</t>
        </is>
      </c>
      <c r="O429" t="inlineStr">
        <is>
          <t>2006</t>
        </is>
      </c>
      <c r="Q429" t="inlineStr">
        <is>
          <t>por</t>
        </is>
      </c>
      <c r="R429" t="inlineStr">
        <is>
          <t>pau</t>
        </is>
      </c>
      <c r="S429" t="inlineStr">
        <is>
          <t>Serie Críticas</t>
        </is>
      </c>
      <c r="T429" t="inlineStr">
        <is>
          <t xml:space="preserve">CT </t>
        </is>
      </c>
      <c r="U429" t="n">
        <v>1</v>
      </c>
      <c r="V429" t="n">
        <v>1</v>
      </c>
      <c r="W429" t="inlineStr">
        <is>
          <t>2007-01-08</t>
        </is>
      </c>
      <c r="X429" t="inlineStr">
        <is>
          <t>2007-01-08</t>
        </is>
      </c>
      <c r="Y429" t="inlineStr">
        <is>
          <t>2007-01-08</t>
        </is>
      </c>
      <c r="Z429" t="inlineStr">
        <is>
          <t>2007-01-08</t>
        </is>
      </c>
      <c r="AA429" t="n">
        <v>260</v>
      </c>
      <c r="AB429" t="n">
        <v>232</v>
      </c>
      <c r="AC429" t="n">
        <v>239</v>
      </c>
      <c r="AD429" t="n">
        <v>3</v>
      </c>
      <c r="AE429" t="n">
        <v>3</v>
      </c>
      <c r="AF429" t="n">
        <v>12</v>
      </c>
      <c r="AG429" t="n">
        <v>12</v>
      </c>
      <c r="AH429" t="n">
        <v>4</v>
      </c>
      <c r="AI429" t="n">
        <v>4</v>
      </c>
      <c r="AJ429" t="n">
        <v>4</v>
      </c>
      <c r="AK429" t="n">
        <v>4</v>
      </c>
      <c r="AL429" t="n">
        <v>6</v>
      </c>
      <c r="AM429" t="n">
        <v>6</v>
      </c>
      <c r="AN429" t="n">
        <v>2</v>
      </c>
      <c r="AO429" t="n">
        <v>2</v>
      </c>
      <c r="AP429" t="n">
        <v>0</v>
      </c>
      <c r="AQ429" t="n">
        <v>0</v>
      </c>
      <c r="AR429" t="inlineStr">
        <is>
          <t>No</t>
        </is>
      </c>
      <c r="AS429" t="inlineStr">
        <is>
          <t>Yes</t>
        </is>
      </c>
      <c r="AT429">
        <f>HYPERLINK("http://catalog.hathitrust.org/Record/005346153","HathiTrust Record")</f>
        <v/>
      </c>
      <c r="AU429">
        <f>HYPERLINK("https://creighton-primo.hosted.exlibrisgroup.com/primo-explore/search?tab=default_tab&amp;search_scope=EVERYTHING&amp;vid=01CRU&amp;lang=en_US&amp;offset=0&amp;query=any,contains,991005002829702656","Catalog Record")</f>
        <v/>
      </c>
      <c r="AV429">
        <f>HYPERLINK("http://www.worldcat.org/oclc/72798837","WorldCat Record")</f>
        <v/>
      </c>
      <c r="AW429" t="inlineStr">
        <is>
          <t>446578087:por</t>
        </is>
      </c>
      <c r="AX429" t="inlineStr">
        <is>
          <t>72798837</t>
        </is>
      </c>
      <c r="AY429" t="inlineStr">
        <is>
          <t>991005002829702656</t>
        </is>
      </c>
      <c r="AZ429" t="inlineStr">
        <is>
          <t>991005002829702656</t>
        </is>
      </c>
      <c r="BA429" t="inlineStr">
        <is>
          <t>2268111540002656</t>
        </is>
      </c>
      <c r="BB429" t="inlineStr">
        <is>
          <t>BOOK</t>
        </is>
      </c>
      <c r="BD429" t="inlineStr">
        <is>
          <t>9781930744288</t>
        </is>
      </c>
      <c r="BE429" t="inlineStr">
        <is>
          <t>32285005269062</t>
        </is>
      </c>
      <c r="BF429" t="inlineStr">
        <is>
          <t>893326037</t>
        </is>
      </c>
    </row>
    <row r="430">
      <c r="B430" t="inlineStr">
        <is>
          <t>CURAL</t>
        </is>
      </c>
      <c r="C430" t="inlineStr">
        <is>
          <t>SHELVES</t>
        </is>
      </c>
      <c r="D430" t="inlineStr">
        <is>
          <t>CT775 .S55 1957</t>
        </is>
      </c>
      <c r="E430" t="inlineStr">
        <is>
          <t>0                      CT 0775000S  55          1957</t>
        </is>
      </c>
      <c r="F430" t="inlineStr">
        <is>
          <t>English eccentrics.</t>
        </is>
      </c>
      <c r="H430" t="inlineStr">
        <is>
          <t>No</t>
        </is>
      </c>
      <c r="I430" t="inlineStr">
        <is>
          <t>1</t>
        </is>
      </c>
      <c r="J430" t="inlineStr">
        <is>
          <t>No</t>
        </is>
      </c>
      <c r="K430" t="inlineStr">
        <is>
          <t>No</t>
        </is>
      </c>
      <c r="L430" t="inlineStr">
        <is>
          <t>0</t>
        </is>
      </c>
      <c r="M430" t="inlineStr">
        <is>
          <t>Sitwell, Edith, 1887-1964.</t>
        </is>
      </c>
      <c r="N430" t="inlineStr">
        <is>
          <t>New York, Vanguard Press [1957]</t>
        </is>
      </c>
      <c r="O430" t="inlineStr">
        <is>
          <t>1957</t>
        </is>
      </c>
      <c r="Q430" t="inlineStr">
        <is>
          <t>eng</t>
        </is>
      </c>
      <c r="R430" t="inlineStr">
        <is>
          <t>nyu</t>
        </is>
      </c>
      <c r="T430" t="inlineStr">
        <is>
          <t xml:space="preserve">CT </t>
        </is>
      </c>
      <c r="U430" t="n">
        <v>4</v>
      </c>
      <c r="V430" t="n">
        <v>4</v>
      </c>
      <c r="W430" t="inlineStr">
        <is>
          <t>2000-02-03</t>
        </is>
      </c>
      <c r="X430" t="inlineStr">
        <is>
          <t>2000-02-03</t>
        </is>
      </c>
      <c r="Y430" t="inlineStr">
        <is>
          <t>1996-08-22</t>
        </is>
      </c>
      <c r="Z430" t="inlineStr">
        <is>
          <t>1996-08-22</t>
        </is>
      </c>
      <c r="AA430" t="n">
        <v>647</v>
      </c>
      <c r="AB430" t="n">
        <v>616</v>
      </c>
      <c r="AC430" t="n">
        <v>844</v>
      </c>
      <c r="AD430" t="n">
        <v>3</v>
      </c>
      <c r="AE430" t="n">
        <v>4</v>
      </c>
      <c r="AF430" t="n">
        <v>23</v>
      </c>
      <c r="AG430" t="n">
        <v>34</v>
      </c>
      <c r="AH430" t="n">
        <v>7</v>
      </c>
      <c r="AI430" t="n">
        <v>12</v>
      </c>
      <c r="AJ430" t="n">
        <v>7</v>
      </c>
      <c r="AK430" t="n">
        <v>9</v>
      </c>
      <c r="AL430" t="n">
        <v>15</v>
      </c>
      <c r="AM430" t="n">
        <v>20</v>
      </c>
      <c r="AN430" t="n">
        <v>2</v>
      </c>
      <c r="AO430" t="n">
        <v>3</v>
      </c>
      <c r="AP430" t="n">
        <v>0</v>
      </c>
      <c r="AQ430" t="n">
        <v>0</v>
      </c>
      <c r="AR430" t="inlineStr">
        <is>
          <t>No</t>
        </is>
      </c>
      <c r="AS430" t="inlineStr">
        <is>
          <t>Yes</t>
        </is>
      </c>
      <c r="AT430">
        <f>HYPERLINK("http://catalog.hathitrust.org/Record/001604246","HathiTrust Record")</f>
        <v/>
      </c>
      <c r="AU430">
        <f>HYPERLINK("https://creighton-primo.hosted.exlibrisgroup.com/primo-explore/search?tab=default_tab&amp;search_scope=EVERYTHING&amp;vid=01CRU&amp;lang=en_US&amp;offset=0&amp;query=any,contains,991002658099702656","Catalog Record")</f>
        <v/>
      </c>
      <c r="AV430">
        <f>HYPERLINK("http://www.worldcat.org/oclc/390323","WorldCat Record")</f>
        <v/>
      </c>
      <c r="AW430" t="inlineStr">
        <is>
          <t>1443623:eng</t>
        </is>
      </c>
      <c r="AX430" t="inlineStr">
        <is>
          <t>390323</t>
        </is>
      </c>
      <c r="AY430" t="inlineStr">
        <is>
          <t>991002658099702656</t>
        </is>
      </c>
      <c r="AZ430" t="inlineStr">
        <is>
          <t>991002658099702656</t>
        </is>
      </c>
      <c r="BA430" t="inlineStr">
        <is>
          <t>2262046330002656</t>
        </is>
      </c>
      <c r="BB430" t="inlineStr">
        <is>
          <t>BOOK</t>
        </is>
      </c>
      <c r="BE430" t="inlineStr">
        <is>
          <t>32285002285665</t>
        </is>
      </c>
      <c r="BF430" t="inlineStr">
        <is>
          <t>893773872</t>
        </is>
      </c>
    </row>
    <row r="431">
      <c r="B431" t="inlineStr">
        <is>
          <t>CURAL</t>
        </is>
      </c>
      <c r="C431" t="inlineStr">
        <is>
          <t>SHELVES</t>
        </is>
      </c>
      <c r="D431" t="inlineStr">
        <is>
          <t>CT787.M57 L68 2002</t>
        </is>
      </c>
      <c r="E431" t="inlineStr">
        <is>
          <t>0                      CT 0787000M  57                 L  68          2002</t>
        </is>
      </c>
      <c r="F431" t="inlineStr">
        <is>
          <t>The sisters : the saga of the Mitford family / Mary S. Lovell.</t>
        </is>
      </c>
      <c r="H431" t="inlineStr">
        <is>
          <t>No</t>
        </is>
      </c>
      <c r="I431" t="inlineStr">
        <is>
          <t>1</t>
        </is>
      </c>
      <c r="J431" t="inlineStr">
        <is>
          <t>No</t>
        </is>
      </c>
      <c r="K431" t="inlineStr">
        <is>
          <t>No</t>
        </is>
      </c>
      <c r="L431" t="inlineStr">
        <is>
          <t>0</t>
        </is>
      </c>
      <c r="M431" t="inlineStr">
        <is>
          <t>Lovell, Mary S.</t>
        </is>
      </c>
      <c r="N431" t="inlineStr">
        <is>
          <t>New York : Norton, 2002.</t>
        </is>
      </c>
      <c r="O431" t="inlineStr">
        <is>
          <t>2002</t>
        </is>
      </c>
      <c r="P431" t="inlineStr">
        <is>
          <t>1st American ed.</t>
        </is>
      </c>
      <c r="Q431" t="inlineStr">
        <is>
          <t>eng</t>
        </is>
      </c>
      <c r="R431" t="inlineStr">
        <is>
          <t>nyu</t>
        </is>
      </c>
      <c r="T431" t="inlineStr">
        <is>
          <t xml:space="preserve">CT </t>
        </is>
      </c>
      <c r="U431" t="n">
        <v>2</v>
      </c>
      <c r="V431" t="n">
        <v>2</v>
      </c>
      <c r="W431" t="inlineStr">
        <is>
          <t>2009-10-28</t>
        </is>
      </c>
      <c r="X431" t="inlineStr">
        <is>
          <t>2009-10-28</t>
        </is>
      </c>
      <c r="Y431" t="inlineStr">
        <is>
          <t>2002-01-29</t>
        </is>
      </c>
      <c r="Z431" t="inlineStr">
        <is>
          <t>2002-01-29</t>
        </is>
      </c>
      <c r="AA431" t="n">
        <v>1274</v>
      </c>
      <c r="AB431" t="n">
        <v>1208</v>
      </c>
      <c r="AC431" t="n">
        <v>1379</v>
      </c>
      <c r="AD431" t="n">
        <v>8</v>
      </c>
      <c r="AE431" t="n">
        <v>9</v>
      </c>
      <c r="AF431" t="n">
        <v>22</v>
      </c>
      <c r="AG431" t="n">
        <v>24</v>
      </c>
      <c r="AH431" t="n">
        <v>9</v>
      </c>
      <c r="AI431" t="n">
        <v>10</v>
      </c>
      <c r="AJ431" t="n">
        <v>5</v>
      </c>
      <c r="AK431" t="n">
        <v>6</v>
      </c>
      <c r="AL431" t="n">
        <v>11</v>
      </c>
      <c r="AM431" t="n">
        <v>12</v>
      </c>
      <c r="AN431" t="n">
        <v>3</v>
      </c>
      <c r="AO431" t="n">
        <v>3</v>
      </c>
      <c r="AP431" t="n">
        <v>0</v>
      </c>
      <c r="AQ431" t="n">
        <v>0</v>
      </c>
      <c r="AR431" t="inlineStr">
        <is>
          <t>No</t>
        </is>
      </c>
      <c r="AS431" t="inlineStr">
        <is>
          <t>No</t>
        </is>
      </c>
      <c r="AU431">
        <f>HYPERLINK("https://creighton-primo.hosted.exlibrisgroup.com/primo-explore/search?tab=default_tab&amp;search_scope=EVERYTHING&amp;vid=01CRU&amp;lang=en_US&amp;offset=0&amp;query=any,contains,991003684329702656","Catalog Record")</f>
        <v/>
      </c>
      <c r="AV431">
        <f>HYPERLINK("http://www.worldcat.org/oclc/48092147","WorldCat Record")</f>
        <v/>
      </c>
      <c r="AW431" t="inlineStr">
        <is>
          <t>2564822679:eng</t>
        </is>
      </c>
      <c r="AX431" t="inlineStr">
        <is>
          <t>48092147</t>
        </is>
      </c>
      <c r="AY431" t="inlineStr">
        <is>
          <t>991003684329702656</t>
        </is>
      </c>
      <c r="AZ431" t="inlineStr">
        <is>
          <t>991003684329702656</t>
        </is>
      </c>
      <c r="BA431" t="inlineStr">
        <is>
          <t>2260874730002656</t>
        </is>
      </c>
      <c r="BB431" t="inlineStr">
        <is>
          <t>BOOK</t>
        </is>
      </c>
      <c r="BD431" t="inlineStr">
        <is>
          <t>9780393010435</t>
        </is>
      </c>
      <c r="BE431" t="inlineStr">
        <is>
          <t>32285004450960</t>
        </is>
      </c>
      <c r="BF431" t="inlineStr">
        <is>
          <t>893435301</t>
        </is>
      </c>
    </row>
    <row r="432">
      <c r="B432" t="inlineStr">
        <is>
          <t>CURAL</t>
        </is>
      </c>
      <c r="C432" t="inlineStr">
        <is>
          <t>SHELVES</t>
        </is>
      </c>
      <c r="D432" t="inlineStr">
        <is>
          <t>CT788.D246 K49 2001</t>
        </is>
      </c>
      <c r="E432" t="inlineStr">
        <is>
          <t>0                      CT 0788000D  246                K  49          2001</t>
        </is>
      </c>
      <c r="F432" t="inlineStr">
        <is>
          <t>Annie's box : Charles Darwin, his daughter and human evolution / Randal Keynes.</t>
        </is>
      </c>
      <c r="H432" t="inlineStr">
        <is>
          <t>No</t>
        </is>
      </c>
      <c r="I432" t="inlineStr">
        <is>
          <t>1</t>
        </is>
      </c>
      <c r="J432" t="inlineStr">
        <is>
          <t>No</t>
        </is>
      </c>
      <c r="K432" t="inlineStr">
        <is>
          <t>No</t>
        </is>
      </c>
      <c r="L432" t="inlineStr">
        <is>
          <t>0</t>
        </is>
      </c>
      <c r="M432" t="inlineStr">
        <is>
          <t>Keynes, Randal.</t>
        </is>
      </c>
      <c r="N432" t="inlineStr">
        <is>
          <t>London : Fourth Estate, 2001.</t>
        </is>
      </c>
      <c r="O432" t="inlineStr">
        <is>
          <t>2001</t>
        </is>
      </c>
      <c r="Q432" t="inlineStr">
        <is>
          <t>eng</t>
        </is>
      </c>
      <c r="R432" t="inlineStr">
        <is>
          <t>enk</t>
        </is>
      </c>
      <c r="T432" t="inlineStr">
        <is>
          <t xml:space="preserve">CT </t>
        </is>
      </c>
      <c r="U432" t="n">
        <v>3</v>
      </c>
      <c r="V432" t="n">
        <v>3</v>
      </c>
      <c r="W432" t="inlineStr">
        <is>
          <t>2010-02-11</t>
        </is>
      </c>
      <c r="X432" t="inlineStr">
        <is>
          <t>2010-02-11</t>
        </is>
      </c>
      <c r="Y432" t="inlineStr">
        <is>
          <t>2002-02-14</t>
        </is>
      </c>
      <c r="Z432" t="inlineStr">
        <is>
          <t>2002-02-14</t>
        </is>
      </c>
      <c r="AA432" t="n">
        <v>228</v>
      </c>
      <c r="AB432" t="n">
        <v>84</v>
      </c>
      <c r="AC432" t="n">
        <v>91</v>
      </c>
      <c r="AD432" t="n">
        <v>1</v>
      </c>
      <c r="AE432" t="n">
        <v>1</v>
      </c>
      <c r="AF432" t="n">
        <v>4</v>
      </c>
      <c r="AG432" t="n">
        <v>4</v>
      </c>
      <c r="AH432" t="n">
        <v>2</v>
      </c>
      <c r="AI432" t="n">
        <v>2</v>
      </c>
      <c r="AJ432" t="n">
        <v>1</v>
      </c>
      <c r="AK432" t="n">
        <v>1</v>
      </c>
      <c r="AL432" t="n">
        <v>2</v>
      </c>
      <c r="AM432" t="n">
        <v>2</v>
      </c>
      <c r="AN432" t="n">
        <v>0</v>
      </c>
      <c r="AO432" t="n">
        <v>0</v>
      </c>
      <c r="AP432" t="n">
        <v>0</v>
      </c>
      <c r="AQ432" t="n">
        <v>0</v>
      </c>
      <c r="AR432" t="inlineStr">
        <is>
          <t>No</t>
        </is>
      </c>
      <c r="AS432" t="inlineStr">
        <is>
          <t>Yes</t>
        </is>
      </c>
      <c r="AT432">
        <f>HYPERLINK("http://catalog.hathitrust.org/Record/004178585","HathiTrust Record")</f>
        <v/>
      </c>
      <c r="AU432">
        <f>HYPERLINK("https://creighton-primo.hosted.exlibrisgroup.com/primo-explore/search?tab=default_tab&amp;search_scope=EVERYTHING&amp;vid=01CRU&amp;lang=en_US&amp;offset=0&amp;query=any,contains,991003667589702656","Catalog Record")</f>
        <v/>
      </c>
      <c r="AV432">
        <f>HYPERLINK("http://www.worldcat.org/oclc/45899892","WorldCat Record")</f>
        <v/>
      </c>
      <c r="AW432" t="inlineStr">
        <is>
          <t>1053474:eng</t>
        </is>
      </c>
      <c r="AX432" t="inlineStr">
        <is>
          <t>45899892</t>
        </is>
      </c>
      <c r="AY432" t="inlineStr">
        <is>
          <t>991003667589702656</t>
        </is>
      </c>
      <c r="AZ432" t="inlineStr">
        <is>
          <t>991003667589702656</t>
        </is>
      </c>
      <c r="BA432" t="inlineStr">
        <is>
          <t>2260743550002656</t>
        </is>
      </c>
      <c r="BB432" t="inlineStr">
        <is>
          <t>BOOK</t>
        </is>
      </c>
      <c r="BD432" t="inlineStr">
        <is>
          <t>9781841150604</t>
        </is>
      </c>
      <c r="BE432" t="inlineStr">
        <is>
          <t>32285004454285</t>
        </is>
      </c>
      <c r="BF432" t="inlineStr">
        <is>
          <t>893435261</t>
        </is>
      </c>
    </row>
    <row r="433">
      <c r="B433" t="inlineStr">
        <is>
          <t>CURAL</t>
        </is>
      </c>
      <c r="C433" t="inlineStr">
        <is>
          <t>SHELVES</t>
        </is>
      </c>
      <c r="D433" t="inlineStr">
        <is>
          <t>CT788.D25 H43 2001</t>
        </is>
      </c>
      <c r="E433" t="inlineStr">
        <is>
          <t>0                      CT 0788000D  25                 H  43          2001</t>
        </is>
      </c>
      <c r="F433" t="inlineStr">
        <is>
          <t>Emma Darwin : the inspirational wife of a genius / Edna Healey.</t>
        </is>
      </c>
      <c r="H433" t="inlineStr">
        <is>
          <t>No</t>
        </is>
      </c>
      <c r="I433" t="inlineStr">
        <is>
          <t>1</t>
        </is>
      </c>
      <c r="J433" t="inlineStr">
        <is>
          <t>No</t>
        </is>
      </c>
      <c r="K433" t="inlineStr">
        <is>
          <t>No</t>
        </is>
      </c>
      <c r="L433" t="inlineStr">
        <is>
          <t>0</t>
        </is>
      </c>
      <c r="M433" t="inlineStr">
        <is>
          <t>Healey, Edna.</t>
        </is>
      </c>
      <c r="N433" t="inlineStr">
        <is>
          <t>London : Headline, 2001.</t>
        </is>
      </c>
      <c r="O433" t="inlineStr">
        <is>
          <t>2001</t>
        </is>
      </c>
      <c r="Q433" t="inlineStr">
        <is>
          <t>eng</t>
        </is>
      </c>
      <c r="R433" t="inlineStr">
        <is>
          <t>enk</t>
        </is>
      </c>
      <c r="T433" t="inlineStr">
        <is>
          <t xml:space="preserve">CT </t>
        </is>
      </c>
      <c r="U433" t="n">
        <v>7</v>
      </c>
      <c r="V433" t="n">
        <v>7</v>
      </c>
      <c r="W433" t="inlineStr">
        <is>
          <t>2007-11-05</t>
        </is>
      </c>
      <c r="X433" t="inlineStr">
        <is>
          <t>2007-11-05</t>
        </is>
      </c>
      <c r="Y433" t="inlineStr">
        <is>
          <t>2002-12-03</t>
        </is>
      </c>
      <c r="Z433" t="inlineStr">
        <is>
          <t>2002-12-03</t>
        </is>
      </c>
      <c r="AA433" t="n">
        <v>131</v>
      </c>
      <c r="AB433" t="n">
        <v>66</v>
      </c>
      <c r="AC433" t="n">
        <v>74</v>
      </c>
      <c r="AD433" t="n">
        <v>1</v>
      </c>
      <c r="AE433" t="n">
        <v>1</v>
      </c>
      <c r="AF433" t="n">
        <v>3</v>
      </c>
      <c r="AG433" t="n">
        <v>3</v>
      </c>
      <c r="AH433" t="n">
        <v>1</v>
      </c>
      <c r="AI433" t="n">
        <v>1</v>
      </c>
      <c r="AJ433" t="n">
        <v>1</v>
      </c>
      <c r="AK433" t="n">
        <v>1</v>
      </c>
      <c r="AL433" t="n">
        <v>3</v>
      </c>
      <c r="AM433" t="n">
        <v>3</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HYPERLINK("https://creighton-primo.hosted.exlibrisgroup.com/primo-explore/search?tab=default_tab&amp;search_scope=EVERYTHING&amp;vid=01CRU&amp;lang=en_US&amp;offset=0&amp;query=any,contains,991003923359702656","Catalog Record")</f>
        <v/>
      </c>
      <c r="AV433">
        <f>HYPERLINK("http://www.worldcat.org/oclc/48118582","WorldCat Record")</f>
        <v/>
      </c>
      <c r="AW433" t="inlineStr">
        <is>
          <t>9372390:eng</t>
        </is>
      </c>
      <c r="AX433" t="inlineStr">
        <is>
          <t>48118582</t>
        </is>
      </c>
      <c r="AY433" t="inlineStr">
        <is>
          <t>991003923359702656</t>
        </is>
      </c>
      <c r="AZ433" t="inlineStr">
        <is>
          <t>991003923359702656</t>
        </is>
      </c>
      <c r="BA433" t="inlineStr">
        <is>
          <t>2271258450002656</t>
        </is>
      </c>
      <c r="BB433" t="inlineStr">
        <is>
          <t>BOOK</t>
        </is>
      </c>
      <c r="BD433" t="inlineStr">
        <is>
          <t>9780747275794</t>
        </is>
      </c>
      <c r="BE433" t="inlineStr">
        <is>
          <t>32285004666839</t>
        </is>
      </c>
      <c r="BF433" t="inlineStr">
        <is>
          <t>893699596</t>
        </is>
      </c>
    </row>
    <row r="434">
      <c r="B434" t="inlineStr">
        <is>
          <t>CURAL</t>
        </is>
      </c>
      <c r="C434" t="inlineStr">
        <is>
          <t>SHELVES</t>
        </is>
      </c>
      <c r="D434" t="inlineStr">
        <is>
          <t>CT788.D846 F73 2007</t>
        </is>
      </c>
      <c r="E434" t="inlineStr">
        <is>
          <t>0                      CT 0788000D  846                F  73          2007</t>
        </is>
      </c>
      <c r="F434" t="inlineStr">
        <is>
          <t>Lucie Duff Gordon : a passage to Egypt / Katherine Frank.</t>
        </is>
      </c>
      <c r="H434" t="inlineStr">
        <is>
          <t>No</t>
        </is>
      </c>
      <c r="I434" t="inlineStr">
        <is>
          <t>1</t>
        </is>
      </c>
      <c r="J434" t="inlineStr">
        <is>
          <t>No</t>
        </is>
      </c>
      <c r="K434" t="inlineStr">
        <is>
          <t>No</t>
        </is>
      </c>
      <c r="L434" t="inlineStr">
        <is>
          <t>0</t>
        </is>
      </c>
      <c r="M434" t="inlineStr">
        <is>
          <t>Frank, Katherine.</t>
        </is>
      </c>
      <c r="N434" t="inlineStr">
        <is>
          <t>London : Tauris Parke Paperbacks, 2007, c1994.</t>
        </is>
      </c>
      <c r="O434" t="inlineStr">
        <is>
          <t>2007</t>
        </is>
      </c>
      <c r="Q434" t="inlineStr">
        <is>
          <t>eng</t>
        </is>
      </c>
      <c r="R434" t="inlineStr">
        <is>
          <t>enk</t>
        </is>
      </c>
      <c r="T434" t="inlineStr">
        <is>
          <t xml:space="preserve">CT </t>
        </is>
      </c>
      <c r="U434" t="n">
        <v>2</v>
      </c>
      <c r="V434" t="n">
        <v>2</v>
      </c>
      <c r="W434" t="inlineStr">
        <is>
          <t>2009-03-25</t>
        </is>
      </c>
      <c r="X434" t="inlineStr">
        <is>
          <t>2009-03-25</t>
        </is>
      </c>
      <c r="Y434" t="inlineStr">
        <is>
          <t>2009-02-17</t>
        </is>
      </c>
      <c r="Z434" t="inlineStr">
        <is>
          <t>2009-02-17</t>
        </is>
      </c>
      <c r="AA434" t="n">
        <v>39</v>
      </c>
      <c r="AB434" t="n">
        <v>15</v>
      </c>
      <c r="AC434" t="n">
        <v>60</v>
      </c>
      <c r="AD434" t="n">
        <v>1</v>
      </c>
      <c r="AE434" t="n">
        <v>1</v>
      </c>
      <c r="AF434" t="n">
        <v>0</v>
      </c>
      <c r="AG434" t="n">
        <v>1</v>
      </c>
      <c r="AH434" t="n">
        <v>0</v>
      </c>
      <c r="AI434" t="n">
        <v>0</v>
      </c>
      <c r="AJ434" t="n">
        <v>0</v>
      </c>
      <c r="AK434" t="n">
        <v>1</v>
      </c>
      <c r="AL434" t="n">
        <v>0</v>
      </c>
      <c r="AM434" t="n">
        <v>1</v>
      </c>
      <c r="AN434" t="n">
        <v>0</v>
      </c>
      <c r="AO434" t="n">
        <v>0</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HYPERLINK("https://creighton-primo.hosted.exlibrisgroup.com/primo-explore/search?tab=default_tab&amp;search_scope=EVERYTHING&amp;vid=01CRU&amp;lang=en_US&amp;offset=0&amp;query=any,contains,991005291699702656","Catalog Record")</f>
        <v/>
      </c>
      <c r="AV434">
        <f>HYPERLINK("http://www.worldcat.org/oclc/73956958","WorldCat Record")</f>
        <v/>
      </c>
      <c r="AW434" t="inlineStr">
        <is>
          <t>32403505:eng</t>
        </is>
      </c>
      <c r="AX434" t="inlineStr">
        <is>
          <t>73956958</t>
        </is>
      </c>
      <c r="AY434" t="inlineStr">
        <is>
          <t>991005291699702656</t>
        </is>
      </c>
      <c r="AZ434" t="inlineStr">
        <is>
          <t>991005291699702656</t>
        </is>
      </c>
      <c r="BA434" t="inlineStr">
        <is>
          <t>2265456230002656</t>
        </is>
      </c>
      <c r="BB434" t="inlineStr">
        <is>
          <t>BOOK</t>
        </is>
      </c>
      <c r="BD434" t="inlineStr">
        <is>
          <t>9781845113315</t>
        </is>
      </c>
      <c r="BE434" t="inlineStr">
        <is>
          <t>32285005505135</t>
        </is>
      </c>
      <c r="BF434" t="inlineStr">
        <is>
          <t>893520787</t>
        </is>
      </c>
    </row>
    <row r="435">
      <c r="B435" t="inlineStr">
        <is>
          <t>CURAL</t>
        </is>
      </c>
      <c r="C435" t="inlineStr">
        <is>
          <t>SHELVES</t>
        </is>
      </c>
      <c r="D435" t="inlineStr">
        <is>
          <t>CT788.M254 A3 2006</t>
        </is>
      </c>
      <c r="E435" t="inlineStr">
        <is>
          <t>0                      CT 0788000M  254                A  3           2006</t>
        </is>
      </c>
      <c r="F435" t="inlineStr">
        <is>
          <t>Stuart : a life backwards / Alexander Masters.</t>
        </is>
      </c>
      <c r="H435" t="inlineStr">
        <is>
          <t>No</t>
        </is>
      </c>
      <c r="I435" t="inlineStr">
        <is>
          <t>1</t>
        </is>
      </c>
      <c r="J435" t="inlineStr">
        <is>
          <t>No</t>
        </is>
      </c>
      <c r="K435" t="inlineStr">
        <is>
          <t>No</t>
        </is>
      </c>
      <c r="L435" t="inlineStr">
        <is>
          <t>0</t>
        </is>
      </c>
      <c r="M435" t="inlineStr">
        <is>
          <t>Masters, Alexander.</t>
        </is>
      </c>
      <c r="N435" t="inlineStr">
        <is>
          <t>New York : Delacorte Press, 2006.</t>
        </is>
      </c>
      <c r="O435" t="inlineStr">
        <is>
          <t>2006</t>
        </is>
      </c>
      <c r="Q435" t="inlineStr">
        <is>
          <t>eng</t>
        </is>
      </c>
      <c r="R435" t="inlineStr">
        <is>
          <t>nyu</t>
        </is>
      </c>
      <c r="T435" t="inlineStr">
        <is>
          <t xml:space="preserve">CT </t>
        </is>
      </c>
      <c r="U435" t="n">
        <v>1</v>
      </c>
      <c r="V435" t="n">
        <v>1</v>
      </c>
      <c r="W435" t="inlineStr">
        <is>
          <t>2006-06-26</t>
        </is>
      </c>
      <c r="X435" t="inlineStr">
        <is>
          <t>2006-06-26</t>
        </is>
      </c>
      <c r="Y435" t="inlineStr">
        <is>
          <t>2006-06-26</t>
        </is>
      </c>
      <c r="Z435" t="inlineStr">
        <is>
          <t>2006-06-26</t>
        </is>
      </c>
      <c r="AA435" t="n">
        <v>620</v>
      </c>
      <c r="AB435" t="n">
        <v>607</v>
      </c>
      <c r="AC435" t="n">
        <v>744</v>
      </c>
      <c r="AD435" t="n">
        <v>2</v>
      </c>
      <c r="AE435" t="n">
        <v>4</v>
      </c>
      <c r="AF435" t="n">
        <v>9</v>
      </c>
      <c r="AG435" t="n">
        <v>13</v>
      </c>
      <c r="AH435" t="n">
        <v>3</v>
      </c>
      <c r="AI435" t="n">
        <v>3</v>
      </c>
      <c r="AJ435" t="n">
        <v>4</v>
      </c>
      <c r="AK435" t="n">
        <v>5</v>
      </c>
      <c r="AL435" t="n">
        <v>5</v>
      </c>
      <c r="AM435" t="n">
        <v>7</v>
      </c>
      <c r="AN435" t="n">
        <v>0</v>
      </c>
      <c r="AO435" t="n">
        <v>2</v>
      </c>
      <c r="AP435" t="n">
        <v>0</v>
      </c>
      <c r="AQ435" t="n">
        <v>0</v>
      </c>
      <c r="AR435" t="inlineStr">
        <is>
          <t>No</t>
        </is>
      </c>
      <c r="AS435" t="inlineStr">
        <is>
          <t>Yes</t>
        </is>
      </c>
      <c r="AT435">
        <f>HYPERLINK("http://catalog.hathitrust.org/Record/007146827","HathiTrust Record")</f>
        <v/>
      </c>
      <c r="AU435">
        <f>HYPERLINK("https://creighton-primo.hosted.exlibrisgroup.com/primo-explore/search?tab=default_tab&amp;search_scope=EVERYTHING&amp;vid=01CRU&amp;lang=en_US&amp;offset=0&amp;query=any,contains,991004833539702656","Catalog Record")</f>
        <v/>
      </c>
      <c r="AV435">
        <f>HYPERLINK("http://www.worldcat.org/oclc/68192609","WorldCat Record")</f>
        <v/>
      </c>
      <c r="AW435" t="inlineStr">
        <is>
          <t>868689:eng</t>
        </is>
      </c>
      <c r="AX435" t="inlineStr">
        <is>
          <t>68192609</t>
        </is>
      </c>
      <c r="AY435" t="inlineStr">
        <is>
          <t>991004833539702656</t>
        </is>
      </c>
      <c r="AZ435" t="inlineStr">
        <is>
          <t>991004833539702656</t>
        </is>
      </c>
      <c r="BA435" t="inlineStr">
        <is>
          <t>2271559360002656</t>
        </is>
      </c>
      <c r="BB435" t="inlineStr">
        <is>
          <t>BOOK</t>
        </is>
      </c>
      <c r="BD435" t="inlineStr">
        <is>
          <t>9780385340007</t>
        </is>
      </c>
      <c r="BE435" t="inlineStr">
        <is>
          <t>32285005192512</t>
        </is>
      </c>
      <c r="BF435" t="inlineStr">
        <is>
          <t>893263469</t>
        </is>
      </c>
    </row>
    <row r="436">
      <c r="B436" t="inlineStr">
        <is>
          <t>CURAL</t>
        </is>
      </c>
      <c r="C436" t="inlineStr">
        <is>
          <t>SHELVES</t>
        </is>
      </c>
      <c r="D436" t="inlineStr">
        <is>
          <t>CT788.W854 L48</t>
        </is>
      </c>
      <c r="E436" t="inlineStr">
        <is>
          <t>0                      CT 0788000W  854                L  48</t>
        </is>
      </c>
      <c r="F436" t="inlineStr">
        <is>
          <t>Dr. Woodward's shield : history, science, and satire in Augustan England / Joseph M. Levine.</t>
        </is>
      </c>
      <c r="H436" t="inlineStr">
        <is>
          <t>No</t>
        </is>
      </c>
      <c r="I436" t="inlineStr">
        <is>
          <t>1</t>
        </is>
      </c>
      <c r="J436" t="inlineStr">
        <is>
          <t>No</t>
        </is>
      </c>
      <c r="K436" t="inlineStr">
        <is>
          <t>No</t>
        </is>
      </c>
      <c r="L436" t="inlineStr">
        <is>
          <t>0</t>
        </is>
      </c>
      <c r="M436" t="inlineStr">
        <is>
          <t>Levine, Joseph M.</t>
        </is>
      </c>
      <c r="N436" t="inlineStr">
        <is>
          <t>Berkeley : University of California Press, c1977.</t>
        </is>
      </c>
      <c r="O436" t="inlineStr">
        <is>
          <t>1977</t>
        </is>
      </c>
      <c r="Q436" t="inlineStr">
        <is>
          <t>eng</t>
        </is>
      </c>
      <c r="R436" t="inlineStr">
        <is>
          <t>cau</t>
        </is>
      </c>
      <c r="T436" t="inlineStr">
        <is>
          <t xml:space="preserve">CT </t>
        </is>
      </c>
      <c r="U436" t="n">
        <v>2</v>
      </c>
      <c r="V436" t="n">
        <v>2</v>
      </c>
      <c r="W436" t="inlineStr">
        <is>
          <t>2000-09-11</t>
        </is>
      </c>
      <c r="X436" t="inlineStr">
        <is>
          <t>2000-09-11</t>
        </is>
      </c>
      <c r="Y436" t="inlineStr">
        <is>
          <t>1996-08-22</t>
        </is>
      </c>
      <c r="Z436" t="inlineStr">
        <is>
          <t>1996-08-22</t>
        </is>
      </c>
      <c r="AA436" t="n">
        <v>465</v>
      </c>
      <c r="AB436" t="n">
        <v>354</v>
      </c>
      <c r="AC436" t="n">
        <v>375</v>
      </c>
      <c r="AD436" t="n">
        <v>4</v>
      </c>
      <c r="AE436" t="n">
        <v>4</v>
      </c>
      <c r="AF436" t="n">
        <v>17</v>
      </c>
      <c r="AG436" t="n">
        <v>18</v>
      </c>
      <c r="AH436" t="n">
        <v>3</v>
      </c>
      <c r="AI436" t="n">
        <v>3</v>
      </c>
      <c r="AJ436" t="n">
        <v>5</v>
      </c>
      <c r="AK436" t="n">
        <v>5</v>
      </c>
      <c r="AL436" t="n">
        <v>10</v>
      </c>
      <c r="AM436" t="n">
        <v>11</v>
      </c>
      <c r="AN436" t="n">
        <v>3</v>
      </c>
      <c r="AO436" t="n">
        <v>3</v>
      </c>
      <c r="AP436" t="n">
        <v>0</v>
      </c>
      <c r="AQ436" t="n">
        <v>0</v>
      </c>
      <c r="AR436" t="inlineStr">
        <is>
          <t>No</t>
        </is>
      </c>
      <c r="AS436" t="inlineStr">
        <is>
          <t>No</t>
        </is>
      </c>
      <c r="AU436">
        <f>HYPERLINK("https://creighton-primo.hosted.exlibrisgroup.com/primo-explore/search?tab=default_tab&amp;search_scope=EVERYTHING&amp;vid=01CRU&amp;lang=en_US&amp;offset=0&amp;query=any,contains,991004413679702656","Catalog Record")</f>
        <v/>
      </c>
      <c r="AV436">
        <f>HYPERLINK("http://www.worldcat.org/oclc/3353747","WorldCat Record")</f>
        <v/>
      </c>
      <c r="AW436" t="inlineStr">
        <is>
          <t>341630388:eng</t>
        </is>
      </c>
      <c r="AX436" t="inlineStr">
        <is>
          <t>3353747</t>
        </is>
      </c>
      <c r="AY436" t="inlineStr">
        <is>
          <t>991004413679702656</t>
        </is>
      </c>
      <c r="AZ436" t="inlineStr">
        <is>
          <t>991004413679702656</t>
        </is>
      </c>
      <c r="BA436" t="inlineStr">
        <is>
          <t>2260719250002656</t>
        </is>
      </c>
      <c r="BB436" t="inlineStr">
        <is>
          <t>BOOK</t>
        </is>
      </c>
      <c r="BD436" t="inlineStr">
        <is>
          <t>9780520031326</t>
        </is>
      </c>
      <c r="BE436" t="inlineStr">
        <is>
          <t>32285002285996</t>
        </is>
      </c>
      <c r="BF436" t="inlineStr">
        <is>
          <t>893506819</t>
        </is>
      </c>
    </row>
    <row r="437">
      <c r="B437" t="inlineStr">
        <is>
          <t>CURAL</t>
        </is>
      </c>
      <c r="C437" t="inlineStr">
        <is>
          <t>SHELVES</t>
        </is>
      </c>
      <c r="D437" t="inlineStr">
        <is>
          <t>CT9970 .H65 2002</t>
        </is>
      </c>
      <c r="E437" t="inlineStr">
        <is>
          <t>0                      CT 9970000H  65          2002</t>
        </is>
      </c>
      <c r="F437" t="inlineStr">
        <is>
          <t>They went whistling : women wayfarers, warriors, runaways, and renegades / Barbara Holland.</t>
        </is>
      </c>
      <c r="H437" t="inlineStr">
        <is>
          <t>No</t>
        </is>
      </c>
      <c r="I437" t="inlineStr">
        <is>
          <t>1</t>
        </is>
      </c>
      <c r="J437" t="inlineStr">
        <is>
          <t>No</t>
        </is>
      </c>
      <c r="K437" t="inlineStr">
        <is>
          <t>No</t>
        </is>
      </c>
      <c r="L437" t="inlineStr">
        <is>
          <t>0</t>
        </is>
      </c>
      <c r="M437" t="inlineStr">
        <is>
          <t>Holland, Barbara.</t>
        </is>
      </c>
      <c r="N437" t="inlineStr">
        <is>
          <t>New York : Anchor Books, 2002.</t>
        </is>
      </c>
      <c r="O437" t="inlineStr">
        <is>
          <t>2002</t>
        </is>
      </c>
      <c r="P437" t="inlineStr">
        <is>
          <t>1st Anchor books ed.</t>
        </is>
      </c>
      <c r="Q437" t="inlineStr">
        <is>
          <t>eng</t>
        </is>
      </c>
      <c r="R437" t="inlineStr">
        <is>
          <t>nyu</t>
        </is>
      </c>
      <c r="T437" t="inlineStr">
        <is>
          <t xml:space="preserve">CT </t>
        </is>
      </c>
      <c r="U437" t="n">
        <v>4</v>
      </c>
      <c r="V437" t="n">
        <v>4</v>
      </c>
      <c r="W437" t="inlineStr">
        <is>
          <t>2010-02-24</t>
        </is>
      </c>
      <c r="X437" t="inlineStr">
        <is>
          <t>2010-02-24</t>
        </is>
      </c>
      <c r="Y437" t="inlineStr">
        <is>
          <t>2002-04-08</t>
        </is>
      </c>
      <c r="Z437" t="inlineStr">
        <is>
          <t>2002-04-08</t>
        </is>
      </c>
      <c r="AA437" t="n">
        <v>108</v>
      </c>
      <c r="AB437" t="n">
        <v>96</v>
      </c>
      <c r="AC437" t="n">
        <v>811</v>
      </c>
      <c r="AD437" t="n">
        <v>2</v>
      </c>
      <c r="AE437" t="n">
        <v>6</v>
      </c>
      <c r="AF437" t="n">
        <v>2</v>
      </c>
      <c r="AG437" t="n">
        <v>14</v>
      </c>
      <c r="AH437" t="n">
        <v>1</v>
      </c>
      <c r="AI437" t="n">
        <v>3</v>
      </c>
      <c r="AJ437" t="n">
        <v>1</v>
      </c>
      <c r="AK437" t="n">
        <v>5</v>
      </c>
      <c r="AL437" t="n">
        <v>0</v>
      </c>
      <c r="AM437" t="n">
        <v>5</v>
      </c>
      <c r="AN437" t="n">
        <v>0</v>
      </c>
      <c r="AO437" t="n">
        <v>3</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HYPERLINK("https://creighton-primo.hosted.exlibrisgroup.com/primo-explore/search?tab=default_tab&amp;search_scope=EVERYTHING&amp;vid=01CRU&amp;lang=en_US&amp;offset=0&amp;query=any,contains,991003777909702656","Catalog Record")</f>
        <v/>
      </c>
      <c r="AV437">
        <f>HYPERLINK("http://www.worldcat.org/oclc/49055981","WorldCat Record")</f>
        <v/>
      </c>
      <c r="AW437" t="inlineStr">
        <is>
          <t>1066287:eng</t>
        </is>
      </c>
      <c r="AX437" t="inlineStr">
        <is>
          <t>49055981</t>
        </is>
      </c>
      <c r="AY437" t="inlineStr">
        <is>
          <t>991003777909702656</t>
        </is>
      </c>
      <c r="AZ437" t="inlineStr">
        <is>
          <t>991003777909702656</t>
        </is>
      </c>
      <c r="BA437" t="inlineStr">
        <is>
          <t>2264966400002656</t>
        </is>
      </c>
      <c r="BB437" t="inlineStr">
        <is>
          <t>BOOK</t>
        </is>
      </c>
      <c r="BD437" t="inlineStr">
        <is>
          <t>9780385720021</t>
        </is>
      </c>
      <c r="BE437" t="inlineStr">
        <is>
          <t>32285004477484</t>
        </is>
      </c>
      <c r="BF437" t="inlineStr">
        <is>
          <t>893800155</t>
        </is>
      </c>
    </row>
    <row r="438">
      <c r="B438" t="inlineStr">
        <is>
          <t>CURAL</t>
        </is>
      </c>
      <c r="C438" t="inlineStr">
        <is>
          <t>SHELVES</t>
        </is>
      </c>
      <c r="D438" t="inlineStr">
        <is>
          <t>CT9990 .P67 1993</t>
        </is>
      </c>
      <c r="E438" t="inlineStr">
        <is>
          <t>0                      CT 9990000P  67          1993</t>
        </is>
      </c>
      <c r="F438" t="inlineStr">
        <is>
          <t>Road to heaven : encounters with Chinese hermits / Bill Porter ; photographs by Steven R. Johnson and the author.</t>
        </is>
      </c>
      <c r="H438" t="inlineStr">
        <is>
          <t>No</t>
        </is>
      </c>
      <c r="I438" t="inlineStr">
        <is>
          <t>1</t>
        </is>
      </c>
      <c r="J438" t="inlineStr">
        <is>
          <t>No</t>
        </is>
      </c>
      <c r="K438" t="inlineStr">
        <is>
          <t>No</t>
        </is>
      </c>
      <c r="L438" t="inlineStr">
        <is>
          <t>0</t>
        </is>
      </c>
      <c r="M438" t="inlineStr">
        <is>
          <t>Porter, Bill, 1943-</t>
        </is>
      </c>
      <c r="N438" t="inlineStr">
        <is>
          <t>San Francisco : Mercury House, 1993.</t>
        </is>
      </c>
      <c r="O438" t="inlineStr">
        <is>
          <t>1993</t>
        </is>
      </c>
      <c r="Q438" t="inlineStr">
        <is>
          <t>eng</t>
        </is>
      </c>
      <c r="R438" t="inlineStr">
        <is>
          <t>cau</t>
        </is>
      </c>
      <c r="T438" t="inlineStr">
        <is>
          <t xml:space="preserve">CT </t>
        </is>
      </c>
      <c r="U438" t="n">
        <v>2</v>
      </c>
      <c r="V438" t="n">
        <v>2</v>
      </c>
      <c r="W438" t="inlineStr">
        <is>
          <t>2007-06-08</t>
        </is>
      </c>
      <c r="X438" t="inlineStr">
        <is>
          <t>2007-06-08</t>
        </is>
      </c>
      <c r="Y438" t="inlineStr">
        <is>
          <t>1995-10-03</t>
        </is>
      </c>
      <c r="Z438" t="inlineStr">
        <is>
          <t>1995-10-03</t>
        </is>
      </c>
      <c r="AA438" t="n">
        <v>304</v>
      </c>
      <c r="AB438" t="n">
        <v>268</v>
      </c>
      <c r="AC438" t="n">
        <v>327</v>
      </c>
      <c r="AD438" t="n">
        <v>3</v>
      </c>
      <c r="AE438" t="n">
        <v>3</v>
      </c>
      <c r="AF438" t="n">
        <v>11</v>
      </c>
      <c r="AG438" t="n">
        <v>14</v>
      </c>
      <c r="AH438" t="n">
        <v>3</v>
      </c>
      <c r="AI438" t="n">
        <v>5</v>
      </c>
      <c r="AJ438" t="n">
        <v>4</v>
      </c>
      <c r="AK438" t="n">
        <v>5</v>
      </c>
      <c r="AL438" t="n">
        <v>5</v>
      </c>
      <c r="AM438" t="n">
        <v>6</v>
      </c>
      <c r="AN438" t="n">
        <v>2</v>
      </c>
      <c r="AO438" t="n">
        <v>2</v>
      </c>
      <c r="AP438" t="n">
        <v>0</v>
      </c>
      <c r="AQ438" t="n">
        <v>0</v>
      </c>
      <c r="AR438" t="inlineStr">
        <is>
          <t>No</t>
        </is>
      </c>
      <c r="AS438" t="inlineStr">
        <is>
          <t>Yes</t>
        </is>
      </c>
      <c r="AT438">
        <f>HYPERLINK("http://catalog.hathitrust.org/Record/002652484","HathiTrust Record")</f>
        <v/>
      </c>
      <c r="AU438">
        <f>HYPERLINK("https://creighton-primo.hosted.exlibrisgroup.com/primo-explore/search?tab=default_tab&amp;search_scope=EVERYTHING&amp;vid=01CRU&amp;lang=en_US&amp;offset=0&amp;query=any,contains,991002119669702656","Catalog Record")</f>
        <v/>
      </c>
      <c r="AV438">
        <f>HYPERLINK("http://www.worldcat.org/oclc/27172118","WorldCat Record")</f>
        <v/>
      </c>
      <c r="AW438" t="inlineStr">
        <is>
          <t>389023:eng</t>
        </is>
      </c>
      <c r="AX438" t="inlineStr">
        <is>
          <t>27172118</t>
        </is>
      </c>
      <c r="AY438" t="inlineStr">
        <is>
          <t>991002119669702656</t>
        </is>
      </c>
      <c r="AZ438" t="inlineStr">
        <is>
          <t>991002119669702656</t>
        </is>
      </c>
      <c r="BA438" t="inlineStr">
        <is>
          <t>2271141290002656</t>
        </is>
      </c>
      <c r="BB438" t="inlineStr">
        <is>
          <t>BOOK</t>
        </is>
      </c>
      <c r="BD438" t="inlineStr">
        <is>
          <t>9781562790417</t>
        </is>
      </c>
      <c r="BE438" t="inlineStr">
        <is>
          <t>32285002095320</t>
        </is>
      </c>
      <c r="BF438" t="inlineStr">
        <is>
          <t>893408712</t>
        </is>
      </c>
    </row>
    <row r="439">
      <c r="B439" t="inlineStr">
        <is>
          <t>CURAL</t>
        </is>
      </c>
      <c r="C439" t="inlineStr">
        <is>
          <t>SHELVES</t>
        </is>
      </c>
      <c r="D439" t="inlineStr">
        <is>
          <t>CT9992 .P34 2002</t>
        </is>
      </c>
      <c r="E439" t="inlineStr">
        <is>
          <t>0                      CT 9992000P  34          2002</t>
        </is>
      </c>
      <c r="F439" t="inlineStr">
        <is>
          <t>Lord Minimus : the extraordinary life of Britain's smallest man / Nick Page.</t>
        </is>
      </c>
      <c r="H439" t="inlineStr">
        <is>
          <t>No</t>
        </is>
      </c>
      <c r="I439" t="inlineStr">
        <is>
          <t>1</t>
        </is>
      </c>
      <c r="J439" t="inlineStr">
        <is>
          <t>No</t>
        </is>
      </c>
      <c r="K439" t="inlineStr">
        <is>
          <t>No</t>
        </is>
      </c>
      <c r="L439" t="inlineStr">
        <is>
          <t>0</t>
        </is>
      </c>
      <c r="M439" t="inlineStr">
        <is>
          <t>Page, Nick, 1961-</t>
        </is>
      </c>
      <c r="N439" t="inlineStr">
        <is>
          <t>New York : St. Martin's Press, 2002.</t>
        </is>
      </c>
      <c r="O439" t="inlineStr">
        <is>
          <t>2002</t>
        </is>
      </c>
      <c r="P439" t="inlineStr">
        <is>
          <t>1st US ed.</t>
        </is>
      </c>
      <c r="Q439" t="inlineStr">
        <is>
          <t>eng</t>
        </is>
      </c>
      <c r="R439" t="inlineStr">
        <is>
          <t>nyu</t>
        </is>
      </c>
      <c r="T439" t="inlineStr">
        <is>
          <t xml:space="preserve">CT </t>
        </is>
      </c>
      <c r="U439" t="n">
        <v>3</v>
      </c>
      <c r="V439" t="n">
        <v>3</v>
      </c>
      <c r="W439" t="inlineStr">
        <is>
          <t>2002-09-19</t>
        </is>
      </c>
      <c r="X439" t="inlineStr">
        <is>
          <t>2002-09-19</t>
        </is>
      </c>
      <c r="Y439" t="inlineStr">
        <is>
          <t>2002-08-20</t>
        </is>
      </c>
      <c r="Z439" t="inlineStr">
        <is>
          <t>2002-08-20</t>
        </is>
      </c>
      <c r="AA439" t="n">
        <v>418</v>
      </c>
      <c r="AB439" t="n">
        <v>397</v>
      </c>
      <c r="AC439" t="n">
        <v>442</v>
      </c>
      <c r="AD439" t="n">
        <v>2</v>
      </c>
      <c r="AE439" t="n">
        <v>3</v>
      </c>
      <c r="AF439" t="n">
        <v>3</v>
      </c>
      <c r="AG439" t="n">
        <v>5</v>
      </c>
      <c r="AH439" t="n">
        <v>0</v>
      </c>
      <c r="AI439" t="n">
        <v>0</v>
      </c>
      <c r="AJ439" t="n">
        <v>0</v>
      </c>
      <c r="AK439" t="n">
        <v>1</v>
      </c>
      <c r="AL439" t="n">
        <v>2</v>
      </c>
      <c r="AM439" t="n">
        <v>3</v>
      </c>
      <c r="AN439" t="n">
        <v>1</v>
      </c>
      <c r="AO439" t="n">
        <v>2</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HYPERLINK("https://creighton-primo.hosted.exlibrisgroup.com/primo-explore/search?tab=default_tab&amp;search_scope=EVERYTHING&amp;vid=01CRU&amp;lang=en_US&amp;offset=0&amp;query=any,contains,991003825939702656","Catalog Record")</f>
        <v/>
      </c>
      <c r="AV439">
        <f>HYPERLINK("http://www.worldcat.org/oclc/49403545","WorldCat Record")</f>
        <v/>
      </c>
      <c r="AW439" t="inlineStr">
        <is>
          <t>675841:eng</t>
        </is>
      </c>
      <c r="AX439" t="inlineStr">
        <is>
          <t>49403545</t>
        </is>
      </c>
      <c r="AY439" t="inlineStr">
        <is>
          <t>991003825939702656</t>
        </is>
      </c>
      <c r="AZ439" t="inlineStr">
        <is>
          <t>991003825939702656</t>
        </is>
      </c>
      <c r="BA439" t="inlineStr">
        <is>
          <t>2256417180002656</t>
        </is>
      </c>
      <c r="BB439" t="inlineStr">
        <is>
          <t>BOOK</t>
        </is>
      </c>
      <c r="BD439" t="inlineStr">
        <is>
          <t>9780312291617</t>
        </is>
      </c>
      <c r="BE439" t="inlineStr">
        <is>
          <t>32285004643960</t>
        </is>
      </c>
      <c r="BF439" t="inlineStr">
        <is>
          <t>893324535</t>
        </is>
      </c>
    </row>
    <row r="440">
      <c r="B440" t="inlineStr">
        <is>
          <t>CURAL</t>
        </is>
      </c>
      <c r="C440" t="inlineStr">
        <is>
          <t>SHELVES</t>
        </is>
      </c>
      <c r="D440" t="inlineStr">
        <is>
          <t>CT9998.D5 B4 1978</t>
        </is>
      </c>
      <c r="E440" t="inlineStr">
        <is>
          <t>0                      CT 9998000D  5                  B  4           1978</t>
        </is>
      </c>
      <c r="F440" t="inlineStr">
        <is>
          <t>The Dionne years : a Thirties melodrama / by Pierre Berton.</t>
        </is>
      </c>
      <c r="H440" t="inlineStr">
        <is>
          <t>No</t>
        </is>
      </c>
      <c r="I440" t="inlineStr">
        <is>
          <t>1</t>
        </is>
      </c>
      <c r="J440" t="inlineStr">
        <is>
          <t>No</t>
        </is>
      </c>
      <c r="K440" t="inlineStr">
        <is>
          <t>No</t>
        </is>
      </c>
      <c r="L440" t="inlineStr">
        <is>
          <t>0</t>
        </is>
      </c>
      <c r="M440" t="inlineStr">
        <is>
          <t>Berton, Pierre, 1920-2004.</t>
        </is>
      </c>
      <c r="N440" t="inlineStr">
        <is>
          <t>New York : Norton, 1978.</t>
        </is>
      </c>
      <c r="O440" t="inlineStr">
        <is>
          <t>1978</t>
        </is>
      </c>
      <c r="P440" t="inlineStr">
        <is>
          <t>1st American ed.</t>
        </is>
      </c>
      <c r="Q440" t="inlineStr">
        <is>
          <t>eng</t>
        </is>
      </c>
      <c r="R440" t="inlineStr">
        <is>
          <t>nyu</t>
        </is>
      </c>
      <c r="T440" t="inlineStr">
        <is>
          <t xml:space="preserve">CT </t>
        </is>
      </c>
      <c r="U440" t="n">
        <v>1</v>
      </c>
      <c r="V440" t="n">
        <v>1</v>
      </c>
      <c r="W440" t="inlineStr">
        <is>
          <t>1998-06-22</t>
        </is>
      </c>
      <c r="X440" t="inlineStr">
        <is>
          <t>1998-06-22</t>
        </is>
      </c>
      <c r="Y440" t="inlineStr">
        <is>
          <t>1996-08-22</t>
        </is>
      </c>
      <c r="Z440" t="inlineStr">
        <is>
          <t>1996-08-22</t>
        </is>
      </c>
      <c r="AA440" t="n">
        <v>745</v>
      </c>
      <c r="AB440" t="n">
        <v>722</v>
      </c>
      <c r="AC440" t="n">
        <v>774</v>
      </c>
      <c r="AD440" t="n">
        <v>8</v>
      </c>
      <c r="AE440" t="n">
        <v>8</v>
      </c>
      <c r="AF440" t="n">
        <v>4</v>
      </c>
      <c r="AG440" t="n">
        <v>4</v>
      </c>
      <c r="AH440" t="n">
        <v>1</v>
      </c>
      <c r="AI440" t="n">
        <v>1</v>
      </c>
      <c r="AJ440" t="n">
        <v>0</v>
      </c>
      <c r="AK440" t="n">
        <v>0</v>
      </c>
      <c r="AL440" t="n">
        <v>1</v>
      </c>
      <c r="AM440" t="n">
        <v>1</v>
      </c>
      <c r="AN440" t="n">
        <v>2</v>
      </c>
      <c r="AO440" t="n">
        <v>2</v>
      </c>
      <c r="AP440" t="n">
        <v>0</v>
      </c>
      <c r="AQ440" t="n">
        <v>0</v>
      </c>
      <c r="AR440" t="inlineStr">
        <is>
          <t>No</t>
        </is>
      </c>
      <c r="AS440" t="inlineStr">
        <is>
          <t>No</t>
        </is>
      </c>
      <c r="AU440">
        <f>HYPERLINK("https://creighton-primo.hosted.exlibrisgroup.com/primo-explore/search?tab=default_tab&amp;search_scope=EVERYTHING&amp;vid=01CRU&amp;lang=en_US&amp;offset=0&amp;query=any,contains,991004525019702656","Catalog Record")</f>
        <v/>
      </c>
      <c r="AV440">
        <f>HYPERLINK("http://www.worldcat.org/oclc/3843069","WorldCat Record")</f>
        <v/>
      </c>
      <c r="AW440" t="inlineStr">
        <is>
          <t>196721350:eng</t>
        </is>
      </c>
      <c r="AX440" t="inlineStr">
        <is>
          <t>3843069</t>
        </is>
      </c>
      <c r="AY440" t="inlineStr">
        <is>
          <t>991004525019702656</t>
        </is>
      </c>
      <c r="AZ440" t="inlineStr">
        <is>
          <t>991004525019702656</t>
        </is>
      </c>
      <c r="BA440" t="inlineStr">
        <is>
          <t>2266352470002656</t>
        </is>
      </c>
      <c r="BB440" t="inlineStr">
        <is>
          <t>BOOK</t>
        </is>
      </c>
      <c r="BD440" t="inlineStr">
        <is>
          <t>9780393075298</t>
        </is>
      </c>
      <c r="BE440" t="inlineStr">
        <is>
          <t>32285002286465</t>
        </is>
      </c>
      <c r="BF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